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https://rockwellautomation-my.sharepoint.com/personal/abeaumo_rockwellautomation_com/Documents/Desktop/"/>
    </mc:Choice>
  </mc:AlternateContent>
  <xr:revisionPtr revIDLastSave="1132" documentId="8_{B7FA10C8-1AF6-4FFE-B5B8-7C6B5185B59A}" xr6:coauthVersionLast="47" xr6:coauthVersionMax="47" xr10:uidLastSave="{015C57E4-F89D-4F5C-82C3-00384D3D4205}"/>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List'!$A$4:$Q$1172</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List'!$B$5:$B$1171</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a="1"/>
  <c r="G63" i="6"/>
  <c r="B63" i="6"/>
  <c r="B62" i="6"/>
  <c r="G62" i="6" s="1"/>
  <c r="B60" i="6"/>
  <c r="G60" i="6" s="1"/>
  <c r="G59" i="6"/>
  <c r="B59" i="6"/>
  <c r="G58" i="6"/>
  <c r="B58" i="6"/>
  <c r="G57" i="6"/>
  <c r="B57" i="6"/>
  <c r="B56" i="6"/>
  <c r="G56" i="6" s="1"/>
  <c r="G55" i="6"/>
  <c r="B55" i="6"/>
  <c r="G54" i="6"/>
  <c r="B54" i="6"/>
  <c r="F22" i="6"/>
  <c r="F19" i="6"/>
  <c r="H17" i="6"/>
  <c r="G17" i="6"/>
  <c r="B17" i="6"/>
  <c r="B16" i="6"/>
  <c r="B15" i="6"/>
  <c r="G14" i="6"/>
  <c r="H14" i="6" s="1"/>
  <c r="B14" i="6"/>
  <c r="H13" i="6"/>
  <c r="G12" i="6"/>
  <c r="H12" i="6" s="1"/>
  <c r="D12" i="6"/>
  <c r="B12" i="6"/>
  <c r="B11" i="6"/>
  <c r="G11" i="6" s="1"/>
  <c r="H11" i="6" s="1"/>
  <c r="D11" i="6" s="1"/>
  <c r="B10" i="6"/>
  <c r="G10" i="6" s="1"/>
  <c r="H10" i="6" s="1"/>
  <c r="D10" i="6" s="1"/>
  <c r="B9" i="6"/>
  <c r="G9" i="6" s="1"/>
  <c r="H9" i="6" s="1"/>
  <c r="G8" i="6"/>
  <c r="H8" i="6" s="1"/>
  <c r="B8" i="6"/>
  <c r="B7" i="6"/>
  <c r="G7" i="6" s="1"/>
  <c r="H7" i="6" s="1"/>
  <c r="F6" i="6"/>
  <c r="H6" i="6" s="1"/>
  <c r="D6" i="6" s="1"/>
  <c r="B6" i="6"/>
  <c r="G6" i="6" s="1"/>
  <c r="H5" i="6"/>
  <c r="G5" i="6"/>
  <c r="B5" i="6"/>
  <c r="F64" i="6" s="1"/>
  <c r="B4" i="6"/>
  <c r="G4" i="6" s="1"/>
  <c r="H4" i="6" s="1"/>
  <c r="AB1172" i="5"/>
  <c r="T1172" i="5"/>
  <c r="S1172" i="5"/>
  <c r="C1171" i="5"/>
  <c r="V1171" i="5" s="1"/>
  <c r="B1171" i="5"/>
  <c r="C1170" i="5"/>
  <c r="B1170" i="5"/>
  <c r="C1169" i="5"/>
  <c r="B1169" i="5"/>
  <c r="C1168" i="5"/>
  <c r="V1168" i="5" s="1"/>
  <c r="B1168" i="5"/>
  <c r="S1168" i="5" s="1"/>
  <c r="C1167" i="5"/>
  <c r="V1167" i="5" s="1"/>
  <c r="I1167" i="5" s="1"/>
  <c r="B1167" i="5"/>
  <c r="S1167" i="5" s="1"/>
  <c r="C1166" i="5"/>
  <c r="V1166" i="5" s="1"/>
  <c r="J1166" i="5" s="1"/>
  <c r="B1166" i="5"/>
  <c r="C1165" i="5"/>
  <c r="V1165" i="5" s="1"/>
  <c r="H1165" i="5" s="1"/>
  <c r="B1165" i="5"/>
  <c r="S1165" i="5" s="1"/>
  <c r="C1164" i="5"/>
  <c r="B1164" i="5"/>
  <c r="S1164" i="5" s="1"/>
  <c r="C1163" i="5"/>
  <c r="B1163" i="5"/>
  <c r="S1163" i="5" s="1"/>
  <c r="C1162" i="5"/>
  <c r="B1162" i="5"/>
  <c r="C1161" i="5"/>
  <c r="B1161" i="5"/>
  <c r="T1161" i="5" s="1"/>
  <c r="C1160" i="5"/>
  <c r="B1160" i="5"/>
  <c r="S1160" i="5" s="1"/>
  <c r="C1159" i="5"/>
  <c r="B1159" i="5"/>
  <c r="C1158" i="5"/>
  <c r="V1158" i="5" s="1"/>
  <c r="I1158" i="5" s="1"/>
  <c r="B1158" i="5"/>
  <c r="C1157" i="5"/>
  <c r="B1157" i="5"/>
  <c r="C1156" i="5"/>
  <c r="V1156" i="5" s="1"/>
  <c r="B1156" i="5"/>
  <c r="S1156" i="5" s="1"/>
  <c r="C1155" i="5"/>
  <c r="V1155" i="5" s="1"/>
  <c r="J1155" i="5" s="1"/>
  <c r="B1155" i="5"/>
  <c r="C1154" i="5"/>
  <c r="V1154" i="5" s="1"/>
  <c r="B1154" i="5"/>
  <c r="C1153" i="5"/>
  <c r="B1153" i="5"/>
  <c r="C1152" i="5"/>
  <c r="V1152" i="5" s="1"/>
  <c r="B1152" i="5"/>
  <c r="C1151" i="5"/>
  <c r="B1151" i="5"/>
  <c r="C1150" i="5"/>
  <c r="B1150" i="5"/>
  <c r="C1149" i="5"/>
  <c r="V1149" i="5" s="1"/>
  <c r="B1149" i="5"/>
  <c r="C1148" i="5"/>
  <c r="B1148" i="5"/>
  <c r="T1148" i="5" s="1"/>
  <c r="C1147" i="5"/>
  <c r="B1147" i="5"/>
  <c r="C1146" i="5"/>
  <c r="V1146" i="5" s="1"/>
  <c r="F1146" i="5" s="1"/>
  <c r="B1146" i="5"/>
  <c r="T1146" i="5" s="1"/>
  <c r="C1145" i="5"/>
  <c r="V1145" i="5" s="1"/>
  <c r="B1145" i="5"/>
  <c r="T1145" i="5" s="1"/>
  <c r="C1144" i="5"/>
  <c r="V1144" i="5" s="1"/>
  <c r="J1144" i="5" s="1"/>
  <c r="B1144" i="5"/>
  <c r="C1143" i="5"/>
  <c r="V1143" i="5" s="1"/>
  <c r="B1143" i="5"/>
  <c r="C1142" i="5"/>
  <c r="B1142" i="5"/>
  <c r="C1141" i="5"/>
  <c r="B1141" i="5"/>
  <c r="C1140" i="5"/>
  <c r="B1140" i="5"/>
  <c r="C1139" i="5"/>
  <c r="V1139" i="5" s="1"/>
  <c r="H1139" i="5" s="1"/>
  <c r="B1139" i="5"/>
  <c r="T1139" i="5" s="1"/>
  <c r="C1138" i="5"/>
  <c r="B1138" i="5"/>
  <c r="S1138" i="5" s="1"/>
  <c r="C1137" i="5"/>
  <c r="V1137" i="5" s="1"/>
  <c r="F1137" i="5" s="1"/>
  <c r="B1137" i="5"/>
  <c r="T1137" i="5" s="1"/>
  <c r="C1136" i="5"/>
  <c r="B1136" i="5"/>
  <c r="S1136" i="5" s="1"/>
  <c r="C1135" i="5"/>
  <c r="V1135" i="5" s="1"/>
  <c r="E1135" i="5" s="1"/>
  <c r="B1135" i="5"/>
  <c r="S1135" i="5" s="1"/>
  <c r="C1134" i="5"/>
  <c r="B1134" i="5"/>
  <c r="C1133" i="5"/>
  <c r="B1133" i="5"/>
  <c r="T1133" i="5" s="1"/>
  <c r="C1132" i="5"/>
  <c r="V1132" i="5" s="1"/>
  <c r="B1132" i="5"/>
  <c r="C1131" i="5"/>
  <c r="B1131" i="5"/>
  <c r="S1131" i="5" s="1"/>
  <c r="C1130" i="5"/>
  <c r="V1130" i="5" s="1"/>
  <c r="B1130" i="5"/>
  <c r="C1129" i="5"/>
  <c r="V1129" i="5" s="1"/>
  <c r="B1129" i="5"/>
  <c r="C1128" i="5"/>
  <c r="V1128" i="5" s="1"/>
  <c r="B1128" i="5"/>
  <c r="T1128" i="5" s="1"/>
  <c r="C1127" i="5"/>
  <c r="B1127" i="5"/>
  <c r="C1126" i="5"/>
  <c r="V1126" i="5" s="1"/>
  <c r="H1126" i="5" s="1"/>
  <c r="B1126" i="5"/>
  <c r="C1125" i="5"/>
  <c r="V1125" i="5" s="1"/>
  <c r="B1125" i="5"/>
  <c r="C1124" i="5"/>
  <c r="V1124" i="5" s="1"/>
  <c r="B1124" i="5"/>
  <c r="S1124" i="5" s="1"/>
  <c r="C1123" i="5"/>
  <c r="V1123" i="5" s="1"/>
  <c r="B1123" i="5"/>
  <c r="C1122" i="5"/>
  <c r="B1122" i="5"/>
  <c r="S1122" i="5" s="1"/>
  <c r="C1121" i="5"/>
  <c r="B1121" i="5"/>
  <c r="T1121" i="5" s="1"/>
  <c r="C1120" i="5"/>
  <c r="V1120" i="5" s="1"/>
  <c r="R1120" i="5" s="1"/>
  <c r="B1120" i="5"/>
  <c r="C1119" i="5"/>
  <c r="V1119" i="5" s="1"/>
  <c r="B1119" i="5"/>
  <c r="T1119" i="5" s="1"/>
  <c r="C1118" i="5"/>
  <c r="B1118" i="5"/>
  <c r="T1118" i="5" s="1"/>
  <c r="C1117" i="5"/>
  <c r="V1117" i="5" s="1"/>
  <c r="B1117" i="5"/>
  <c r="S1117" i="5" s="1"/>
  <c r="C1116" i="5"/>
  <c r="B1116" i="5"/>
  <c r="C1115" i="5"/>
  <c r="V1115" i="5" s="1"/>
  <c r="B1115" i="5"/>
  <c r="C1114" i="5"/>
  <c r="V1114" i="5" s="1"/>
  <c r="B1114" i="5"/>
  <c r="T1114" i="5" s="1"/>
  <c r="C1113" i="5"/>
  <c r="V1113" i="5" s="1"/>
  <c r="B1113" i="5"/>
  <c r="C1112" i="5"/>
  <c r="B1112" i="5"/>
  <c r="T1112" i="5" s="1"/>
  <c r="C1111" i="5"/>
  <c r="B1111" i="5"/>
  <c r="S1111" i="5" s="1"/>
  <c r="C1110" i="5"/>
  <c r="B1110" i="5"/>
  <c r="C1109" i="5"/>
  <c r="V1109" i="5" s="1"/>
  <c r="H1109" i="5" s="1"/>
  <c r="B1109" i="5"/>
  <c r="C1108" i="5"/>
  <c r="B1108" i="5"/>
  <c r="T1108" i="5" s="1"/>
  <c r="C1107" i="5"/>
  <c r="V1107" i="5" s="1"/>
  <c r="B1107" i="5"/>
  <c r="T1107" i="5" s="1"/>
  <c r="C1106" i="5"/>
  <c r="B1106" i="5"/>
  <c r="T1106" i="5" s="1"/>
  <c r="C1105" i="5"/>
  <c r="B1105" i="5"/>
  <c r="C1104" i="5"/>
  <c r="B1104" i="5"/>
  <c r="S1104" i="5" s="1"/>
  <c r="C1103" i="5"/>
  <c r="V1103" i="5" s="1"/>
  <c r="E1103" i="5" s="1"/>
  <c r="B1103" i="5"/>
  <c r="S1103" i="5" s="1"/>
  <c r="C1102" i="5"/>
  <c r="B1102" i="5"/>
  <c r="T1102" i="5" s="1"/>
  <c r="C1101" i="5"/>
  <c r="V1101" i="5" s="1"/>
  <c r="I1101" i="5" s="1"/>
  <c r="B1101" i="5"/>
  <c r="C1100" i="5"/>
  <c r="V1100" i="5" s="1"/>
  <c r="F1100" i="5" s="1"/>
  <c r="B1100" i="5"/>
  <c r="C1099" i="5"/>
  <c r="B1099" i="5"/>
  <c r="T1099" i="5" s="1"/>
  <c r="C1098" i="5"/>
  <c r="B1098" i="5"/>
  <c r="T1098" i="5" s="1"/>
  <c r="C1097" i="5"/>
  <c r="B1097" i="5"/>
  <c r="C1096" i="5"/>
  <c r="B1096" i="5"/>
  <c r="T1096" i="5" s="1"/>
  <c r="C1095" i="5"/>
  <c r="B1095" i="5"/>
  <c r="C1094" i="5"/>
  <c r="B1094" i="5"/>
  <c r="S1094" i="5" s="1"/>
  <c r="C1093" i="5"/>
  <c r="B1093" i="5"/>
  <c r="T1093" i="5" s="1"/>
  <c r="C1092" i="5"/>
  <c r="B1092" i="5"/>
  <c r="C1091" i="5"/>
  <c r="V1091" i="5" s="1"/>
  <c r="B1091" i="5"/>
  <c r="C1090" i="5"/>
  <c r="V1090" i="5" s="1"/>
  <c r="F1090" i="5" s="1"/>
  <c r="B1090" i="5"/>
  <c r="C1089" i="5"/>
  <c r="V1089" i="5" s="1"/>
  <c r="R1089" i="5" s="1"/>
  <c r="B1089" i="5"/>
  <c r="T1089" i="5" s="1"/>
  <c r="C1088" i="5"/>
  <c r="B1088" i="5"/>
  <c r="C1087" i="5"/>
  <c r="V1087" i="5" s="1"/>
  <c r="B1087" i="5"/>
  <c r="S1087" i="5" s="1"/>
  <c r="C1086" i="5"/>
  <c r="V1086" i="5" s="1"/>
  <c r="B1086" i="5"/>
  <c r="C1085" i="5"/>
  <c r="V1085" i="5" s="1"/>
  <c r="E1085" i="5" s="1"/>
  <c r="B1085" i="5"/>
  <c r="T1085" i="5" s="1"/>
  <c r="C1084" i="5"/>
  <c r="V1084" i="5" s="1"/>
  <c r="J1084" i="5" s="1"/>
  <c r="B1084" i="5"/>
  <c r="C1083" i="5"/>
  <c r="B1083" i="5"/>
  <c r="C1082" i="5"/>
  <c r="B1082" i="5"/>
  <c r="C1081" i="5"/>
  <c r="V1081" i="5" s="1"/>
  <c r="R1081" i="5" s="1"/>
  <c r="B1081" i="5"/>
  <c r="T1081" i="5" s="1"/>
  <c r="C1080" i="5"/>
  <c r="B1080" i="5"/>
  <c r="C1079" i="5"/>
  <c r="B1079" i="5"/>
  <c r="S1079" i="5" s="1"/>
  <c r="C1078" i="5"/>
  <c r="V1078" i="5" s="1"/>
  <c r="B1078" i="5"/>
  <c r="S1078" i="5" s="1"/>
  <c r="C1077" i="5"/>
  <c r="B1077" i="5"/>
  <c r="T1077" i="5" s="1"/>
  <c r="C1076" i="5"/>
  <c r="V1076" i="5" s="1"/>
  <c r="R1076" i="5" s="1"/>
  <c r="B1076" i="5"/>
  <c r="C1075" i="5"/>
  <c r="V1075" i="5" s="1"/>
  <c r="B1075" i="5"/>
  <c r="C1074" i="5"/>
  <c r="B1074" i="5"/>
  <c r="C1073" i="5"/>
  <c r="B1073" i="5"/>
  <c r="C1072" i="5"/>
  <c r="V1072" i="5" s="1"/>
  <c r="R1072" i="5" s="1"/>
  <c r="B1072" i="5"/>
  <c r="T1072" i="5" s="1"/>
  <c r="C1071" i="5"/>
  <c r="V1071" i="5" s="1"/>
  <c r="E1071" i="5" s="1"/>
  <c r="X1071" i="5" s="1"/>
  <c r="B1071" i="5"/>
  <c r="C1070" i="5"/>
  <c r="V1070" i="5" s="1"/>
  <c r="R1070" i="5" s="1"/>
  <c r="B1070" i="5"/>
  <c r="C1069" i="5"/>
  <c r="V1069" i="5" s="1"/>
  <c r="E1069" i="5" s="1"/>
  <c r="X1069" i="5" s="1"/>
  <c r="B1069" i="5"/>
  <c r="C1068" i="5"/>
  <c r="V1068" i="5" s="1"/>
  <c r="B1068" i="5"/>
  <c r="C1067" i="5"/>
  <c r="V1067" i="5" s="1"/>
  <c r="B1067" i="5"/>
  <c r="C1066" i="5"/>
  <c r="V1066" i="5" s="1"/>
  <c r="I1066" i="5" s="1"/>
  <c r="B1066" i="5"/>
  <c r="S1066" i="5" s="1"/>
  <c r="C1065" i="5"/>
  <c r="V1065" i="5" s="1"/>
  <c r="E1065" i="5" s="1"/>
  <c r="B1065" i="5"/>
  <c r="S1065" i="5" s="1"/>
  <c r="C1064" i="5"/>
  <c r="B1064" i="5"/>
  <c r="C1063" i="5"/>
  <c r="V1063" i="5" s="1"/>
  <c r="R1063" i="5" s="1"/>
  <c r="B1063" i="5"/>
  <c r="C1062" i="5"/>
  <c r="B1062" i="5"/>
  <c r="S1062" i="5" s="1"/>
  <c r="C1061" i="5"/>
  <c r="V1061" i="5" s="1"/>
  <c r="E1061" i="5" s="1"/>
  <c r="B1061" i="5"/>
  <c r="C1060" i="5"/>
  <c r="B1060" i="5"/>
  <c r="C1059" i="5"/>
  <c r="V1059" i="5" s="1"/>
  <c r="R1059" i="5" s="1"/>
  <c r="B1059" i="5"/>
  <c r="C1058" i="5"/>
  <c r="V1058" i="5" s="1"/>
  <c r="B1058" i="5"/>
  <c r="C1057" i="5"/>
  <c r="B1057" i="5"/>
  <c r="T1057" i="5" s="1"/>
  <c r="C1056" i="5"/>
  <c r="V1056" i="5" s="1"/>
  <c r="B1056" i="5"/>
  <c r="C1055" i="5"/>
  <c r="B1055" i="5"/>
  <c r="C1054" i="5"/>
  <c r="V1054" i="5" s="1"/>
  <c r="I1054" i="5" s="1"/>
  <c r="B1054" i="5"/>
  <c r="C1053" i="5"/>
  <c r="B1053" i="5"/>
  <c r="C1052" i="5"/>
  <c r="B1052" i="5"/>
  <c r="C1051" i="5"/>
  <c r="V1051" i="5" s="1"/>
  <c r="I1051" i="5" s="1"/>
  <c r="B1051" i="5"/>
  <c r="C1050" i="5"/>
  <c r="V1050" i="5" s="1"/>
  <c r="B1050" i="5"/>
  <c r="S1050" i="5" s="1"/>
  <c r="C1049" i="5"/>
  <c r="V1049" i="5" s="1"/>
  <c r="B1049" i="5"/>
  <c r="T1049" i="5" s="1"/>
  <c r="C1048" i="5"/>
  <c r="V1048" i="5" s="1"/>
  <c r="R1048" i="5" s="1"/>
  <c r="B1048" i="5"/>
  <c r="C1047" i="5"/>
  <c r="V1047" i="5" s="1"/>
  <c r="B1047" i="5"/>
  <c r="C1046" i="5"/>
  <c r="B1046" i="5"/>
  <c r="C1045" i="5"/>
  <c r="V1045" i="5" s="1"/>
  <c r="B1045" i="5"/>
  <c r="T1045" i="5" s="1"/>
  <c r="C1044" i="5"/>
  <c r="V1044" i="5" s="1"/>
  <c r="B1044" i="5"/>
  <c r="C1043" i="5"/>
  <c r="B1043" i="5"/>
  <c r="C1042" i="5"/>
  <c r="V1042" i="5" s="1"/>
  <c r="B1042" i="5"/>
  <c r="T1042" i="5" s="1"/>
  <c r="C1041" i="5"/>
  <c r="V1041" i="5" s="1"/>
  <c r="B1041" i="5"/>
  <c r="T1041" i="5" s="1"/>
  <c r="C1040" i="5"/>
  <c r="V1040" i="5" s="1"/>
  <c r="B1040" i="5"/>
  <c r="C1039" i="5"/>
  <c r="B1039" i="5"/>
  <c r="S1039" i="5" s="1"/>
  <c r="C1038" i="5"/>
  <c r="V1038" i="5" s="1"/>
  <c r="B1038" i="5"/>
  <c r="C1037" i="5"/>
  <c r="B1037" i="5"/>
  <c r="C1036" i="5"/>
  <c r="V1036" i="5" s="1"/>
  <c r="B1036" i="5"/>
  <c r="C1035" i="5"/>
  <c r="B1035" i="5"/>
  <c r="C1034" i="5"/>
  <c r="V1034" i="5" s="1"/>
  <c r="H1034" i="5" s="1"/>
  <c r="B1034" i="5"/>
  <c r="C1033" i="5"/>
  <c r="V1033" i="5" s="1"/>
  <c r="R1033" i="5" s="1"/>
  <c r="B1033" i="5"/>
  <c r="T1033" i="5" s="1"/>
  <c r="C1032" i="5"/>
  <c r="V1032" i="5" s="1"/>
  <c r="F1032" i="5" s="1"/>
  <c r="B1032" i="5"/>
  <c r="C1031" i="5"/>
  <c r="V1031" i="5" s="1"/>
  <c r="I1031" i="5" s="1"/>
  <c r="B1031" i="5"/>
  <c r="T1031" i="5" s="1"/>
  <c r="C1030" i="5"/>
  <c r="V1030" i="5" s="1"/>
  <c r="B1030" i="5"/>
  <c r="C1029" i="5"/>
  <c r="B1029" i="5"/>
  <c r="T1029" i="5" s="1"/>
  <c r="C1028" i="5"/>
  <c r="V1028" i="5" s="1"/>
  <c r="B1028" i="5"/>
  <c r="C1027" i="5"/>
  <c r="B1027" i="5"/>
  <c r="T1027" i="5" s="1"/>
  <c r="C1026" i="5"/>
  <c r="V1026" i="5" s="1"/>
  <c r="B1026" i="5"/>
  <c r="C1025" i="5"/>
  <c r="V1025" i="5" s="1"/>
  <c r="B1025" i="5"/>
  <c r="T1025" i="5" s="1"/>
  <c r="C1024" i="5"/>
  <c r="V1024" i="5" s="1"/>
  <c r="B1024" i="5"/>
  <c r="T1024" i="5" s="1"/>
  <c r="C1023" i="5"/>
  <c r="B1023" i="5"/>
  <c r="T1023" i="5" s="1"/>
  <c r="C1022" i="5"/>
  <c r="V1022" i="5" s="1"/>
  <c r="B1022" i="5"/>
  <c r="C1021" i="5"/>
  <c r="B1021" i="5"/>
  <c r="T1021" i="5" s="1"/>
  <c r="C1020" i="5"/>
  <c r="B1020" i="5"/>
  <c r="C1019" i="5"/>
  <c r="V1019" i="5" s="1"/>
  <c r="R1019" i="5" s="1"/>
  <c r="B1019" i="5"/>
  <c r="C1018" i="5"/>
  <c r="V1018" i="5" s="1"/>
  <c r="B1018" i="5"/>
  <c r="C1017" i="5"/>
  <c r="V1017" i="5" s="1"/>
  <c r="H1017" i="5" s="1"/>
  <c r="B1017" i="5"/>
  <c r="T1017" i="5" s="1"/>
  <c r="C1016" i="5"/>
  <c r="V1016" i="5" s="1"/>
  <c r="F1016" i="5" s="1"/>
  <c r="B1016" i="5"/>
  <c r="T1016" i="5" s="1"/>
  <c r="C1015" i="5"/>
  <c r="B1015" i="5"/>
  <c r="T1015" i="5" s="1"/>
  <c r="C1014" i="5"/>
  <c r="V1014" i="5" s="1"/>
  <c r="R1014" i="5" s="1"/>
  <c r="B1014" i="5"/>
  <c r="C1013" i="5"/>
  <c r="B1013" i="5"/>
  <c r="T1013" i="5" s="1"/>
  <c r="C1012" i="5"/>
  <c r="V1012" i="5" s="1"/>
  <c r="R1012" i="5" s="1"/>
  <c r="B1012" i="5"/>
  <c r="C1011" i="5"/>
  <c r="V1011" i="5" s="1"/>
  <c r="R1011" i="5" s="1"/>
  <c r="B1011" i="5"/>
  <c r="C1010" i="5"/>
  <c r="V1010" i="5" s="1"/>
  <c r="B1010" i="5"/>
  <c r="C1009" i="5"/>
  <c r="V1009" i="5" s="1"/>
  <c r="B1009" i="5"/>
  <c r="T1009" i="5" s="1"/>
  <c r="C1008" i="5"/>
  <c r="V1008" i="5" s="1"/>
  <c r="F1008" i="5" s="1"/>
  <c r="B1008" i="5"/>
  <c r="T1008" i="5" s="1"/>
  <c r="C1007" i="5"/>
  <c r="V1007" i="5" s="1"/>
  <c r="I1007" i="5" s="1"/>
  <c r="B1007" i="5"/>
  <c r="T1007" i="5" s="1"/>
  <c r="C1006" i="5"/>
  <c r="V1006" i="5" s="1"/>
  <c r="B1006" i="5"/>
  <c r="C1005" i="5"/>
  <c r="B1005" i="5"/>
  <c r="T1005" i="5" s="1"/>
  <c r="C1004" i="5"/>
  <c r="V1004" i="5" s="1"/>
  <c r="G1004" i="5" s="1"/>
  <c r="B1004" i="5"/>
  <c r="C1003" i="5"/>
  <c r="B1003" i="5"/>
  <c r="T1003" i="5" s="1"/>
  <c r="C1002" i="5"/>
  <c r="V1002" i="5" s="1"/>
  <c r="B1002" i="5"/>
  <c r="C1001" i="5"/>
  <c r="V1001" i="5" s="1"/>
  <c r="I1001" i="5" s="1"/>
  <c r="B1001" i="5"/>
  <c r="C1000" i="5"/>
  <c r="V1000" i="5" s="1"/>
  <c r="F1000" i="5" s="1"/>
  <c r="B1000" i="5"/>
  <c r="C999" i="5"/>
  <c r="B999" i="5"/>
  <c r="T999" i="5" s="1"/>
  <c r="C998" i="5"/>
  <c r="V998" i="5" s="1"/>
  <c r="B998" i="5"/>
  <c r="C997" i="5"/>
  <c r="B997" i="5"/>
  <c r="T997" i="5" s="1"/>
  <c r="C996" i="5"/>
  <c r="V996" i="5" s="1"/>
  <c r="B996" i="5"/>
  <c r="C995" i="5"/>
  <c r="V995" i="5" s="1"/>
  <c r="E995" i="5" s="1"/>
  <c r="B995" i="5"/>
  <c r="C994" i="5"/>
  <c r="V994" i="5" s="1"/>
  <c r="I994" i="5" s="1"/>
  <c r="B994" i="5"/>
  <c r="C993" i="5"/>
  <c r="V993" i="5" s="1"/>
  <c r="R993" i="5" s="1"/>
  <c r="B993" i="5"/>
  <c r="T993" i="5" s="1"/>
  <c r="C992" i="5"/>
  <c r="V992" i="5" s="1"/>
  <c r="F992" i="5" s="1"/>
  <c r="B992" i="5"/>
  <c r="T992" i="5" s="1"/>
  <c r="C991" i="5"/>
  <c r="V991" i="5" s="1"/>
  <c r="I991" i="5" s="1"/>
  <c r="B991" i="5"/>
  <c r="C990" i="5"/>
  <c r="B990" i="5"/>
  <c r="T990" i="5" s="1"/>
  <c r="C989" i="5"/>
  <c r="B989" i="5"/>
  <c r="T989" i="5" s="1"/>
  <c r="C988" i="5"/>
  <c r="B988" i="5"/>
  <c r="T988" i="5" s="1"/>
  <c r="C987" i="5"/>
  <c r="V987" i="5" s="1"/>
  <c r="H987" i="5" s="1"/>
  <c r="B987" i="5"/>
  <c r="C986" i="5"/>
  <c r="V986" i="5" s="1"/>
  <c r="B986" i="5"/>
  <c r="S986" i="5" s="1"/>
  <c r="C985" i="5"/>
  <c r="B985" i="5"/>
  <c r="C984" i="5"/>
  <c r="B984" i="5"/>
  <c r="C983" i="5"/>
  <c r="V983" i="5" s="1"/>
  <c r="B983" i="5"/>
  <c r="C982" i="5"/>
  <c r="B982" i="5"/>
  <c r="S982" i="5" s="1"/>
  <c r="C981" i="5"/>
  <c r="B981" i="5"/>
  <c r="S981" i="5" s="1"/>
  <c r="C980" i="5"/>
  <c r="V980" i="5" s="1"/>
  <c r="R980" i="5" s="1"/>
  <c r="B980" i="5"/>
  <c r="C979" i="5"/>
  <c r="V979" i="5" s="1"/>
  <c r="B979" i="5"/>
  <c r="T979" i="5" s="1"/>
  <c r="C978" i="5"/>
  <c r="V978" i="5" s="1"/>
  <c r="B978" i="5"/>
  <c r="S978" i="5" s="1"/>
  <c r="C977" i="5"/>
  <c r="B977" i="5"/>
  <c r="C976" i="5"/>
  <c r="V976" i="5" s="1"/>
  <c r="B976" i="5"/>
  <c r="C975" i="5"/>
  <c r="V975" i="5" s="1"/>
  <c r="B975" i="5"/>
  <c r="T975" i="5" s="1"/>
  <c r="C974" i="5"/>
  <c r="B974" i="5"/>
  <c r="S974" i="5" s="1"/>
  <c r="C973" i="5"/>
  <c r="B973" i="5"/>
  <c r="C972" i="5"/>
  <c r="V972" i="5" s="1"/>
  <c r="R972" i="5" s="1"/>
  <c r="B972" i="5"/>
  <c r="C971" i="5"/>
  <c r="B971" i="5"/>
  <c r="C970" i="5"/>
  <c r="B970" i="5"/>
  <c r="T970" i="5" s="1"/>
  <c r="C969" i="5"/>
  <c r="V969" i="5" s="1"/>
  <c r="H969" i="5" s="1"/>
  <c r="B969" i="5"/>
  <c r="T969" i="5" s="1"/>
  <c r="C968" i="5"/>
  <c r="V968" i="5" s="1"/>
  <c r="B968" i="5"/>
  <c r="C967" i="5"/>
  <c r="V967" i="5" s="1"/>
  <c r="B967" i="5"/>
  <c r="S967" i="5" s="1"/>
  <c r="C966" i="5"/>
  <c r="B966" i="5"/>
  <c r="T966" i="5" s="1"/>
  <c r="C965" i="5"/>
  <c r="B965" i="5"/>
  <c r="T965" i="5" s="1"/>
  <c r="C964" i="5"/>
  <c r="B964" i="5"/>
  <c r="C963" i="5"/>
  <c r="B963" i="5"/>
  <c r="S963" i="5" s="1"/>
  <c r="C962" i="5"/>
  <c r="V962" i="5" s="1"/>
  <c r="H962" i="5" s="1"/>
  <c r="B962" i="5"/>
  <c r="C961" i="5"/>
  <c r="B961" i="5"/>
  <c r="C960" i="5"/>
  <c r="V960" i="5" s="1"/>
  <c r="B960" i="5"/>
  <c r="T960" i="5" s="1"/>
  <c r="C959" i="5"/>
  <c r="B959" i="5"/>
  <c r="C958" i="5"/>
  <c r="V958" i="5" s="1"/>
  <c r="B958" i="5"/>
  <c r="C957" i="5"/>
  <c r="B957" i="5"/>
  <c r="C956" i="5"/>
  <c r="V956" i="5" s="1"/>
  <c r="B956" i="5"/>
  <c r="T956" i="5" s="1"/>
  <c r="C955" i="5"/>
  <c r="B955" i="5"/>
  <c r="T955" i="5" s="1"/>
  <c r="C954" i="5"/>
  <c r="V954" i="5" s="1"/>
  <c r="B954" i="5"/>
  <c r="C953" i="5"/>
  <c r="B953" i="5"/>
  <c r="C952" i="5"/>
  <c r="V952" i="5" s="1"/>
  <c r="J952" i="5" s="1"/>
  <c r="B952" i="5"/>
  <c r="T952" i="5" s="1"/>
  <c r="C951" i="5"/>
  <c r="B951" i="5"/>
  <c r="T951" i="5" s="1"/>
  <c r="C950" i="5"/>
  <c r="V950" i="5" s="1"/>
  <c r="F950" i="5" s="1"/>
  <c r="B950" i="5"/>
  <c r="C949" i="5"/>
  <c r="B949" i="5"/>
  <c r="T949" i="5" s="1"/>
  <c r="C948" i="5"/>
  <c r="V948" i="5" s="1"/>
  <c r="J948" i="5" s="1"/>
  <c r="B948" i="5"/>
  <c r="T948" i="5" s="1"/>
  <c r="C947" i="5"/>
  <c r="B947" i="5"/>
  <c r="C946" i="5"/>
  <c r="V946" i="5" s="1"/>
  <c r="B946" i="5"/>
  <c r="C945" i="5"/>
  <c r="B945" i="5"/>
  <c r="S945" i="5" s="1"/>
  <c r="C944" i="5"/>
  <c r="B944" i="5"/>
  <c r="T944" i="5" s="1"/>
  <c r="C943" i="5"/>
  <c r="B943" i="5"/>
  <c r="T943" i="5" s="1"/>
  <c r="C942" i="5"/>
  <c r="V942" i="5" s="1"/>
  <c r="R942" i="5" s="1"/>
  <c r="B942" i="5"/>
  <c r="C941" i="5"/>
  <c r="B941" i="5"/>
  <c r="S941" i="5" s="1"/>
  <c r="C940" i="5"/>
  <c r="V940" i="5" s="1"/>
  <c r="B940" i="5"/>
  <c r="T940" i="5" s="1"/>
  <c r="C939" i="5"/>
  <c r="B939" i="5"/>
  <c r="C938" i="5"/>
  <c r="V938" i="5" s="1"/>
  <c r="B938" i="5"/>
  <c r="C937" i="5"/>
  <c r="B937" i="5"/>
  <c r="T937" i="5" s="1"/>
  <c r="C936" i="5"/>
  <c r="V936" i="5" s="1"/>
  <c r="B936" i="5"/>
  <c r="C935" i="5"/>
  <c r="B935" i="5"/>
  <c r="T935" i="5" s="1"/>
  <c r="C934" i="5"/>
  <c r="V934" i="5" s="1"/>
  <c r="B934" i="5"/>
  <c r="C933" i="5"/>
  <c r="B933" i="5"/>
  <c r="S933" i="5" s="1"/>
  <c r="C932" i="5"/>
  <c r="B932" i="5"/>
  <c r="C931" i="5"/>
  <c r="B931" i="5"/>
  <c r="C930" i="5"/>
  <c r="V930" i="5" s="1"/>
  <c r="G930" i="5" s="1"/>
  <c r="B930" i="5"/>
  <c r="C929" i="5"/>
  <c r="B929" i="5"/>
  <c r="S929" i="5" s="1"/>
  <c r="C928" i="5"/>
  <c r="V928" i="5" s="1"/>
  <c r="B928" i="5"/>
  <c r="C927" i="5"/>
  <c r="B927" i="5"/>
  <c r="T927" i="5" s="1"/>
  <c r="C926" i="5"/>
  <c r="V926" i="5" s="1"/>
  <c r="B926" i="5"/>
  <c r="C925" i="5"/>
  <c r="B925" i="5"/>
  <c r="T925" i="5" s="1"/>
  <c r="C924" i="5"/>
  <c r="V924" i="5" s="1"/>
  <c r="F924" i="5" s="1"/>
  <c r="B924" i="5"/>
  <c r="C923" i="5"/>
  <c r="B923" i="5"/>
  <c r="C922" i="5"/>
  <c r="B922" i="5"/>
  <c r="C921" i="5"/>
  <c r="B921" i="5"/>
  <c r="T921" i="5" s="1"/>
  <c r="C920" i="5"/>
  <c r="V920" i="5" s="1"/>
  <c r="H920" i="5" s="1"/>
  <c r="B920" i="5"/>
  <c r="C919" i="5"/>
  <c r="V919" i="5" s="1"/>
  <c r="I919" i="5" s="1"/>
  <c r="B919" i="5"/>
  <c r="C918" i="5"/>
  <c r="V918" i="5" s="1"/>
  <c r="B918" i="5"/>
  <c r="C917" i="5"/>
  <c r="V917" i="5" s="1"/>
  <c r="R917" i="5" s="1"/>
  <c r="B917" i="5"/>
  <c r="C916" i="5"/>
  <c r="V916" i="5" s="1"/>
  <c r="B916" i="5"/>
  <c r="C915" i="5"/>
  <c r="V915" i="5" s="1"/>
  <c r="B915" i="5"/>
  <c r="T915" i="5" s="1"/>
  <c r="C914" i="5"/>
  <c r="B914" i="5"/>
  <c r="C913" i="5"/>
  <c r="B913" i="5"/>
  <c r="C912" i="5"/>
  <c r="V912" i="5" s="1"/>
  <c r="I912" i="5" s="1"/>
  <c r="B912" i="5"/>
  <c r="C911" i="5"/>
  <c r="V911" i="5" s="1"/>
  <c r="H911" i="5" s="1"/>
  <c r="B911" i="5"/>
  <c r="C910" i="5"/>
  <c r="V910" i="5" s="1"/>
  <c r="E910" i="5" s="1"/>
  <c r="B910" i="5"/>
  <c r="T910" i="5" s="1"/>
  <c r="C909" i="5"/>
  <c r="V909" i="5" s="1"/>
  <c r="B909" i="5"/>
  <c r="C908" i="5"/>
  <c r="V908" i="5" s="1"/>
  <c r="B908" i="5"/>
  <c r="C907" i="5"/>
  <c r="V907" i="5" s="1"/>
  <c r="B907" i="5"/>
  <c r="T907" i="5" s="1"/>
  <c r="C906" i="5"/>
  <c r="V906" i="5" s="1"/>
  <c r="E906" i="5" s="1"/>
  <c r="X906" i="5" s="1"/>
  <c r="B906" i="5"/>
  <c r="T906" i="5" s="1"/>
  <c r="C905" i="5"/>
  <c r="B905" i="5"/>
  <c r="C904" i="5"/>
  <c r="V904" i="5" s="1"/>
  <c r="B904" i="5"/>
  <c r="C903" i="5"/>
  <c r="B903" i="5"/>
  <c r="T903" i="5" s="1"/>
  <c r="C902" i="5"/>
  <c r="B902" i="5"/>
  <c r="S902" i="5" s="1"/>
  <c r="C901" i="5"/>
  <c r="V901" i="5" s="1"/>
  <c r="R901" i="5" s="1"/>
  <c r="B901" i="5"/>
  <c r="C900" i="5"/>
  <c r="V900" i="5" s="1"/>
  <c r="B900" i="5"/>
  <c r="C899" i="5"/>
  <c r="V899" i="5" s="1"/>
  <c r="B899" i="5"/>
  <c r="T899" i="5" s="1"/>
  <c r="C898" i="5"/>
  <c r="B898" i="5"/>
  <c r="S898" i="5" s="1"/>
  <c r="C897" i="5"/>
  <c r="B897" i="5"/>
  <c r="C896" i="5"/>
  <c r="V896" i="5" s="1"/>
  <c r="B896" i="5"/>
  <c r="T896" i="5" s="1"/>
  <c r="C895" i="5"/>
  <c r="B895" i="5"/>
  <c r="T895" i="5" s="1"/>
  <c r="C894" i="5"/>
  <c r="B894" i="5"/>
  <c r="T894" i="5" s="1"/>
  <c r="C893" i="5"/>
  <c r="V893" i="5" s="1"/>
  <c r="R893" i="5" s="1"/>
  <c r="B893" i="5"/>
  <c r="C892" i="5"/>
  <c r="V892" i="5" s="1"/>
  <c r="I892" i="5" s="1"/>
  <c r="B892" i="5"/>
  <c r="C891" i="5"/>
  <c r="V891" i="5" s="1"/>
  <c r="B891" i="5"/>
  <c r="T891" i="5" s="1"/>
  <c r="C890" i="5"/>
  <c r="B890" i="5"/>
  <c r="S890" i="5" s="1"/>
  <c r="C889" i="5"/>
  <c r="V889" i="5" s="1"/>
  <c r="B889" i="5"/>
  <c r="C888" i="5"/>
  <c r="V888" i="5" s="1"/>
  <c r="B888" i="5"/>
  <c r="C887" i="5"/>
  <c r="V887" i="5" s="1"/>
  <c r="B887" i="5"/>
  <c r="T887" i="5" s="1"/>
  <c r="C886" i="5"/>
  <c r="V886" i="5" s="1"/>
  <c r="B886" i="5"/>
  <c r="T886" i="5" s="1"/>
  <c r="C885" i="5"/>
  <c r="V885" i="5" s="1"/>
  <c r="J885" i="5" s="1"/>
  <c r="B885" i="5"/>
  <c r="C884" i="5"/>
  <c r="B884" i="5"/>
  <c r="C883" i="5"/>
  <c r="V883" i="5" s="1"/>
  <c r="I883" i="5" s="1"/>
  <c r="B883" i="5"/>
  <c r="T883" i="5" s="1"/>
  <c r="C882" i="5"/>
  <c r="V882" i="5" s="1"/>
  <c r="E882" i="5" s="1"/>
  <c r="X882" i="5" s="1"/>
  <c r="B882" i="5"/>
  <c r="T882" i="5" s="1"/>
  <c r="C881" i="5"/>
  <c r="V881" i="5" s="1"/>
  <c r="B881" i="5"/>
  <c r="T881" i="5" s="1"/>
  <c r="C880" i="5"/>
  <c r="B880" i="5"/>
  <c r="C879" i="5"/>
  <c r="V879" i="5" s="1"/>
  <c r="B879" i="5"/>
  <c r="T879" i="5" s="1"/>
  <c r="C878" i="5"/>
  <c r="B878" i="5"/>
  <c r="C877" i="5"/>
  <c r="V877" i="5" s="1"/>
  <c r="E877" i="5" s="1"/>
  <c r="X877" i="5" s="1"/>
  <c r="B877" i="5"/>
  <c r="T877" i="5" s="1"/>
  <c r="C876" i="5"/>
  <c r="B876" i="5"/>
  <c r="C875" i="5"/>
  <c r="V875" i="5" s="1"/>
  <c r="I875" i="5" s="1"/>
  <c r="B875" i="5"/>
  <c r="T875" i="5" s="1"/>
  <c r="C874" i="5"/>
  <c r="B874" i="5"/>
  <c r="T874" i="5" s="1"/>
  <c r="C873" i="5"/>
  <c r="V873" i="5" s="1"/>
  <c r="B873" i="5"/>
  <c r="T873" i="5" s="1"/>
  <c r="C872" i="5"/>
  <c r="B872" i="5"/>
  <c r="C871" i="5"/>
  <c r="V871" i="5" s="1"/>
  <c r="G871" i="5" s="1"/>
  <c r="B871" i="5"/>
  <c r="T871" i="5" s="1"/>
  <c r="C870" i="5"/>
  <c r="B870" i="5"/>
  <c r="C869" i="5"/>
  <c r="V869" i="5" s="1"/>
  <c r="B869" i="5"/>
  <c r="T869" i="5" s="1"/>
  <c r="C868" i="5"/>
  <c r="B868" i="5"/>
  <c r="C867" i="5"/>
  <c r="V867" i="5" s="1"/>
  <c r="I867" i="5" s="1"/>
  <c r="B867" i="5"/>
  <c r="T867" i="5" s="1"/>
  <c r="C866" i="5"/>
  <c r="B866" i="5"/>
  <c r="T866" i="5" s="1"/>
  <c r="C865" i="5"/>
  <c r="V865" i="5" s="1"/>
  <c r="J865" i="5" s="1"/>
  <c r="B865" i="5"/>
  <c r="T865" i="5" s="1"/>
  <c r="C864" i="5"/>
  <c r="B864" i="5"/>
  <c r="C863" i="5"/>
  <c r="V863" i="5" s="1"/>
  <c r="B863" i="5"/>
  <c r="T863" i="5" s="1"/>
  <c r="C862" i="5"/>
  <c r="B862" i="5"/>
  <c r="C861" i="5"/>
  <c r="V861" i="5" s="1"/>
  <c r="R861" i="5" s="1"/>
  <c r="B861" i="5"/>
  <c r="T861" i="5" s="1"/>
  <c r="C860" i="5"/>
  <c r="B860" i="5"/>
  <c r="C859" i="5"/>
  <c r="V859" i="5" s="1"/>
  <c r="I859" i="5" s="1"/>
  <c r="B859" i="5"/>
  <c r="T859" i="5" s="1"/>
  <c r="C858" i="5"/>
  <c r="V858" i="5" s="1"/>
  <c r="B858" i="5"/>
  <c r="C857" i="5"/>
  <c r="V857" i="5" s="1"/>
  <c r="B857" i="5"/>
  <c r="T857" i="5" s="1"/>
  <c r="C856" i="5"/>
  <c r="B856" i="5"/>
  <c r="T856" i="5" s="1"/>
  <c r="C855" i="5"/>
  <c r="V855" i="5" s="1"/>
  <c r="B855" i="5"/>
  <c r="T855" i="5" s="1"/>
  <c r="C854" i="5"/>
  <c r="V854" i="5" s="1"/>
  <c r="B854" i="5"/>
  <c r="T854" i="5" s="1"/>
  <c r="C853" i="5"/>
  <c r="V853" i="5" s="1"/>
  <c r="B853" i="5"/>
  <c r="T853" i="5" s="1"/>
  <c r="C852" i="5"/>
  <c r="B852" i="5"/>
  <c r="C851" i="5"/>
  <c r="V851" i="5" s="1"/>
  <c r="B851" i="5"/>
  <c r="T851" i="5" s="1"/>
  <c r="C850" i="5"/>
  <c r="V850" i="5" s="1"/>
  <c r="B850" i="5"/>
  <c r="T850" i="5" s="1"/>
  <c r="C849" i="5"/>
  <c r="V849" i="5" s="1"/>
  <c r="B849" i="5"/>
  <c r="T849" i="5" s="1"/>
  <c r="C848" i="5"/>
  <c r="B848" i="5"/>
  <c r="T848" i="5" s="1"/>
  <c r="C847" i="5"/>
  <c r="V847" i="5" s="1"/>
  <c r="B847" i="5"/>
  <c r="T847" i="5" s="1"/>
  <c r="C846" i="5"/>
  <c r="V846" i="5" s="1"/>
  <c r="E846" i="5" s="1"/>
  <c r="X846" i="5" s="1"/>
  <c r="B846" i="5"/>
  <c r="S846" i="5" s="1"/>
  <c r="C845" i="5"/>
  <c r="B845" i="5"/>
  <c r="T845" i="5" s="1"/>
  <c r="C844" i="5"/>
  <c r="B844" i="5"/>
  <c r="T844" i="5" s="1"/>
  <c r="C843" i="5"/>
  <c r="V843" i="5" s="1"/>
  <c r="B843" i="5"/>
  <c r="C842" i="5"/>
  <c r="V842" i="5" s="1"/>
  <c r="R842" i="5" s="1"/>
  <c r="B842" i="5"/>
  <c r="C841" i="5"/>
  <c r="V841" i="5" s="1"/>
  <c r="R841" i="5" s="1"/>
  <c r="B841" i="5"/>
  <c r="C840" i="5"/>
  <c r="B840" i="5"/>
  <c r="C839" i="5"/>
  <c r="V839" i="5" s="1"/>
  <c r="B839" i="5"/>
  <c r="C838" i="5"/>
  <c r="V838" i="5" s="1"/>
  <c r="R838" i="5" s="1"/>
  <c r="B838" i="5"/>
  <c r="C837" i="5"/>
  <c r="V837" i="5" s="1"/>
  <c r="B837" i="5"/>
  <c r="C836" i="5"/>
  <c r="B836" i="5"/>
  <c r="C835" i="5"/>
  <c r="V835" i="5" s="1"/>
  <c r="H835" i="5" s="1"/>
  <c r="B835" i="5"/>
  <c r="C834" i="5"/>
  <c r="B834" i="5"/>
  <c r="T834" i="5" s="1"/>
  <c r="C833" i="5"/>
  <c r="B833" i="5"/>
  <c r="C832" i="5"/>
  <c r="V832" i="5" s="1"/>
  <c r="E832" i="5" s="1"/>
  <c r="B832" i="5"/>
  <c r="T832" i="5" s="1"/>
  <c r="C831" i="5"/>
  <c r="V831" i="5" s="1"/>
  <c r="H831" i="5" s="1"/>
  <c r="B831" i="5"/>
  <c r="C830" i="5"/>
  <c r="V830" i="5" s="1"/>
  <c r="I830" i="5" s="1"/>
  <c r="B830" i="5"/>
  <c r="C829" i="5"/>
  <c r="V829" i="5" s="1"/>
  <c r="B829" i="5"/>
  <c r="C828" i="5"/>
  <c r="V828" i="5" s="1"/>
  <c r="B828" i="5"/>
  <c r="T828" i="5" s="1"/>
  <c r="C827" i="5"/>
  <c r="V827" i="5" s="1"/>
  <c r="B827" i="5"/>
  <c r="C826" i="5"/>
  <c r="V826" i="5" s="1"/>
  <c r="B826" i="5"/>
  <c r="C825" i="5"/>
  <c r="V825" i="5" s="1"/>
  <c r="B825" i="5"/>
  <c r="C824" i="5"/>
  <c r="V824" i="5" s="1"/>
  <c r="B824" i="5"/>
  <c r="T824" i="5" s="1"/>
  <c r="C823" i="5"/>
  <c r="V823" i="5" s="1"/>
  <c r="J823" i="5" s="1"/>
  <c r="B823" i="5"/>
  <c r="C822" i="5"/>
  <c r="V822" i="5" s="1"/>
  <c r="I822" i="5" s="1"/>
  <c r="B822" i="5"/>
  <c r="C821" i="5"/>
  <c r="V821" i="5" s="1"/>
  <c r="B821" i="5"/>
  <c r="C820" i="5"/>
  <c r="B820" i="5"/>
  <c r="T820" i="5" s="1"/>
  <c r="C819" i="5"/>
  <c r="V819" i="5" s="1"/>
  <c r="H819" i="5" s="1"/>
  <c r="B819" i="5"/>
  <c r="C818" i="5"/>
  <c r="V818" i="5" s="1"/>
  <c r="B818" i="5"/>
  <c r="S818" i="5" s="1"/>
  <c r="C817" i="5"/>
  <c r="B817" i="5"/>
  <c r="C816" i="5"/>
  <c r="V816" i="5" s="1"/>
  <c r="B816" i="5"/>
  <c r="S816" i="5" s="1"/>
  <c r="C815" i="5"/>
  <c r="V815" i="5" s="1"/>
  <c r="B815" i="5"/>
  <c r="C814" i="5"/>
  <c r="V814" i="5" s="1"/>
  <c r="I814" i="5" s="1"/>
  <c r="B814" i="5"/>
  <c r="T814" i="5" s="1"/>
  <c r="C813" i="5"/>
  <c r="V813" i="5" s="1"/>
  <c r="F813" i="5" s="1"/>
  <c r="B813" i="5"/>
  <c r="T813" i="5" s="1"/>
  <c r="C812" i="5"/>
  <c r="B812" i="5"/>
  <c r="T812" i="5" s="1"/>
  <c r="C811" i="5"/>
  <c r="V811" i="5" s="1"/>
  <c r="B811" i="5"/>
  <c r="C810" i="5"/>
  <c r="B810" i="5"/>
  <c r="T810" i="5" s="1"/>
  <c r="C809" i="5"/>
  <c r="B809" i="5"/>
  <c r="C808" i="5"/>
  <c r="V808" i="5" s="1"/>
  <c r="I808" i="5" s="1"/>
  <c r="B808" i="5"/>
  <c r="C807" i="5"/>
  <c r="V807" i="5" s="1"/>
  <c r="B807" i="5"/>
  <c r="C806" i="5"/>
  <c r="V806" i="5" s="1"/>
  <c r="B806" i="5"/>
  <c r="C805" i="5"/>
  <c r="B805" i="5"/>
  <c r="C804" i="5"/>
  <c r="V804" i="5" s="1"/>
  <c r="B804" i="5"/>
  <c r="S804" i="5" s="1"/>
  <c r="C803" i="5"/>
  <c r="B803" i="5"/>
  <c r="T803" i="5" s="1"/>
  <c r="C802" i="5"/>
  <c r="V802" i="5" s="1"/>
  <c r="J802" i="5" s="1"/>
  <c r="B802" i="5"/>
  <c r="T802" i="5" s="1"/>
  <c r="C801" i="5"/>
  <c r="B801" i="5"/>
  <c r="C800" i="5"/>
  <c r="B800" i="5"/>
  <c r="C799" i="5"/>
  <c r="B799" i="5"/>
  <c r="T799" i="5" s="1"/>
  <c r="C798" i="5"/>
  <c r="V798" i="5" s="1"/>
  <c r="F798" i="5" s="1"/>
  <c r="B798" i="5"/>
  <c r="T798" i="5" s="1"/>
  <c r="C797" i="5"/>
  <c r="B797" i="5"/>
  <c r="C796" i="5"/>
  <c r="V796" i="5" s="1"/>
  <c r="I796" i="5" s="1"/>
  <c r="B796" i="5"/>
  <c r="T796" i="5" s="1"/>
  <c r="C795" i="5"/>
  <c r="B795" i="5"/>
  <c r="S795" i="5" s="1"/>
  <c r="C794" i="5"/>
  <c r="V794" i="5" s="1"/>
  <c r="R794" i="5" s="1"/>
  <c r="B794" i="5"/>
  <c r="T794" i="5" s="1"/>
  <c r="C793" i="5"/>
  <c r="B793" i="5"/>
  <c r="C792" i="5"/>
  <c r="B792" i="5"/>
  <c r="C791" i="5"/>
  <c r="B791" i="5"/>
  <c r="S791" i="5" s="1"/>
  <c r="C790" i="5"/>
  <c r="V790" i="5" s="1"/>
  <c r="B790" i="5"/>
  <c r="C789" i="5"/>
  <c r="B789" i="5"/>
  <c r="C788" i="5"/>
  <c r="B788" i="5"/>
  <c r="C787" i="5"/>
  <c r="B787" i="5"/>
  <c r="C786" i="5"/>
  <c r="V786" i="5" s="1"/>
  <c r="F786" i="5" s="1"/>
  <c r="B786" i="5"/>
  <c r="T786" i="5" s="1"/>
  <c r="C785" i="5"/>
  <c r="B785" i="5"/>
  <c r="C784" i="5"/>
  <c r="V784" i="5" s="1"/>
  <c r="B784" i="5"/>
  <c r="T784" i="5" s="1"/>
  <c r="C783" i="5"/>
  <c r="B783" i="5"/>
  <c r="S783" i="5" s="1"/>
  <c r="C782" i="5"/>
  <c r="V782" i="5" s="1"/>
  <c r="B782" i="5"/>
  <c r="T782" i="5" s="1"/>
  <c r="C781" i="5"/>
  <c r="B781" i="5"/>
  <c r="C780" i="5"/>
  <c r="B780" i="5"/>
  <c r="T780" i="5" s="1"/>
  <c r="C779" i="5"/>
  <c r="V779" i="5" s="1"/>
  <c r="H779" i="5" s="1"/>
  <c r="B779" i="5"/>
  <c r="C778" i="5"/>
  <c r="V778" i="5" s="1"/>
  <c r="R778" i="5" s="1"/>
  <c r="B778" i="5"/>
  <c r="C777" i="5"/>
  <c r="B777" i="5"/>
  <c r="T777" i="5" s="1"/>
  <c r="C776" i="5"/>
  <c r="V776" i="5" s="1"/>
  <c r="J776" i="5" s="1"/>
  <c r="B776" i="5"/>
  <c r="T776" i="5" s="1"/>
  <c r="C775" i="5"/>
  <c r="V775" i="5" s="1"/>
  <c r="B775" i="5"/>
  <c r="S775" i="5" s="1"/>
  <c r="C774" i="5"/>
  <c r="V774" i="5" s="1"/>
  <c r="B774" i="5"/>
  <c r="T774" i="5" s="1"/>
  <c r="C773" i="5"/>
  <c r="B773" i="5"/>
  <c r="T773" i="5" s="1"/>
  <c r="C772" i="5"/>
  <c r="V772" i="5" s="1"/>
  <c r="B772" i="5"/>
  <c r="C771" i="5"/>
  <c r="B771" i="5"/>
  <c r="T771" i="5" s="1"/>
  <c r="C770" i="5"/>
  <c r="V770" i="5" s="1"/>
  <c r="B770" i="5"/>
  <c r="T770" i="5" s="1"/>
  <c r="C769" i="5"/>
  <c r="B769" i="5"/>
  <c r="T769" i="5" s="1"/>
  <c r="C768" i="5"/>
  <c r="B768" i="5"/>
  <c r="S768" i="5" s="1"/>
  <c r="C767" i="5"/>
  <c r="V767" i="5" s="1"/>
  <c r="E767" i="5" s="1"/>
  <c r="B767" i="5"/>
  <c r="C766" i="5"/>
  <c r="V766" i="5" s="1"/>
  <c r="B766" i="5"/>
  <c r="T766" i="5" s="1"/>
  <c r="C765" i="5"/>
  <c r="B765" i="5"/>
  <c r="T765" i="5" s="1"/>
  <c r="C764" i="5"/>
  <c r="B764" i="5"/>
  <c r="C763" i="5"/>
  <c r="V763" i="5" s="1"/>
  <c r="E763" i="5" s="1"/>
  <c r="X763" i="5" s="1"/>
  <c r="B763" i="5"/>
  <c r="C762" i="5"/>
  <c r="V762" i="5" s="1"/>
  <c r="R762" i="5" s="1"/>
  <c r="B762" i="5"/>
  <c r="C761" i="5"/>
  <c r="B761" i="5"/>
  <c r="T761" i="5" s="1"/>
  <c r="C760" i="5"/>
  <c r="V760" i="5" s="1"/>
  <c r="E760" i="5" s="1"/>
  <c r="X760" i="5" s="1"/>
  <c r="B760" i="5"/>
  <c r="C759" i="5"/>
  <c r="V759" i="5" s="1"/>
  <c r="H759" i="5" s="1"/>
  <c r="B759" i="5"/>
  <c r="T759" i="5" s="1"/>
  <c r="C758" i="5"/>
  <c r="V758" i="5" s="1"/>
  <c r="J758" i="5" s="1"/>
  <c r="B758" i="5"/>
  <c r="T758" i="5" s="1"/>
  <c r="C757" i="5"/>
  <c r="V757" i="5" s="1"/>
  <c r="B757" i="5"/>
  <c r="T757" i="5" s="1"/>
  <c r="C756" i="5"/>
  <c r="V756" i="5" s="1"/>
  <c r="J756" i="5" s="1"/>
  <c r="B756" i="5"/>
  <c r="T756" i="5" s="1"/>
  <c r="C755" i="5"/>
  <c r="B755" i="5"/>
  <c r="T755" i="5" s="1"/>
  <c r="C754" i="5"/>
  <c r="V754" i="5" s="1"/>
  <c r="H754" i="5" s="1"/>
  <c r="B754" i="5"/>
  <c r="S754" i="5" s="1"/>
  <c r="C753" i="5"/>
  <c r="B753" i="5"/>
  <c r="T753" i="5" s="1"/>
  <c r="C752" i="5"/>
  <c r="V752" i="5" s="1"/>
  <c r="B752" i="5"/>
  <c r="S752" i="5" s="1"/>
  <c r="C751" i="5"/>
  <c r="V751" i="5" s="1"/>
  <c r="E751" i="5" s="1"/>
  <c r="B751" i="5"/>
  <c r="C750" i="5"/>
  <c r="V750" i="5" s="1"/>
  <c r="B750" i="5"/>
  <c r="T750" i="5" s="1"/>
  <c r="C749" i="5"/>
  <c r="V749" i="5" s="1"/>
  <c r="B749" i="5"/>
  <c r="C748" i="5"/>
  <c r="V748" i="5" s="1"/>
  <c r="B748" i="5"/>
  <c r="T748" i="5" s="1"/>
  <c r="C747" i="5"/>
  <c r="B747" i="5"/>
  <c r="C746" i="5"/>
  <c r="V746" i="5" s="1"/>
  <c r="B746" i="5"/>
  <c r="S746" i="5" s="1"/>
  <c r="C745" i="5"/>
  <c r="B745" i="5"/>
  <c r="S745" i="5" s="1"/>
  <c r="C744" i="5"/>
  <c r="V744" i="5" s="1"/>
  <c r="B744" i="5"/>
  <c r="T744" i="5" s="1"/>
  <c r="C743" i="5"/>
  <c r="V743" i="5" s="1"/>
  <c r="B743" i="5"/>
  <c r="T743" i="5" s="1"/>
  <c r="C742" i="5"/>
  <c r="V742" i="5" s="1"/>
  <c r="B742" i="5"/>
  <c r="T742" i="5" s="1"/>
  <c r="C741" i="5"/>
  <c r="V741" i="5" s="1"/>
  <c r="B741" i="5"/>
  <c r="T741" i="5" s="1"/>
  <c r="C740" i="5"/>
  <c r="V740" i="5" s="1"/>
  <c r="B740" i="5"/>
  <c r="C739" i="5"/>
  <c r="B739" i="5"/>
  <c r="C738" i="5"/>
  <c r="B738" i="5"/>
  <c r="C737" i="5"/>
  <c r="B737" i="5"/>
  <c r="T737" i="5" s="1"/>
  <c r="C736" i="5"/>
  <c r="V736" i="5" s="1"/>
  <c r="B736" i="5"/>
  <c r="S736" i="5" s="1"/>
  <c r="C735" i="5"/>
  <c r="B735" i="5"/>
  <c r="C734" i="5"/>
  <c r="V734" i="5" s="1"/>
  <c r="B734" i="5"/>
  <c r="C733" i="5"/>
  <c r="V733" i="5" s="1"/>
  <c r="H733" i="5" s="1"/>
  <c r="B733" i="5"/>
  <c r="C732" i="5"/>
  <c r="B732" i="5"/>
  <c r="T732" i="5" s="1"/>
  <c r="C731" i="5"/>
  <c r="B731" i="5"/>
  <c r="S731" i="5" s="1"/>
  <c r="C730" i="5"/>
  <c r="V730" i="5" s="1"/>
  <c r="R730" i="5" s="1"/>
  <c r="B730" i="5"/>
  <c r="C729" i="5"/>
  <c r="V729" i="5" s="1"/>
  <c r="B729" i="5"/>
  <c r="T729" i="5" s="1"/>
  <c r="C728" i="5"/>
  <c r="V728" i="5" s="1"/>
  <c r="B728" i="5"/>
  <c r="C727" i="5"/>
  <c r="B727" i="5"/>
  <c r="C726" i="5"/>
  <c r="B726" i="5"/>
  <c r="C725" i="5"/>
  <c r="V725" i="5" s="1"/>
  <c r="B725" i="5"/>
  <c r="S725" i="5" s="1"/>
  <c r="C724" i="5"/>
  <c r="B724" i="5"/>
  <c r="T724" i="5" s="1"/>
  <c r="C723" i="5"/>
  <c r="B723" i="5"/>
  <c r="T723" i="5" s="1"/>
  <c r="C722" i="5"/>
  <c r="V722" i="5" s="1"/>
  <c r="F722" i="5" s="1"/>
  <c r="B722" i="5"/>
  <c r="C721" i="5"/>
  <c r="B721" i="5"/>
  <c r="C720" i="5"/>
  <c r="B720" i="5"/>
  <c r="T720" i="5" s="1"/>
  <c r="C719" i="5"/>
  <c r="B719" i="5"/>
  <c r="T719" i="5" s="1"/>
  <c r="C718" i="5"/>
  <c r="B718" i="5"/>
  <c r="C717" i="5"/>
  <c r="V717" i="5" s="1"/>
  <c r="B717" i="5"/>
  <c r="S717" i="5" s="1"/>
  <c r="C716" i="5"/>
  <c r="B716" i="5"/>
  <c r="S716" i="5" s="1"/>
  <c r="C715" i="5"/>
  <c r="B715" i="5"/>
  <c r="C714" i="5"/>
  <c r="V714" i="5" s="1"/>
  <c r="E714" i="5" s="1"/>
  <c r="X714" i="5" s="1"/>
  <c r="B714" i="5"/>
  <c r="C713" i="5"/>
  <c r="V713" i="5" s="1"/>
  <c r="B713" i="5"/>
  <c r="C712" i="5"/>
  <c r="B712" i="5"/>
  <c r="T712" i="5" s="1"/>
  <c r="C711" i="5"/>
  <c r="B711" i="5"/>
  <c r="T711" i="5" s="1"/>
  <c r="C710" i="5"/>
  <c r="V710" i="5" s="1"/>
  <c r="E710" i="5" s="1"/>
  <c r="X710" i="5" s="1"/>
  <c r="B710" i="5"/>
  <c r="C709" i="5"/>
  <c r="B709" i="5"/>
  <c r="T709" i="5" s="1"/>
  <c r="C708" i="5"/>
  <c r="V708" i="5" s="1"/>
  <c r="B708" i="5"/>
  <c r="S708" i="5" s="1"/>
  <c r="C707" i="5"/>
  <c r="B707" i="5"/>
  <c r="C706" i="5"/>
  <c r="V706" i="5" s="1"/>
  <c r="E706" i="5" s="1"/>
  <c r="X706" i="5" s="1"/>
  <c r="B706" i="5"/>
  <c r="C705" i="5"/>
  <c r="V705" i="5" s="1"/>
  <c r="B705" i="5"/>
  <c r="S705" i="5" s="1"/>
  <c r="C704" i="5"/>
  <c r="B704" i="5"/>
  <c r="T704" i="5" s="1"/>
  <c r="C703" i="5"/>
  <c r="B703" i="5"/>
  <c r="T703" i="5" s="1"/>
  <c r="C702" i="5"/>
  <c r="V702" i="5" s="1"/>
  <c r="I702" i="5" s="1"/>
  <c r="B702" i="5"/>
  <c r="C701" i="5"/>
  <c r="V701" i="5" s="1"/>
  <c r="B701" i="5"/>
  <c r="C700" i="5"/>
  <c r="V700" i="5" s="1"/>
  <c r="B700" i="5"/>
  <c r="S700" i="5" s="1"/>
  <c r="C699" i="5"/>
  <c r="B699" i="5"/>
  <c r="C698" i="5"/>
  <c r="V698" i="5" s="1"/>
  <c r="E698" i="5" s="1"/>
  <c r="X698" i="5" s="1"/>
  <c r="B698" i="5"/>
  <c r="C697" i="5"/>
  <c r="V697" i="5" s="1"/>
  <c r="B697" i="5"/>
  <c r="C696" i="5"/>
  <c r="V696" i="5" s="1"/>
  <c r="B696" i="5"/>
  <c r="T696" i="5" s="1"/>
  <c r="C695" i="5"/>
  <c r="B695" i="5"/>
  <c r="T695" i="5" s="1"/>
  <c r="C694" i="5"/>
  <c r="V694" i="5" s="1"/>
  <c r="B694" i="5"/>
  <c r="C693" i="5"/>
  <c r="V693" i="5" s="1"/>
  <c r="B693" i="5"/>
  <c r="C692" i="5"/>
  <c r="V692" i="5" s="1"/>
  <c r="B692" i="5"/>
  <c r="S692" i="5" s="1"/>
  <c r="C691" i="5"/>
  <c r="B691" i="5"/>
  <c r="C690" i="5"/>
  <c r="V690" i="5" s="1"/>
  <c r="E690" i="5" s="1"/>
  <c r="X690" i="5" s="1"/>
  <c r="B690" i="5"/>
  <c r="C689" i="5"/>
  <c r="V689" i="5" s="1"/>
  <c r="B689" i="5"/>
  <c r="C688" i="5"/>
  <c r="V688" i="5" s="1"/>
  <c r="B688" i="5"/>
  <c r="C687" i="5"/>
  <c r="B687" i="5"/>
  <c r="T687" i="5" s="1"/>
  <c r="C686" i="5"/>
  <c r="V686" i="5" s="1"/>
  <c r="B686" i="5"/>
  <c r="C685" i="5"/>
  <c r="V685" i="5" s="1"/>
  <c r="B685" i="5"/>
  <c r="C684" i="5"/>
  <c r="V684" i="5" s="1"/>
  <c r="B684" i="5"/>
  <c r="S684" i="5" s="1"/>
  <c r="C683" i="5"/>
  <c r="B683" i="5"/>
  <c r="C682" i="5"/>
  <c r="V682" i="5" s="1"/>
  <c r="E682" i="5" s="1"/>
  <c r="X682" i="5" s="1"/>
  <c r="B682" i="5"/>
  <c r="C681" i="5"/>
  <c r="V681" i="5" s="1"/>
  <c r="B681" i="5"/>
  <c r="S681" i="5" s="1"/>
  <c r="C680" i="5"/>
  <c r="V680" i="5" s="1"/>
  <c r="B680" i="5"/>
  <c r="T680" i="5" s="1"/>
  <c r="C679" i="5"/>
  <c r="B679" i="5"/>
  <c r="T679" i="5" s="1"/>
  <c r="C678" i="5"/>
  <c r="V678" i="5" s="1"/>
  <c r="I678" i="5" s="1"/>
  <c r="B678" i="5"/>
  <c r="C677" i="5"/>
  <c r="B677" i="5"/>
  <c r="T677" i="5" s="1"/>
  <c r="C676" i="5"/>
  <c r="V676" i="5" s="1"/>
  <c r="B676" i="5"/>
  <c r="S676" i="5" s="1"/>
  <c r="C675" i="5"/>
  <c r="B675" i="5"/>
  <c r="C674" i="5"/>
  <c r="V674" i="5" s="1"/>
  <c r="E674" i="5" s="1"/>
  <c r="X674" i="5" s="1"/>
  <c r="B674" i="5"/>
  <c r="C673" i="5"/>
  <c r="V673" i="5" s="1"/>
  <c r="B673" i="5"/>
  <c r="S673" i="5" s="1"/>
  <c r="V670" i="5"/>
  <c r="X670" i="5" s="1"/>
  <c r="V669" i="5"/>
  <c r="V668" i="5"/>
  <c r="V666" i="5"/>
  <c r="X666" i="5" s="1"/>
  <c r="V665" i="5"/>
  <c r="V664" i="5"/>
  <c r="V662" i="5"/>
  <c r="X662" i="5" s="1"/>
  <c r="V661" i="5"/>
  <c r="V659" i="5"/>
  <c r="V657" i="5"/>
  <c r="V655" i="5"/>
  <c r="V653" i="5"/>
  <c r="V651" i="5"/>
  <c r="V649" i="5"/>
  <c r="T649" i="5" s="1"/>
  <c r="V647" i="5"/>
  <c r="V645" i="5"/>
  <c r="V642" i="5"/>
  <c r="V640" i="5"/>
  <c r="V638" i="5"/>
  <c r="V635" i="5"/>
  <c r="X635" i="5" s="1"/>
  <c r="V634" i="5"/>
  <c r="V633" i="5"/>
  <c r="V632" i="5"/>
  <c r="V631" i="5"/>
  <c r="V630" i="5"/>
  <c r="V629" i="5"/>
  <c r="V627" i="5"/>
  <c r="V626" i="5"/>
  <c r="V625" i="5"/>
  <c r="T625" i="5" s="1"/>
  <c r="V623" i="5"/>
  <c r="T623" i="5" s="1"/>
  <c r="V622" i="5"/>
  <c r="V621" i="5"/>
  <c r="V619" i="5"/>
  <c r="V616" i="5"/>
  <c r="V615" i="5"/>
  <c r="R615" i="5" s="1"/>
  <c r="V612" i="5"/>
  <c r="V611" i="5"/>
  <c r="V609" i="5"/>
  <c r="V608" i="5"/>
  <c r="V607" i="5"/>
  <c r="V605" i="5"/>
  <c r="V603" i="5"/>
  <c r="R603" i="5" s="1"/>
  <c r="V601" i="5"/>
  <c r="V600" i="5"/>
  <c r="V599" i="5"/>
  <c r="R599" i="5" s="1"/>
  <c r="V597" i="5"/>
  <c r="V596" i="5"/>
  <c r="V595" i="5"/>
  <c r="V593" i="5"/>
  <c r="V590" i="5"/>
  <c r="V589" i="5"/>
  <c r="V587" i="5"/>
  <c r="V585" i="5"/>
  <c r="V581" i="5"/>
  <c r="V580" i="5"/>
  <c r="V578" i="5"/>
  <c r="V577" i="5"/>
  <c r="V576" i="5"/>
  <c r="V574" i="5"/>
  <c r="R574" i="5" s="1"/>
  <c r="V573" i="5"/>
  <c r="V570" i="5"/>
  <c r="R570" i="5" s="1"/>
  <c r="V569" i="5"/>
  <c r="V566" i="5"/>
  <c r="V563" i="5"/>
  <c r="V559" i="5"/>
  <c r="V557" i="5"/>
  <c r="V555" i="5"/>
  <c r="R555" i="5" s="1"/>
  <c r="V552" i="5"/>
  <c r="R552" i="5" s="1"/>
  <c r="V551" i="5"/>
  <c r="V548" i="5"/>
  <c r="R548" i="5" s="1"/>
  <c r="V547" i="5"/>
  <c r="V546" i="5"/>
  <c r="V545" i="5"/>
  <c r="V542" i="5"/>
  <c r="V541" i="5"/>
  <c r="R541" i="5" s="1"/>
  <c r="V540" i="5"/>
  <c r="V539" i="5"/>
  <c r="T539" i="5" s="1"/>
  <c r="V538" i="5"/>
  <c r="V537" i="5"/>
  <c r="V533" i="5"/>
  <c r="V532" i="5"/>
  <c r="V528" i="5"/>
  <c r="V522" i="5"/>
  <c r="V520" i="5"/>
  <c r="V517" i="5"/>
  <c r="V513" i="5"/>
  <c r="V505" i="5"/>
  <c r="V503" i="5"/>
  <c r="AB382" i="5"/>
  <c r="X382" i="5"/>
  <c r="V382" i="5"/>
  <c r="R382" i="5" s="1"/>
  <c r="T382" i="5"/>
  <c r="AB381" i="5"/>
  <c r="X381" i="5"/>
  <c r="V381" i="5"/>
  <c r="R381" i="5" s="1"/>
  <c r="AB380" i="5"/>
  <c r="X380" i="5"/>
  <c r="V380" i="5"/>
  <c r="R380" i="5" s="1"/>
  <c r="AB379" i="5"/>
  <c r="X379" i="5"/>
  <c r="V379" i="5"/>
  <c r="R379" i="5" s="1"/>
  <c r="AB378" i="5"/>
  <c r="X378" i="5"/>
  <c r="V378" i="5"/>
  <c r="R378" i="5" s="1"/>
  <c r="AB377" i="5"/>
  <c r="X377" i="5"/>
  <c r="V377" i="5"/>
  <c r="R377" i="5" s="1"/>
  <c r="AB376" i="5"/>
  <c r="X376" i="5"/>
  <c r="V376" i="5"/>
  <c r="R376" i="5" s="1"/>
  <c r="AB375" i="5"/>
  <c r="X375" i="5"/>
  <c r="V375" i="5"/>
  <c r="R375" i="5" s="1"/>
  <c r="AB374" i="5"/>
  <c r="X374" i="5"/>
  <c r="V374" i="5"/>
  <c r="R374" i="5" s="1"/>
  <c r="AB373" i="5"/>
  <c r="X373" i="5"/>
  <c r="V373" i="5"/>
  <c r="R373" i="5" s="1"/>
  <c r="AB372" i="5"/>
  <c r="X372" i="5"/>
  <c r="V372" i="5"/>
  <c r="R372" i="5" s="1"/>
  <c r="T372" i="5"/>
  <c r="AB371" i="5"/>
  <c r="X371" i="5"/>
  <c r="V371" i="5"/>
  <c r="R371" i="5" s="1"/>
  <c r="AB370" i="5"/>
  <c r="X370" i="5"/>
  <c r="V370" i="5"/>
  <c r="R370" i="5" s="1"/>
  <c r="T370" i="5"/>
  <c r="AB369" i="5"/>
  <c r="X369" i="5"/>
  <c r="V369" i="5"/>
  <c r="R369" i="5" s="1"/>
  <c r="AB368" i="5"/>
  <c r="X368" i="5"/>
  <c r="V368" i="5"/>
  <c r="R368" i="5" s="1"/>
  <c r="AB367" i="5"/>
  <c r="X367" i="5"/>
  <c r="V367" i="5"/>
  <c r="R367" i="5" s="1"/>
  <c r="T367" i="5"/>
  <c r="AB366" i="5"/>
  <c r="X366" i="5"/>
  <c r="V366" i="5"/>
  <c r="R366" i="5" s="1"/>
  <c r="AB365" i="5"/>
  <c r="X365" i="5"/>
  <c r="V365" i="5"/>
  <c r="R365" i="5" s="1"/>
  <c r="AB364" i="5"/>
  <c r="X364" i="5"/>
  <c r="V364" i="5"/>
  <c r="R364" i="5" s="1"/>
  <c r="AB363" i="5"/>
  <c r="X363" i="5"/>
  <c r="V363" i="5"/>
  <c r="R363" i="5" s="1"/>
  <c r="T363" i="5"/>
  <c r="AB362" i="5"/>
  <c r="X362" i="5"/>
  <c r="V362" i="5"/>
  <c r="R362" i="5" s="1"/>
  <c r="AB361" i="5"/>
  <c r="X361" i="5"/>
  <c r="V361" i="5"/>
  <c r="R361" i="5" s="1"/>
  <c r="AB360" i="5"/>
  <c r="X360" i="5"/>
  <c r="V360" i="5"/>
  <c r="R360" i="5" s="1"/>
  <c r="AB359" i="5"/>
  <c r="X359" i="5"/>
  <c r="V359" i="5"/>
  <c r="R359" i="5" s="1"/>
  <c r="AB358" i="5"/>
  <c r="X358" i="5"/>
  <c r="V358" i="5"/>
  <c r="R358" i="5" s="1"/>
  <c r="AB357" i="5"/>
  <c r="X357" i="5"/>
  <c r="V357" i="5"/>
  <c r="R357" i="5" s="1"/>
  <c r="AB356" i="5"/>
  <c r="X356" i="5"/>
  <c r="V356" i="5"/>
  <c r="R356" i="5" s="1"/>
  <c r="AB355" i="5"/>
  <c r="X355" i="5"/>
  <c r="V355" i="5"/>
  <c r="R355" i="5" s="1"/>
  <c r="AB354" i="5"/>
  <c r="X354" i="5"/>
  <c r="V354" i="5"/>
  <c r="R354" i="5" s="1"/>
  <c r="AB353" i="5"/>
  <c r="X353" i="5"/>
  <c r="V353" i="5"/>
  <c r="R353" i="5" s="1"/>
  <c r="T353" i="5"/>
  <c r="AB352" i="5"/>
  <c r="X352" i="5"/>
  <c r="V352" i="5"/>
  <c r="R352" i="5" s="1"/>
  <c r="T352" i="5"/>
  <c r="AB351" i="5"/>
  <c r="X351" i="5"/>
  <c r="V351" i="5"/>
  <c r="R351" i="5" s="1"/>
  <c r="AB350" i="5"/>
  <c r="X350" i="5"/>
  <c r="V350" i="5"/>
  <c r="R350" i="5" s="1"/>
  <c r="AB349" i="5"/>
  <c r="X349" i="5"/>
  <c r="V349" i="5"/>
  <c r="R349" i="5" s="1"/>
  <c r="AB348" i="5"/>
  <c r="X348" i="5"/>
  <c r="V348" i="5"/>
  <c r="R348" i="5" s="1"/>
  <c r="T348" i="5"/>
  <c r="AB347" i="5"/>
  <c r="X347" i="5"/>
  <c r="V347" i="5"/>
  <c r="R347" i="5" s="1"/>
  <c r="AB346" i="5"/>
  <c r="X346" i="5"/>
  <c r="V346" i="5"/>
  <c r="R346" i="5" s="1"/>
  <c r="AB345" i="5"/>
  <c r="X345" i="5"/>
  <c r="V345" i="5"/>
  <c r="R345" i="5" s="1"/>
  <c r="AB344" i="5"/>
  <c r="X344" i="5"/>
  <c r="V344" i="5"/>
  <c r="R344" i="5" s="1"/>
  <c r="T344" i="5"/>
  <c r="AB343" i="5"/>
  <c r="X343" i="5"/>
  <c r="V343" i="5"/>
  <c r="R343" i="5" s="1"/>
  <c r="T343" i="5"/>
  <c r="AB342" i="5"/>
  <c r="X342" i="5"/>
  <c r="V342" i="5"/>
  <c r="R342" i="5" s="1"/>
  <c r="T342" i="5"/>
  <c r="AB341" i="5"/>
  <c r="X341" i="5"/>
  <c r="V341" i="5"/>
  <c r="R341" i="5" s="1"/>
  <c r="T341" i="5"/>
  <c r="AB340" i="5"/>
  <c r="X340" i="5"/>
  <c r="V340" i="5"/>
  <c r="R340" i="5" s="1"/>
  <c r="T340" i="5"/>
  <c r="AB339" i="5"/>
  <c r="X339" i="5"/>
  <c r="V339" i="5"/>
  <c r="R339" i="5" s="1"/>
  <c r="AB338" i="5"/>
  <c r="X338" i="5"/>
  <c r="V338" i="5"/>
  <c r="R338" i="5" s="1"/>
  <c r="T338" i="5"/>
  <c r="AB337" i="5"/>
  <c r="X337" i="5"/>
  <c r="V337" i="5"/>
  <c r="R337" i="5" s="1"/>
  <c r="T337" i="5"/>
  <c r="AB336" i="5"/>
  <c r="X336" i="5"/>
  <c r="V336" i="5"/>
  <c r="R336" i="5" s="1"/>
  <c r="T336" i="5"/>
  <c r="AB335" i="5"/>
  <c r="X335" i="5"/>
  <c r="V335" i="5"/>
  <c r="R335" i="5" s="1"/>
  <c r="T335" i="5"/>
  <c r="S335" i="5"/>
  <c r="AB334" i="5"/>
  <c r="X334" i="5"/>
  <c r="V334" i="5"/>
  <c r="R334" i="5" s="1"/>
  <c r="T334" i="5"/>
  <c r="AB333" i="5"/>
  <c r="X333" i="5"/>
  <c r="V333" i="5"/>
  <c r="R333" i="5" s="1"/>
  <c r="AB332" i="5"/>
  <c r="X332" i="5"/>
  <c r="V332" i="5"/>
  <c r="R332" i="5" s="1"/>
  <c r="T332" i="5"/>
  <c r="AB331" i="5"/>
  <c r="X331" i="5"/>
  <c r="V331" i="5"/>
  <c r="R331" i="5" s="1"/>
  <c r="T331" i="5"/>
  <c r="AB330" i="5"/>
  <c r="X330" i="5"/>
  <c r="V330" i="5"/>
  <c r="R330" i="5" s="1"/>
  <c r="T330" i="5"/>
  <c r="AB329" i="5"/>
  <c r="X329" i="5"/>
  <c r="V329" i="5"/>
  <c r="R329" i="5" s="1"/>
  <c r="AB328" i="5"/>
  <c r="X328" i="5"/>
  <c r="V328" i="5"/>
  <c r="R328" i="5" s="1"/>
  <c r="T328" i="5"/>
  <c r="AB327" i="5"/>
  <c r="X327" i="5"/>
  <c r="V327" i="5"/>
  <c r="R327" i="5" s="1"/>
  <c r="T327" i="5"/>
  <c r="AB326" i="5"/>
  <c r="X326" i="5"/>
  <c r="V326" i="5"/>
  <c r="R326" i="5" s="1"/>
  <c r="AB325" i="5"/>
  <c r="X325" i="5"/>
  <c r="V325" i="5"/>
  <c r="R325" i="5" s="1"/>
  <c r="AB324" i="5"/>
  <c r="X324" i="5"/>
  <c r="V324" i="5"/>
  <c r="R324" i="5" s="1"/>
  <c r="T324" i="5"/>
  <c r="AB323" i="5"/>
  <c r="X323" i="5"/>
  <c r="V323" i="5"/>
  <c r="R323" i="5" s="1"/>
  <c r="AB322" i="5"/>
  <c r="X322" i="5"/>
  <c r="V322" i="5"/>
  <c r="R322" i="5" s="1"/>
  <c r="T322" i="5"/>
  <c r="AB321" i="5"/>
  <c r="X321" i="5"/>
  <c r="V321" i="5"/>
  <c r="R321" i="5" s="1"/>
  <c r="T321" i="5"/>
  <c r="AB320" i="5"/>
  <c r="X320" i="5"/>
  <c r="V320" i="5"/>
  <c r="R320" i="5" s="1"/>
  <c r="T320" i="5"/>
  <c r="AB319" i="5"/>
  <c r="X319" i="5"/>
  <c r="V319" i="5"/>
  <c r="R319" i="5" s="1"/>
  <c r="T319" i="5"/>
  <c r="AB318" i="5"/>
  <c r="X318" i="5"/>
  <c r="V318" i="5"/>
  <c r="R318" i="5" s="1"/>
  <c r="T318" i="5"/>
  <c r="AB317" i="5"/>
  <c r="X317" i="5"/>
  <c r="V317" i="5"/>
  <c r="R317" i="5" s="1"/>
  <c r="AB316" i="5"/>
  <c r="X316" i="5"/>
  <c r="V316" i="5"/>
  <c r="R316" i="5" s="1"/>
  <c r="T316" i="5"/>
  <c r="S316" i="5"/>
  <c r="AB315" i="5"/>
  <c r="X315" i="5"/>
  <c r="V315" i="5"/>
  <c r="R315" i="5" s="1"/>
  <c r="AB314" i="5"/>
  <c r="X314" i="5"/>
  <c r="V314" i="5"/>
  <c r="R314" i="5" s="1"/>
  <c r="AB313" i="5"/>
  <c r="X313" i="5"/>
  <c r="V313" i="5"/>
  <c r="R313" i="5" s="1"/>
  <c r="T313" i="5"/>
  <c r="AB312" i="5"/>
  <c r="X312" i="5"/>
  <c r="V312" i="5"/>
  <c r="R312" i="5" s="1"/>
  <c r="AB311" i="5"/>
  <c r="X311" i="5"/>
  <c r="V311" i="5"/>
  <c r="R311" i="5" s="1"/>
  <c r="T311" i="5"/>
  <c r="AB310" i="5"/>
  <c r="X310" i="5"/>
  <c r="V310" i="5"/>
  <c r="R310" i="5" s="1"/>
  <c r="AB309" i="5"/>
  <c r="X309" i="5"/>
  <c r="V309" i="5"/>
  <c r="R309" i="5" s="1"/>
  <c r="AB308" i="5"/>
  <c r="X308" i="5"/>
  <c r="V308" i="5"/>
  <c r="R308" i="5" s="1"/>
  <c r="S308" i="5"/>
  <c r="AB307" i="5"/>
  <c r="X307" i="5"/>
  <c r="V307" i="5"/>
  <c r="R307" i="5" s="1"/>
  <c r="AB306" i="5"/>
  <c r="X306" i="5"/>
  <c r="V306" i="5"/>
  <c r="R306" i="5" s="1"/>
  <c r="T306" i="5"/>
  <c r="AB305" i="5"/>
  <c r="X305" i="5"/>
  <c r="V305" i="5"/>
  <c r="R305" i="5" s="1"/>
  <c r="T305" i="5"/>
  <c r="AB304" i="5"/>
  <c r="X304" i="5"/>
  <c r="V304" i="5"/>
  <c r="R304" i="5" s="1"/>
  <c r="AB303" i="5"/>
  <c r="X303" i="5"/>
  <c r="V303" i="5"/>
  <c r="R303" i="5" s="1"/>
  <c r="T303" i="5"/>
  <c r="AB302" i="5"/>
  <c r="X302" i="5"/>
  <c r="V302" i="5"/>
  <c r="R302" i="5" s="1"/>
  <c r="T302" i="5"/>
  <c r="AB301" i="5"/>
  <c r="X301" i="5"/>
  <c r="V301" i="5"/>
  <c r="R301" i="5" s="1"/>
  <c r="T301" i="5"/>
  <c r="AB300" i="5"/>
  <c r="X300" i="5"/>
  <c r="V300" i="5"/>
  <c r="R300" i="5" s="1"/>
  <c r="T300" i="5"/>
  <c r="AB299" i="5"/>
  <c r="X299" i="5"/>
  <c r="V299" i="5"/>
  <c r="R299" i="5" s="1"/>
  <c r="T299" i="5"/>
  <c r="AB298" i="5"/>
  <c r="X298" i="5"/>
  <c r="V298" i="5"/>
  <c r="R298" i="5" s="1"/>
  <c r="T298" i="5"/>
  <c r="AB297" i="5"/>
  <c r="X297" i="5"/>
  <c r="V297" i="5"/>
  <c r="R297" i="5" s="1"/>
  <c r="AB296" i="5"/>
  <c r="X296" i="5"/>
  <c r="V296" i="5"/>
  <c r="R296" i="5" s="1"/>
  <c r="AB295" i="5"/>
  <c r="X295" i="5"/>
  <c r="V295" i="5"/>
  <c r="R295" i="5" s="1"/>
  <c r="AB294" i="5"/>
  <c r="X294" i="5"/>
  <c r="V294" i="5"/>
  <c r="R294" i="5" s="1"/>
  <c r="AB293" i="5"/>
  <c r="X293" i="5"/>
  <c r="V293" i="5"/>
  <c r="R293" i="5" s="1"/>
  <c r="AB292" i="5"/>
  <c r="X292" i="5"/>
  <c r="V292" i="5"/>
  <c r="R292" i="5" s="1"/>
  <c r="AB291" i="5"/>
  <c r="X291" i="5"/>
  <c r="V291" i="5"/>
  <c r="R291" i="5" s="1"/>
  <c r="AB290" i="5"/>
  <c r="X290" i="5"/>
  <c r="V290" i="5"/>
  <c r="R290" i="5" s="1"/>
  <c r="AB289" i="5"/>
  <c r="X289" i="5"/>
  <c r="V289" i="5"/>
  <c r="R289" i="5" s="1"/>
  <c r="AB288" i="5"/>
  <c r="X288" i="5"/>
  <c r="V288" i="5"/>
  <c r="R288" i="5" s="1"/>
  <c r="AB287" i="5"/>
  <c r="X287" i="5"/>
  <c r="V287" i="5"/>
  <c r="R287" i="5" s="1"/>
  <c r="T287" i="5"/>
  <c r="AB286" i="5"/>
  <c r="X286" i="5"/>
  <c r="V286" i="5"/>
  <c r="R286" i="5" s="1"/>
  <c r="T286" i="5"/>
  <c r="AB285" i="5"/>
  <c r="X285" i="5"/>
  <c r="V285" i="5"/>
  <c r="R285" i="5" s="1"/>
  <c r="T285" i="5"/>
  <c r="AB284" i="5"/>
  <c r="X284" i="5"/>
  <c r="V284" i="5"/>
  <c r="R284" i="5" s="1"/>
  <c r="T284" i="5"/>
  <c r="AB283" i="5"/>
  <c r="X283" i="5"/>
  <c r="V283" i="5"/>
  <c r="R283" i="5" s="1"/>
  <c r="AB282" i="5"/>
  <c r="X282" i="5"/>
  <c r="V282" i="5"/>
  <c r="R282" i="5" s="1"/>
  <c r="AB281" i="5"/>
  <c r="X281" i="5"/>
  <c r="V281" i="5"/>
  <c r="R281" i="5" s="1"/>
  <c r="AB280" i="5"/>
  <c r="X280" i="5"/>
  <c r="V280" i="5"/>
  <c r="R280" i="5" s="1"/>
  <c r="AB279" i="5"/>
  <c r="X279" i="5"/>
  <c r="V279" i="5"/>
  <c r="R279" i="5" s="1"/>
  <c r="AB278" i="5"/>
  <c r="X278" i="5"/>
  <c r="V278" i="5"/>
  <c r="R278" i="5" s="1"/>
  <c r="AB277" i="5"/>
  <c r="X277" i="5"/>
  <c r="V277" i="5"/>
  <c r="R277" i="5" s="1"/>
  <c r="T277" i="5"/>
  <c r="AB276" i="5"/>
  <c r="X276" i="5"/>
  <c r="V276" i="5"/>
  <c r="R276" i="5" s="1"/>
  <c r="T276" i="5"/>
  <c r="AB275" i="5"/>
  <c r="X275" i="5"/>
  <c r="V275" i="5"/>
  <c r="R275" i="5" s="1"/>
  <c r="T275" i="5"/>
  <c r="AB274" i="5"/>
  <c r="X274" i="5"/>
  <c r="V274" i="5"/>
  <c r="R274" i="5" s="1"/>
  <c r="AB273" i="5"/>
  <c r="X273" i="5"/>
  <c r="V273" i="5"/>
  <c r="R273" i="5" s="1"/>
  <c r="AB272" i="5"/>
  <c r="X272" i="5"/>
  <c r="V272" i="5"/>
  <c r="R272" i="5" s="1"/>
  <c r="AB271" i="5"/>
  <c r="X271" i="5"/>
  <c r="V271" i="5"/>
  <c r="R271" i="5" s="1"/>
  <c r="AB270" i="5"/>
  <c r="X270" i="5"/>
  <c r="V270" i="5"/>
  <c r="R270" i="5" s="1"/>
  <c r="AB269" i="5"/>
  <c r="X269" i="5"/>
  <c r="V269" i="5"/>
  <c r="R269" i="5" s="1"/>
  <c r="AB268" i="5"/>
  <c r="X268" i="5"/>
  <c r="V268" i="5"/>
  <c r="R268" i="5" s="1"/>
  <c r="AB267" i="5"/>
  <c r="X267" i="5"/>
  <c r="V267" i="5"/>
  <c r="R267" i="5" s="1"/>
  <c r="AB266" i="5"/>
  <c r="X266" i="5"/>
  <c r="V266" i="5"/>
  <c r="R266" i="5" s="1"/>
  <c r="AB265" i="5"/>
  <c r="X265" i="5"/>
  <c r="V265" i="5"/>
  <c r="R265" i="5" s="1"/>
  <c r="AB264" i="5"/>
  <c r="X264" i="5"/>
  <c r="V264" i="5"/>
  <c r="R264" i="5" s="1"/>
  <c r="AB263" i="5"/>
  <c r="X263" i="5"/>
  <c r="V263" i="5"/>
  <c r="R263" i="5" s="1"/>
  <c r="AB262" i="5"/>
  <c r="X262" i="5"/>
  <c r="V262" i="5"/>
  <c r="R262" i="5" s="1"/>
  <c r="AB261" i="5"/>
  <c r="X261" i="5"/>
  <c r="V261" i="5"/>
  <c r="R261" i="5" s="1"/>
  <c r="AB260" i="5"/>
  <c r="X260" i="5"/>
  <c r="V260" i="5"/>
  <c r="R260" i="5" s="1"/>
  <c r="T260" i="5"/>
  <c r="AB259" i="5"/>
  <c r="X259" i="5"/>
  <c r="V259" i="5"/>
  <c r="R259" i="5" s="1"/>
  <c r="T259" i="5"/>
  <c r="AB258" i="5"/>
  <c r="X258" i="5"/>
  <c r="V258" i="5"/>
  <c r="R258" i="5" s="1"/>
  <c r="AB257" i="5"/>
  <c r="X257" i="5"/>
  <c r="V257" i="5"/>
  <c r="R257" i="5" s="1"/>
  <c r="T257" i="5"/>
  <c r="AB256" i="5"/>
  <c r="X256" i="5"/>
  <c r="V256" i="5"/>
  <c r="R256" i="5" s="1"/>
  <c r="AB255" i="5"/>
  <c r="X255" i="5"/>
  <c r="V255" i="5"/>
  <c r="R255" i="5" s="1"/>
  <c r="T255" i="5"/>
  <c r="AB254" i="5"/>
  <c r="X254" i="5"/>
  <c r="V254" i="5"/>
  <c r="R254" i="5" s="1"/>
  <c r="T254" i="5"/>
  <c r="AB253" i="5"/>
  <c r="X253" i="5"/>
  <c r="V253" i="5"/>
  <c r="R253" i="5" s="1"/>
  <c r="T253" i="5"/>
  <c r="AB252" i="5"/>
  <c r="X252" i="5"/>
  <c r="V252" i="5"/>
  <c r="R252" i="5" s="1"/>
  <c r="T252" i="5"/>
  <c r="AB251" i="5"/>
  <c r="X251" i="5"/>
  <c r="V251" i="5"/>
  <c r="R251" i="5" s="1"/>
  <c r="T251" i="5"/>
  <c r="AB250" i="5"/>
  <c r="X250" i="5"/>
  <c r="V250" i="5"/>
  <c r="R250" i="5" s="1"/>
  <c r="T250" i="5"/>
  <c r="AB249" i="5"/>
  <c r="X249" i="5"/>
  <c r="V249" i="5"/>
  <c r="R249" i="5" s="1"/>
  <c r="T249" i="5"/>
  <c r="AB248" i="5"/>
  <c r="X248" i="5"/>
  <c r="V248" i="5"/>
  <c r="R248" i="5" s="1"/>
  <c r="T248" i="5"/>
  <c r="AB247" i="5"/>
  <c r="X247" i="5"/>
  <c r="V247" i="5"/>
  <c r="R247" i="5" s="1"/>
  <c r="T247" i="5"/>
  <c r="AB246" i="5"/>
  <c r="X246" i="5"/>
  <c r="V246" i="5"/>
  <c r="R246" i="5" s="1"/>
  <c r="AB245" i="5"/>
  <c r="X245" i="5"/>
  <c r="V245" i="5"/>
  <c r="R245" i="5" s="1"/>
  <c r="AB244" i="5"/>
  <c r="X244" i="5"/>
  <c r="V244" i="5"/>
  <c r="R244" i="5" s="1"/>
  <c r="T244" i="5"/>
  <c r="AB243" i="5"/>
  <c r="X243" i="5"/>
  <c r="V243" i="5"/>
  <c r="R243" i="5" s="1"/>
  <c r="AB242" i="5"/>
  <c r="X242" i="5"/>
  <c r="V242" i="5"/>
  <c r="R242" i="5" s="1"/>
  <c r="AB241" i="5"/>
  <c r="X241" i="5"/>
  <c r="V241" i="5"/>
  <c r="R241" i="5" s="1"/>
  <c r="AB240" i="5"/>
  <c r="X240" i="5"/>
  <c r="V240" i="5"/>
  <c r="R240" i="5" s="1"/>
  <c r="AB239" i="5"/>
  <c r="X239" i="5"/>
  <c r="V239" i="5"/>
  <c r="R239" i="5" s="1"/>
  <c r="S239" i="5"/>
  <c r="AB238" i="5"/>
  <c r="X238" i="5"/>
  <c r="V238" i="5"/>
  <c r="R238" i="5" s="1"/>
  <c r="AB237" i="5"/>
  <c r="X237" i="5"/>
  <c r="V237" i="5"/>
  <c r="R237" i="5" s="1"/>
  <c r="AB236" i="5"/>
  <c r="X236" i="5"/>
  <c r="V236" i="5"/>
  <c r="R236" i="5" s="1"/>
  <c r="AB235" i="5"/>
  <c r="X235" i="5"/>
  <c r="V235" i="5"/>
  <c r="R235" i="5" s="1"/>
  <c r="T235" i="5"/>
  <c r="AB234" i="5"/>
  <c r="X234" i="5"/>
  <c r="V234" i="5"/>
  <c r="R234" i="5" s="1"/>
  <c r="AB233" i="5"/>
  <c r="X233" i="5"/>
  <c r="V233" i="5"/>
  <c r="R233" i="5" s="1"/>
  <c r="AB232" i="5"/>
  <c r="X232" i="5"/>
  <c r="V232" i="5"/>
  <c r="R232" i="5" s="1"/>
  <c r="AB231" i="5"/>
  <c r="X231" i="5"/>
  <c r="V231" i="5"/>
  <c r="R231" i="5" s="1"/>
  <c r="AB230" i="5"/>
  <c r="X230" i="5"/>
  <c r="V230" i="5"/>
  <c r="R230" i="5" s="1"/>
  <c r="AB229" i="5"/>
  <c r="X229" i="5"/>
  <c r="V229" i="5"/>
  <c r="R229" i="5" s="1"/>
  <c r="AB228" i="5"/>
  <c r="X228" i="5"/>
  <c r="V228" i="5"/>
  <c r="R228" i="5" s="1"/>
  <c r="AB227" i="5"/>
  <c r="X227" i="5"/>
  <c r="V227" i="5"/>
  <c r="R227" i="5" s="1"/>
  <c r="AB226" i="5"/>
  <c r="X226" i="5"/>
  <c r="V226" i="5"/>
  <c r="R226" i="5" s="1"/>
  <c r="T226" i="5"/>
  <c r="AB225" i="5"/>
  <c r="X225" i="5"/>
  <c r="V225" i="5"/>
  <c r="R225" i="5" s="1"/>
  <c r="T225" i="5"/>
  <c r="AB224" i="5"/>
  <c r="X224" i="5"/>
  <c r="V224" i="5"/>
  <c r="R224" i="5" s="1"/>
  <c r="AB223" i="5"/>
  <c r="X223" i="5"/>
  <c r="V223" i="5"/>
  <c r="R223" i="5" s="1"/>
  <c r="AB222" i="5"/>
  <c r="X222" i="5"/>
  <c r="V222" i="5"/>
  <c r="R222" i="5" s="1"/>
  <c r="AB221" i="5"/>
  <c r="X221" i="5"/>
  <c r="V221" i="5"/>
  <c r="R221" i="5" s="1"/>
  <c r="AB220" i="5"/>
  <c r="X220" i="5"/>
  <c r="V220" i="5"/>
  <c r="R220" i="5" s="1"/>
  <c r="AB219" i="5"/>
  <c r="X219" i="5"/>
  <c r="V219" i="5"/>
  <c r="R219" i="5" s="1"/>
  <c r="T219" i="5"/>
  <c r="AB218" i="5"/>
  <c r="X218" i="5"/>
  <c r="V218" i="5"/>
  <c r="R218" i="5" s="1"/>
  <c r="T218" i="5"/>
  <c r="AB217" i="5"/>
  <c r="X217" i="5"/>
  <c r="V217" i="5"/>
  <c r="R217" i="5" s="1"/>
  <c r="AB216" i="5"/>
  <c r="X216" i="5"/>
  <c r="V216" i="5"/>
  <c r="R216" i="5" s="1"/>
  <c r="T216" i="5"/>
  <c r="AB215" i="5"/>
  <c r="X215" i="5"/>
  <c r="V215" i="5"/>
  <c r="R215" i="5" s="1"/>
  <c r="AB214" i="5"/>
  <c r="X214" i="5"/>
  <c r="V214" i="5"/>
  <c r="R214" i="5" s="1"/>
  <c r="AB213" i="5"/>
  <c r="X213" i="5"/>
  <c r="V213" i="5"/>
  <c r="R213" i="5" s="1"/>
  <c r="T213" i="5"/>
  <c r="AB212" i="5"/>
  <c r="X212" i="5"/>
  <c r="V212" i="5"/>
  <c r="R212" i="5" s="1"/>
  <c r="AB211" i="5"/>
  <c r="X211" i="5"/>
  <c r="V211" i="5"/>
  <c r="R211" i="5" s="1"/>
  <c r="AB210" i="5"/>
  <c r="X210" i="5"/>
  <c r="V210" i="5"/>
  <c r="R210" i="5" s="1"/>
  <c r="AB209" i="5"/>
  <c r="X209" i="5"/>
  <c r="V209" i="5"/>
  <c r="R209" i="5" s="1"/>
  <c r="T209" i="5"/>
  <c r="AB208" i="5"/>
  <c r="X208" i="5"/>
  <c r="V208" i="5"/>
  <c r="R208" i="5" s="1"/>
  <c r="AB207" i="5"/>
  <c r="X207" i="5"/>
  <c r="V207" i="5"/>
  <c r="R207" i="5" s="1"/>
  <c r="T207" i="5"/>
  <c r="AB206" i="5"/>
  <c r="X206" i="5"/>
  <c r="V206" i="5"/>
  <c r="R206" i="5" s="1"/>
  <c r="AB205" i="5"/>
  <c r="X205" i="5"/>
  <c r="V205" i="5"/>
  <c r="R205" i="5" s="1"/>
  <c r="AB204" i="5"/>
  <c r="X204" i="5"/>
  <c r="V204" i="5"/>
  <c r="R204" i="5" s="1"/>
  <c r="AB203" i="5"/>
  <c r="X203" i="5"/>
  <c r="V203" i="5"/>
  <c r="R203" i="5" s="1"/>
  <c r="AB202" i="5"/>
  <c r="X202" i="5"/>
  <c r="V202" i="5"/>
  <c r="R202" i="5" s="1"/>
  <c r="AB201" i="5"/>
  <c r="X201" i="5"/>
  <c r="V201" i="5"/>
  <c r="R201" i="5" s="1"/>
  <c r="AB200" i="5"/>
  <c r="X200" i="5"/>
  <c r="V200" i="5"/>
  <c r="R200" i="5" s="1"/>
  <c r="AB199" i="5"/>
  <c r="X199" i="5"/>
  <c r="V199" i="5"/>
  <c r="R199" i="5" s="1"/>
  <c r="AB198" i="5"/>
  <c r="X198" i="5"/>
  <c r="V198" i="5"/>
  <c r="R198" i="5" s="1"/>
  <c r="T198" i="5"/>
  <c r="AB197" i="5"/>
  <c r="X197" i="5"/>
  <c r="V197" i="5"/>
  <c r="R197" i="5" s="1"/>
  <c r="T197" i="5"/>
  <c r="AB196" i="5"/>
  <c r="X196" i="5"/>
  <c r="V196" i="5"/>
  <c r="R196" i="5" s="1"/>
  <c r="AB195" i="5"/>
  <c r="X195" i="5"/>
  <c r="V195" i="5"/>
  <c r="R195" i="5" s="1"/>
  <c r="AB194" i="5"/>
  <c r="X194" i="5"/>
  <c r="V194" i="5"/>
  <c r="R194" i="5" s="1"/>
  <c r="AB193" i="5"/>
  <c r="X193" i="5"/>
  <c r="V193" i="5"/>
  <c r="R193" i="5" s="1"/>
  <c r="T193" i="5"/>
  <c r="AB192" i="5"/>
  <c r="X192" i="5"/>
  <c r="V192" i="5"/>
  <c r="R192" i="5" s="1"/>
  <c r="AB191" i="5"/>
  <c r="X191" i="5"/>
  <c r="V191" i="5"/>
  <c r="R191" i="5" s="1"/>
  <c r="AB190" i="5"/>
  <c r="X190" i="5"/>
  <c r="V190" i="5"/>
  <c r="R190" i="5" s="1"/>
  <c r="T190" i="5"/>
  <c r="AB189" i="5"/>
  <c r="X189" i="5"/>
  <c r="V189" i="5"/>
  <c r="R189" i="5" s="1"/>
  <c r="AB188" i="5"/>
  <c r="X188" i="5"/>
  <c r="V188" i="5"/>
  <c r="R188" i="5" s="1"/>
  <c r="AB187" i="5"/>
  <c r="X187" i="5"/>
  <c r="V187" i="5"/>
  <c r="R187" i="5" s="1"/>
  <c r="AB186" i="5"/>
  <c r="X186" i="5"/>
  <c r="V186" i="5"/>
  <c r="R186" i="5" s="1"/>
  <c r="AB185" i="5"/>
  <c r="X185" i="5"/>
  <c r="V185" i="5"/>
  <c r="R185" i="5" s="1"/>
  <c r="AB184" i="5"/>
  <c r="X184" i="5"/>
  <c r="V184" i="5"/>
  <c r="R184" i="5" s="1"/>
  <c r="AB183" i="5"/>
  <c r="X183" i="5"/>
  <c r="V183" i="5"/>
  <c r="R183" i="5" s="1"/>
  <c r="AB182" i="5"/>
  <c r="X182" i="5"/>
  <c r="V182" i="5"/>
  <c r="R182" i="5" s="1"/>
  <c r="AB181" i="5"/>
  <c r="X181" i="5"/>
  <c r="V181" i="5"/>
  <c r="R181" i="5" s="1"/>
  <c r="T181" i="5"/>
  <c r="AB180" i="5"/>
  <c r="X180" i="5"/>
  <c r="V180" i="5"/>
  <c r="R180" i="5" s="1"/>
  <c r="AB179" i="5"/>
  <c r="X179" i="5"/>
  <c r="V179" i="5"/>
  <c r="R179" i="5" s="1"/>
  <c r="AB178" i="5"/>
  <c r="X178" i="5"/>
  <c r="V178" i="5"/>
  <c r="R178" i="5" s="1"/>
  <c r="AB177" i="5"/>
  <c r="X177" i="5"/>
  <c r="V177" i="5"/>
  <c r="R177" i="5" s="1"/>
  <c r="AB176" i="5"/>
  <c r="X176" i="5"/>
  <c r="V176" i="5"/>
  <c r="R176" i="5" s="1"/>
  <c r="AB175" i="5"/>
  <c r="X175" i="5"/>
  <c r="V175" i="5"/>
  <c r="R175" i="5" s="1"/>
  <c r="T175" i="5"/>
  <c r="AB174" i="5"/>
  <c r="X174" i="5"/>
  <c r="V174" i="5"/>
  <c r="R174" i="5" s="1"/>
  <c r="AB173" i="5"/>
  <c r="X173" i="5"/>
  <c r="V173" i="5"/>
  <c r="R173" i="5" s="1"/>
  <c r="AB172" i="5"/>
  <c r="X172" i="5"/>
  <c r="V172" i="5"/>
  <c r="R172" i="5" s="1"/>
  <c r="AB171" i="5"/>
  <c r="X171" i="5"/>
  <c r="V171" i="5"/>
  <c r="R171" i="5" s="1"/>
  <c r="AB170" i="5"/>
  <c r="X170" i="5"/>
  <c r="V170" i="5"/>
  <c r="R170" i="5" s="1"/>
  <c r="T170" i="5"/>
  <c r="AB169" i="5"/>
  <c r="X169" i="5"/>
  <c r="V169" i="5"/>
  <c r="R169" i="5" s="1"/>
  <c r="AB168" i="5"/>
  <c r="X168" i="5"/>
  <c r="V168" i="5"/>
  <c r="R168" i="5" s="1"/>
  <c r="T168" i="5"/>
  <c r="AB167" i="5"/>
  <c r="X167" i="5"/>
  <c r="V167" i="5"/>
  <c r="R167" i="5" s="1"/>
  <c r="T167" i="5"/>
  <c r="AB166" i="5"/>
  <c r="X166" i="5"/>
  <c r="V166" i="5"/>
  <c r="R166" i="5" s="1"/>
  <c r="T166" i="5"/>
  <c r="AB165" i="5"/>
  <c r="X165" i="5"/>
  <c r="V165" i="5"/>
  <c r="R165" i="5" s="1"/>
  <c r="AB164" i="5"/>
  <c r="X164" i="5"/>
  <c r="V164" i="5"/>
  <c r="R164" i="5" s="1"/>
  <c r="T164" i="5"/>
  <c r="AB163" i="5"/>
  <c r="X163" i="5"/>
  <c r="V163" i="5"/>
  <c r="R163" i="5" s="1"/>
  <c r="T163" i="5"/>
  <c r="AB162" i="5"/>
  <c r="X162" i="5"/>
  <c r="V162" i="5"/>
  <c r="R162" i="5" s="1"/>
  <c r="AB161" i="5"/>
  <c r="X161" i="5"/>
  <c r="V161" i="5"/>
  <c r="R161" i="5" s="1"/>
  <c r="T161" i="5"/>
  <c r="AB160" i="5"/>
  <c r="X160" i="5"/>
  <c r="V160" i="5"/>
  <c r="R160" i="5" s="1"/>
  <c r="T160" i="5"/>
  <c r="AB159" i="5"/>
  <c r="X159" i="5"/>
  <c r="V159" i="5"/>
  <c r="R159" i="5" s="1"/>
  <c r="T159" i="5"/>
  <c r="AB158" i="5"/>
  <c r="X158" i="5"/>
  <c r="V158" i="5"/>
  <c r="R158" i="5" s="1"/>
  <c r="T158" i="5"/>
  <c r="AB157" i="5"/>
  <c r="X157" i="5"/>
  <c r="V157" i="5"/>
  <c r="R157" i="5" s="1"/>
  <c r="T157" i="5"/>
  <c r="AB156" i="5"/>
  <c r="X156" i="5"/>
  <c r="V156" i="5"/>
  <c r="R156" i="5" s="1"/>
  <c r="AB155" i="5"/>
  <c r="X155" i="5"/>
  <c r="V155" i="5"/>
  <c r="R155" i="5" s="1"/>
  <c r="T155" i="5"/>
  <c r="AB154" i="5"/>
  <c r="X154" i="5"/>
  <c r="V154" i="5"/>
  <c r="R154" i="5" s="1"/>
  <c r="AB153" i="5"/>
  <c r="X153" i="5"/>
  <c r="V153" i="5"/>
  <c r="R153" i="5" s="1"/>
  <c r="AB152" i="5"/>
  <c r="X152" i="5"/>
  <c r="V152" i="5"/>
  <c r="R152" i="5" s="1"/>
  <c r="AB151" i="5"/>
  <c r="X151" i="5"/>
  <c r="V151" i="5"/>
  <c r="R151" i="5" s="1"/>
  <c r="AB150" i="5"/>
  <c r="X150" i="5"/>
  <c r="V150" i="5"/>
  <c r="R150" i="5" s="1"/>
  <c r="AB149" i="5"/>
  <c r="X149" i="5"/>
  <c r="V149" i="5"/>
  <c r="R149" i="5" s="1"/>
  <c r="AB148" i="5"/>
  <c r="X148" i="5"/>
  <c r="V148" i="5"/>
  <c r="R148" i="5" s="1"/>
  <c r="AB147" i="5"/>
  <c r="X147" i="5"/>
  <c r="V147" i="5"/>
  <c r="R147" i="5" s="1"/>
  <c r="T147" i="5"/>
  <c r="AB146" i="5"/>
  <c r="X146" i="5"/>
  <c r="V146" i="5"/>
  <c r="R146" i="5" s="1"/>
  <c r="T146" i="5"/>
  <c r="AB145" i="5"/>
  <c r="X145" i="5"/>
  <c r="V145" i="5"/>
  <c r="R145" i="5" s="1"/>
  <c r="AB144" i="5"/>
  <c r="X144" i="5"/>
  <c r="V144" i="5"/>
  <c r="R144" i="5" s="1"/>
  <c r="AB143" i="5"/>
  <c r="X143" i="5"/>
  <c r="V143" i="5"/>
  <c r="R143" i="5" s="1"/>
  <c r="T143" i="5"/>
  <c r="AB142" i="5"/>
  <c r="X142" i="5"/>
  <c r="V142" i="5"/>
  <c r="R142" i="5" s="1"/>
  <c r="AB141" i="5"/>
  <c r="X141" i="5"/>
  <c r="V141" i="5"/>
  <c r="R141" i="5" s="1"/>
  <c r="T141" i="5"/>
  <c r="AB140" i="5"/>
  <c r="X140" i="5"/>
  <c r="V140" i="5"/>
  <c r="R140" i="5" s="1"/>
  <c r="AB139" i="5"/>
  <c r="X139" i="5"/>
  <c r="V139" i="5"/>
  <c r="R139" i="5" s="1"/>
  <c r="AB138" i="5"/>
  <c r="X138" i="5"/>
  <c r="V138" i="5"/>
  <c r="R138" i="5" s="1"/>
  <c r="T138" i="5"/>
  <c r="AB137" i="5"/>
  <c r="X137" i="5"/>
  <c r="V137" i="5"/>
  <c r="R137" i="5" s="1"/>
  <c r="AB136" i="5"/>
  <c r="X136" i="5"/>
  <c r="V136" i="5"/>
  <c r="R136" i="5" s="1"/>
  <c r="AB135" i="5"/>
  <c r="X135" i="5"/>
  <c r="V135" i="5"/>
  <c r="R135" i="5" s="1"/>
  <c r="AB134" i="5"/>
  <c r="X134" i="5"/>
  <c r="V134" i="5"/>
  <c r="R134" i="5" s="1"/>
  <c r="T134" i="5"/>
  <c r="AB133" i="5"/>
  <c r="X133" i="5"/>
  <c r="V133" i="5"/>
  <c r="R133" i="5" s="1"/>
  <c r="T133" i="5"/>
  <c r="AB132" i="5"/>
  <c r="X132" i="5"/>
  <c r="V132" i="5"/>
  <c r="R132" i="5" s="1"/>
  <c r="T132" i="5"/>
  <c r="AB131" i="5"/>
  <c r="X131" i="5"/>
  <c r="V131" i="5"/>
  <c r="R131" i="5" s="1"/>
  <c r="AB130" i="5"/>
  <c r="X130" i="5"/>
  <c r="V130" i="5"/>
  <c r="R130" i="5" s="1"/>
  <c r="T130" i="5"/>
  <c r="AB129" i="5"/>
  <c r="X129" i="5"/>
  <c r="V129" i="5"/>
  <c r="R129" i="5" s="1"/>
  <c r="T129" i="5"/>
  <c r="AB128" i="5"/>
  <c r="X128" i="5"/>
  <c r="V128" i="5"/>
  <c r="R128" i="5" s="1"/>
  <c r="T128" i="5"/>
  <c r="AB127" i="5"/>
  <c r="X127" i="5"/>
  <c r="V127" i="5"/>
  <c r="R127" i="5" s="1"/>
  <c r="T127" i="5"/>
  <c r="AB126" i="5"/>
  <c r="X126" i="5"/>
  <c r="V126" i="5"/>
  <c r="R126" i="5" s="1"/>
  <c r="AB125" i="5"/>
  <c r="X125" i="5"/>
  <c r="V125" i="5"/>
  <c r="R125" i="5" s="1"/>
  <c r="T125" i="5"/>
  <c r="AB124" i="5"/>
  <c r="X124" i="5"/>
  <c r="V124" i="5"/>
  <c r="R124" i="5" s="1"/>
  <c r="AB123" i="5"/>
  <c r="X123" i="5"/>
  <c r="V123" i="5"/>
  <c r="R123" i="5" s="1"/>
  <c r="AB122" i="5"/>
  <c r="X122" i="5"/>
  <c r="V122" i="5"/>
  <c r="R122" i="5" s="1"/>
  <c r="AB121" i="5"/>
  <c r="X121" i="5"/>
  <c r="V121" i="5"/>
  <c r="R121" i="5" s="1"/>
  <c r="AB120" i="5"/>
  <c r="X120" i="5"/>
  <c r="V120" i="5"/>
  <c r="R120" i="5" s="1"/>
  <c r="T120" i="5"/>
  <c r="AB119" i="5"/>
  <c r="X119" i="5"/>
  <c r="V119" i="5"/>
  <c r="R119" i="5" s="1"/>
  <c r="AB118" i="5"/>
  <c r="X118" i="5"/>
  <c r="V118" i="5"/>
  <c r="R118" i="5" s="1"/>
  <c r="AB117" i="5"/>
  <c r="X117" i="5"/>
  <c r="V117" i="5"/>
  <c r="R117" i="5" s="1"/>
  <c r="AB116" i="5"/>
  <c r="X116" i="5"/>
  <c r="V116" i="5"/>
  <c r="R116" i="5" s="1"/>
  <c r="T116" i="5"/>
  <c r="AB115" i="5"/>
  <c r="X115" i="5"/>
  <c r="V115" i="5"/>
  <c r="R115" i="5" s="1"/>
  <c r="AB114" i="5"/>
  <c r="X114" i="5"/>
  <c r="V114" i="5"/>
  <c r="R114" i="5" s="1"/>
  <c r="AB113" i="5"/>
  <c r="X113" i="5"/>
  <c r="V113" i="5"/>
  <c r="R113" i="5" s="1"/>
  <c r="AB112" i="5"/>
  <c r="X112" i="5"/>
  <c r="V112" i="5"/>
  <c r="R112" i="5" s="1"/>
  <c r="AB111" i="5"/>
  <c r="X111" i="5"/>
  <c r="V111" i="5"/>
  <c r="R111" i="5" s="1"/>
  <c r="AB110" i="5"/>
  <c r="X110" i="5"/>
  <c r="V110" i="5"/>
  <c r="R110" i="5" s="1"/>
  <c r="AB109" i="5"/>
  <c r="X109" i="5"/>
  <c r="V109" i="5"/>
  <c r="R109" i="5" s="1"/>
  <c r="T109" i="5"/>
  <c r="AB108" i="5"/>
  <c r="X108" i="5"/>
  <c r="V108" i="5"/>
  <c r="R108" i="5" s="1"/>
  <c r="AB107" i="5"/>
  <c r="X107" i="5"/>
  <c r="V107" i="5"/>
  <c r="R107" i="5" s="1"/>
  <c r="AB106" i="5"/>
  <c r="X106" i="5"/>
  <c r="V106" i="5"/>
  <c r="R106" i="5" s="1"/>
  <c r="AB105" i="5"/>
  <c r="X105" i="5"/>
  <c r="V105" i="5"/>
  <c r="R105" i="5" s="1"/>
  <c r="T105" i="5"/>
  <c r="AB104" i="5"/>
  <c r="X104" i="5"/>
  <c r="V104" i="5"/>
  <c r="R104" i="5" s="1"/>
  <c r="T104" i="5"/>
  <c r="AB103" i="5"/>
  <c r="X103" i="5"/>
  <c r="V103" i="5"/>
  <c r="R103" i="5" s="1"/>
  <c r="AB102" i="5"/>
  <c r="X102" i="5"/>
  <c r="V102" i="5"/>
  <c r="R102" i="5" s="1"/>
  <c r="AB101" i="5"/>
  <c r="X101" i="5"/>
  <c r="V101" i="5"/>
  <c r="R101" i="5" s="1"/>
  <c r="T101" i="5"/>
  <c r="AB100" i="5"/>
  <c r="X100" i="5"/>
  <c r="V100" i="5"/>
  <c r="R100" i="5" s="1"/>
  <c r="T100" i="5"/>
  <c r="AB99" i="5"/>
  <c r="X99" i="5"/>
  <c r="V99" i="5"/>
  <c r="R99" i="5" s="1"/>
  <c r="T99" i="5"/>
  <c r="AB98" i="5"/>
  <c r="X98" i="5"/>
  <c r="V98" i="5"/>
  <c r="R98" i="5" s="1"/>
  <c r="T98" i="5"/>
  <c r="AB97" i="5"/>
  <c r="X97" i="5"/>
  <c r="V97" i="5"/>
  <c r="R97" i="5" s="1"/>
  <c r="T97" i="5"/>
  <c r="AB96" i="5"/>
  <c r="X96" i="5"/>
  <c r="V96" i="5"/>
  <c r="R96" i="5" s="1"/>
  <c r="AB95" i="5"/>
  <c r="X95" i="5"/>
  <c r="V95" i="5"/>
  <c r="R95" i="5" s="1"/>
  <c r="AB94" i="5"/>
  <c r="X94" i="5"/>
  <c r="V94" i="5"/>
  <c r="R94" i="5" s="1"/>
  <c r="AB93" i="5"/>
  <c r="X93" i="5"/>
  <c r="V93" i="5"/>
  <c r="R93" i="5" s="1"/>
  <c r="AB92" i="5"/>
  <c r="X92" i="5"/>
  <c r="V92" i="5"/>
  <c r="R92" i="5" s="1"/>
  <c r="T92" i="5"/>
  <c r="AB91" i="5"/>
  <c r="X91" i="5"/>
  <c r="V91" i="5"/>
  <c r="R91" i="5" s="1"/>
  <c r="AB90" i="5"/>
  <c r="X90" i="5"/>
  <c r="V90" i="5"/>
  <c r="R90" i="5" s="1"/>
  <c r="AB89" i="5"/>
  <c r="X89" i="5"/>
  <c r="V89" i="5"/>
  <c r="R89" i="5" s="1"/>
  <c r="AB88" i="5"/>
  <c r="X88" i="5"/>
  <c r="V88" i="5"/>
  <c r="R88" i="5" s="1"/>
  <c r="AB87" i="5"/>
  <c r="X87" i="5"/>
  <c r="V87" i="5"/>
  <c r="R87" i="5" s="1"/>
  <c r="T87" i="5"/>
  <c r="AB86" i="5"/>
  <c r="X86" i="5"/>
  <c r="V86" i="5"/>
  <c r="R86" i="5" s="1"/>
  <c r="AB85" i="5"/>
  <c r="X85" i="5"/>
  <c r="V85" i="5"/>
  <c r="R85" i="5" s="1"/>
  <c r="AB84" i="5"/>
  <c r="X84" i="5"/>
  <c r="V84" i="5"/>
  <c r="R84" i="5" s="1"/>
  <c r="AB83" i="5"/>
  <c r="X83" i="5"/>
  <c r="V83" i="5"/>
  <c r="R83" i="5" s="1"/>
  <c r="AB82" i="5"/>
  <c r="X82" i="5"/>
  <c r="V82" i="5"/>
  <c r="R82" i="5" s="1"/>
  <c r="AB81" i="5"/>
  <c r="X81" i="5"/>
  <c r="V81" i="5"/>
  <c r="R81" i="5" s="1"/>
  <c r="AB80" i="5"/>
  <c r="X80" i="5"/>
  <c r="V80" i="5"/>
  <c r="R80" i="5" s="1"/>
  <c r="AB79" i="5"/>
  <c r="X79" i="5"/>
  <c r="V79" i="5"/>
  <c r="R79" i="5" s="1"/>
  <c r="AB78" i="5"/>
  <c r="X78" i="5"/>
  <c r="V78" i="5"/>
  <c r="R78" i="5" s="1"/>
  <c r="T78" i="5"/>
  <c r="AB77" i="5"/>
  <c r="X77" i="5"/>
  <c r="V77" i="5"/>
  <c r="R77" i="5" s="1"/>
  <c r="AB76" i="5"/>
  <c r="X76" i="5"/>
  <c r="V76" i="5"/>
  <c r="R76" i="5" s="1"/>
  <c r="AB75" i="5"/>
  <c r="X75" i="5"/>
  <c r="V75" i="5"/>
  <c r="R75" i="5" s="1"/>
  <c r="AB74" i="5"/>
  <c r="X74" i="5"/>
  <c r="V74" i="5"/>
  <c r="R74" i="5" s="1"/>
  <c r="T74" i="5"/>
  <c r="AB73" i="5"/>
  <c r="X73" i="5"/>
  <c r="V73" i="5"/>
  <c r="R73" i="5" s="1"/>
  <c r="AB72" i="5"/>
  <c r="X72" i="5"/>
  <c r="V72" i="5"/>
  <c r="R72" i="5" s="1"/>
  <c r="T72" i="5"/>
  <c r="AB71" i="5"/>
  <c r="X71" i="5"/>
  <c r="V71" i="5"/>
  <c r="R71" i="5" s="1"/>
  <c r="AB70" i="5"/>
  <c r="X70" i="5"/>
  <c r="V70" i="5"/>
  <c r="R70" i="5" s="1"/>
  <c r="AB69" i="5"/>
  <c r="X69" i="5"/>
  <c r="V69" i="5"/>
  <c r="R69" i="5" s="1"/>
  <c r="AB68" i="5"/>
  <c r="X68" i="5"/>
  <c r="V68" i="5"/>
  <c r="R68" i="5" s="1"/>
  <c r="AB67" i="5"/>
  <c r="X67" i="5"/>
  <c r="V67" i="5"/>
  <c r="R67" i="5" s="1"/>
  <c r="AB66" i="5"/>
  <c r="X66" i="5"/>
  <c r="V66" i="5"/>
  <c r="R66" i="5" s="1"/>
  <c r="AB65" i="5"/>
  <c r="X65" i="5"/>
  <c r="V65" i="5"/>
  <c r="R65" i="5" s="1"/>
  <c r="AB64" i="5"/>
  <c r="X64" i="5"/>
  <c r="V64" i="5"/>
  <c r="R64" i="5" s="1"/>
  <c r="AB63" i="5"/>
  <c r="X63" i="5"/>
  <c r="V63" i="5"/>
  <c r="R63" i="5" s="1"/>
  <c r="AB62" i="5"/>
  <c r="X62" i="5"/>
  <c r="V62" i="5"/>
  <c r="R62" i="5" s="1"/>
  <c r="AB61" i="5"/>
  <c r="X61" i="5"/>
  <c r="V61" i="5"/>
  <c r="R61" i="5" s="1"/>
  <c r="AB60" i="5"/>
  <c r="X60" i="5"/>
  <c r="V60" i="5"/>
  <c r="R60" i="5" s="1"/>
  <c r="AB59" i="5"/>
  <c r="X59" i="5"/>
  <c r="V59" i="5"/>
  <c r="R59" i="5" s="1"/>
  <c r="AB58" i="5"/>
  <c r="X58" i="5"/>
  <c r="V58" i="5"/>
  <c r="R58" i="5" s="1"/>
  <c r="AB57" i="5"/>
  <c r="X57" i="5"/>
  <c r="V57" i="5"/>
  <c r="R57" i="5" s="1"/>
  <c r="AB56" i="5"/>
  <c r="X56" i="5"/>
  <c r="V56" i="5"/>
  <c r="R56" i="5" s="1"/>
  <c r="AB55" i="5"/>
  <c r="X55" i="5"/>
  <c r="V55" i="5"/>
  <c r="R55" i="5" s="1"/>
  <c r="AB54" i="5"/>
  <c r="X54" i="5"/>
  <c r="V54" i="5"/>
  <c r="R54" i="5" s="1"/>
  <c r="AB53" i="5"/>
  <c r="X53" i="5"/>
  <c r="V53" i="5"/>
  <c r="R53" i="5" s="1"/>
  <c r="AB52" i="5"/>
  <c r="X52" i="5"/>
  <c r="V52" i="5"/>
  <c r="R52" i="5" s="1"/>
  <c r="AB51" i="5"/>
  <c r="X51" i="5"/>
  <c r="V51" i="5"/>
  <c r="R51" i="5" s="1"/>
  <c r="AB50" i="5"/>
  <c r="X50" i="5"/>
  <c r="V50" i="5"/>
  <c r="R50" i="5" s="1"/>
  <c r="AB49" i="5"/>
  <c r="X49" i="5"/>
  <c r="V49" i="5"/>
  <c r="R49" i="5" s="1"/>
  <c r="T49" i="5"/>
  <c r="AB48" i="5"/>
  <c r="X48" i="5"/>
  <c r="V48" i="5"/>
  <c r="R48" i="5" s="1"/>
  <c r="T48" i="5"/>
  <c r="AB47" i="5"/>
  <c r="X47" i="5"/>
  <c r="V47" i="5"/>
  <c r="R47" i="5" s="1"/>
  <c r="AB46" i="5"/>
  <c r="X46" i="5"/>
  <c r="V46" i="5"/>
  <c r="R46" i="5" s="1"/>
  <c r="AB45" i="5"/>
  <c r="X45" i="5"/>
  <c r="V45" i="5"/>
  <c r="R45" i="5" s="1"/>
  <c r="AB44" i="5"/>
  <c r="X44" i="5"/>
  <c r="V44" i="5"/>
  <c r="R44" i="5" s="1"/>
  <c r="AB43" i="5"/>
  <c r="X43" i="5"/>
  <c r="V43" i="5"/>
  <c r="R43" i="5" s="1"/>
  <c r="T43" i="5"/>
  <c r="AB42" i="5"/>
  <c r="X42" i="5"/>
  <c r="V42" i="5"/>
  <c r="R42" i="5" s="1"/>
  <c r="T42" i="5"/>
  <c r="AB41" i="5"/>
  <c r="X41" i="5"/>
  <c r="V41" i="5"/>
  <c r="R41" i="5" s="1"/>
  <c r="T41" i="5"/>
  <c r="AB40" i="5"/>
  <c r="X40" i="5"/>
  <c r="V40" i="5"/>
  <c r="R40" i="5" s="1"/>
  <c r="T40" i="5"/>
  <c r="AB39" i="5"/>
  <c r="X39" i="5"/>
  <c r="V39" i="5"/>
  <c r="R39" i="5" s="1"/>
  <c r="AB38" i="5"/>
  <c r="X38" i="5"/>
  <c r="V38" i="5"/>
  <c r="R38" i="5" s="1"/>
  <c r="AB37" i="5"/>
  <c r="X37" i="5"/>
  <c r="V37" i="5"/>
  <c r="R37" i="5" s="1"/>
  <c r="AB36" i="5"/>
  <c r="X36" i="5"/>
  <c r="V36" i="5"/>
  <c r="R36" i="5" s="1"/>
  <c r="AB35" i="5"/>
  <c r="X35" i="5"/>
  <c r="V35" i="5"/>
  <c r="R35" i="5" s="1"/>
  <c r="T35" i="5"/>
  <c r="AB34" i="5"/>
  <c r="X34" i="5"/>
  <c r="V34" i="5"/>
  <c r="R34" i="5" s="1"/>
  <c r="AB33" i="5"/>
  <c r="X33" i="5"/>
  <c r="V33" i="5"/>
  <c r="R33" i="5" s="1"/>
  <c r="AB32" i="5"/>
  <c r="X32" i="5"/>
  <c r="V32" i="5"/>
  <c r="R32" i="5" s="1"/>
  <c r="T32" i="5"/>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T24" i="5"/>
  <c r="AB23" i="5"/>
  <c r="X23" i="5"/>
  <c r="V23" i="5"/>
  <c r="R23" i="5" s="1"/>
  <c r="AB22" i="5"/>
  <c r="X22" i="5"/>
  <c r="V22" i="5"/>
  <c r="R22" i="5" s="1"/>
  <c r="AB21" i="5"/>
  <c r="X21" i="5"/>
  <c r="V21" i="5"/>
  <c r="R21" i="5" s="1"/>
  <c r="T21" i="5"/>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T13" i="5"/>
  <c r="AB12" i="5"/>
  <c r="X12" i="5"/>
  <c r="V12" i="5"/>
  <c r="R12" i="5" s="1"/>
  <c r="AB11" i="5"/>
  <c r="X11" i="5"/>
  <c r="V11" i="5"/>
  <c r="R11" i="5" s="1"/>
  <c r="AB10" i="5"/>
  <c r="X10" i="5"/>
  <c r="V10" i="5"/>
  <c r="R10" i="5" s="1"/>
  <c r="AB9" i="5"/>
  <c r="X9" i="5"/>
  <c r="V9" i="5"/>
  <c r="R9" i="5" s="1"/>
  <c r="T9" i="5"/>
  <c r="AB8" i="5"/>
  <c r="X8" i="5"/>
  <c r="V8" i="5"/>
  <c r="R8" i="5" s="1"/>
  <c r="AB7" i="5"/>
  <c r="X7" i="5"/>
  <c r="V7" i="5"/>
  <c r="R7" i="5" s="1"/>
  <c r="AB6" i="5"/>
  <c r="X6" i="5"/>
  <c r="V6" i="5"/>
  <c r="R6" i="5" s="1"/>
  <c r="AB5" i="5"/>
  <c r="X5" i="5"/>
  <c r="V5" i="5"/>
  <c r="R5" i="5" s="1"/>
  <c r="Q4" i="5"/>
  <c r="O4" i="5"/>
  <c r="N4" i="5"/>
  <c r="M4" i="5"/>
  <c r="K4" i="5"/>
  <c r="I4" i="5"/>
  <c r="G4" i="5"/>
  <c r="F4" i="5"/>
  <c r="E4" i="5"/>
  <c r="C4" i="5"/>
  <c r="A4" i="5"/>
  <c r="B3" i="5"/>
  <c r="J2" i="5"/>
  <c r="B2" i="5"/>
  <c r="B90" i="4"/>
  <c r="B87" i="4"/>
  <c r="A62" i="6" s="1"/>
  <c r="B81" i="4"/>
  <c r="A58" i="6" s="1"/>
  <c r="B73" i="4"/>
  <c r="H67" i="4"/>
  <c r="B55" i="4"/>
  <c r="A38" i="6" s="1"/>
  <c r="P47" i="4"/>
  <c r="P46" i="4"/>
  <c r="B46" i="4"/>
  <c r="A31" i="6" s="1"/>
  <c r="P45" i="4"/>
  <c r="P44" i="4"/>
  <c r="Q43" i="4"/>
  <c r="P43" i="4"/>
  <c r="B43" i="4"/>
  <c r="A28" i="6" s="1"/>
  <c r="P41" i="4"/>
  <c r="B41" i="4"/>
  <c r="A27" i="6" s="1"/>
  <c r="P40" i="4"/>
  <c r="B40" i="4"/>
  <c r="B58" i="4" s="1"/>
  <c r="A41" i="6" s="1"/>
  <c r="P39" i="4"/>
  <c r="B39" i="4"/>
  <c r="A25" i="6" s="1"/>
  <c r="P38" i="4"/>
  <c r="B38" i="4" s="1"/>
  <c r="P37" i="4"/>
  <c r="Q37" i="4" s="1"/>
  <c r="P35" i="4"/>
  <c r="P34" i="4"/>
  <c r="P33" i="4"/>
  <c r="P32" i="4"/>
  <c r="P31" i="4"/>
  <c r="Q31" i="4" s="1"/>
  <c r="B31" i="4"/>
  <c r="A18" i="6" s="1"/>
  <c r="P29" i="4"/>
  <c r="B29" i="4"/>
  <c r="A17" i="6" s="1"/>
  <c r="P28" i="4"/>
  <c r="B28" i="4"/>
  <c r="A16" i="6" s="1"/>
  <c r="P27" i="4"/>
  <c r="B27" i="4" s="1"/>
  <c r="P26" i="4"/>
  <c r="B26" i="4"/>
  <c r="D25" i="4"/>
  <c r="D74" i="4" s="1"/>
  <c r="B24" i="4"/>
  <c r="B22" i="4"/>
  <c r="A12" i="6" s="1"/>
  <c r="B21" i="4"/>
  <c r="B19" i="4"/>
  <c r="B17" i="4"/>
  <c r="A9" i="6" s="1"/>
  <c r="B15" i="4"/>
  <c r="A7" i="6" s="1"/>
  <c r="B14" i="4"/>
  <c r="B13" i="4"/>
  <c r="D11" i="4"/>
  <c r="B9" i="4"/>
  <c r="A5" i="6" s="1"/>
  <c r="B7" i="4"/>
  <c r="B6" i="4"/>
  <c r="A5" i="4"/>
  <c r="B4" i="4"/>
  <c r="P3" i="4"/>
  <c r="D2" i="4"/>
  <c r="C31" i="3"/>
  <c r="B31" i="3"/>
  <c r="C30" i="3"/>
  <c r="C29" i="3"/>
  <c r="B29" i="3"/>
  <c r="C28" i="3"/>
  <c r="C27" i="3"/>
  <c r="B27" i="3"/>
  <c r="C26" i="3"/>
  <c r="C25" i="3"/>
  <c r="B25" i="3"/>
  <c r="C24" i="3"/>
  <c r="C23" i="3"/>
  <c r="B23" i="3"/>
  <c r="C22" i="3"/>
  <c r="C21" i="3"/>
  <c r="B21" i="3"/>
  <c r="C20" i="3"/>
  <c r="C19" i="3"/>
  <c r="B19" i="3"/>
  <c r="C18" i="3"/>
  <c r="C17" i="3"/>
  <c r="B17" i="3"/>
  <c r="C16" i="3"/>
  <c r="C15" i="3"/>
  <c r="B15" i="3"/>
  <c r="C14" i="3"/>
  <c r="C13" i="3"/>
  <c r="B13" i="3"/>
  <c r="C12" i="3"/>
  <c r="C11" i="3"/>
  <c r="B11" i="3"/>
  <c r="C10" i="3"/>
  <c r="C9" i="3"/>
  <c r="B9" i="3"/>
  <c r="C8" i="3"/>
  <c r="C7" i="3"/>
  <c r="B7" i="3"/>
  <c r="C6" i="3"/>
  <c r="C5" i="3"/>
  <c r="B5" i="3"/>
  <c r="C4" i="3"/>
  <c r="C3" i="3"/>
  <c r="B3" i="3"/>
  <c r="C2" i="3"/>
  <c r="A75" i="2"/>
  <c r="A73" i="2"/>
  <c r="A72" i="2"/>
  <c r="A70" i="2"/>
  <c r="A68" i="2"/>
  <c r="A66" i="2"/>
  <c r="A64" i="2"/>
  <c r="A63" i="2"/>
  <c r="A62" i="2"/>
  <c r="A60" i="2"/>
  <c r="A59" i="2"/>
  <c r="A58" i="2"/>
  <c r="A56" i="2"/>
  <c r="A55" i="2"/>
  <c r="A54" i="2"/>
  <c r="A52" i="2"/>
  <c r="A51" i="2"/>
  <c r="A50" i="2"/>
  <c r="A48" i="2"/>
  <c r="A46" i="2"/>
  <c r="A45" i="2"/>
  <c r="A43" i="2"/>
  <c r="A42" i="2"/>
  <c r="A41" i="2"/>
  <c r="A39" i="2"/>
  <c r="A38" i="2"/>
  <c r="A37" i="2"/>
  <c r="A34" i="2"/>
  <c r="A33" i="2"/>
  <c r="A32" i="2"/>
  <c r="A30" i="2"/>
  <c r="A29" i="2"/>
  <c r="A28" i="2"/>
  <c r="A26" i="2"/>
  <c r="A25" i="2"/>
  <c r="A24" i="2"/>
  <c r="A21" i="2"/>
  <c r="A20" i="2"/>
  <c r="A19" i="2"/>
  <c r="A17" i="2"/>
  <c r="A16" i="2"/>
  <c r="A15" i="2"/>
  <c r="A13" i="2"/>
  <c r="A12" i="2"/>
  <c r="A11" i="2"/>
  <c r="A9" i="2"/>
  <c r="A8" i="2"/>
  <c r="A7" i="2"/>
  <c r="A4" i="2"/>
  <c r="A3" i="2"/>
  <c r="A2" i="2"/>
  <c r="B56" i="1"/>
  <c r="S269" i="5"/>
  <c r="S114" i="5"/>
  <c r="T88" i="5"/>
  <c r="S136" i="5"/>
  <c r="S215" i="5"/>
  <c r="S299" i="5"/>
  <c r="S212" i="5"/>
  <c r="T27" i="5"/>
  <c r="T264" i="5"/>
  <c r="T12" i="5"/>
  <c r="T297" i="5"/>
  <c r="S263" i="5"/>
  <c r="S49" i="5"/>
  <c r="T228" i="5"/>
  <c r="S125" i="5"/>
  <c r="S257" i="5"/>
  <c r="S176" i="5"/>
  <c r="T227" i="5"/>
  <c r="S36" i="5"/>
  <c r="S314" i="5"/>
  <c r="S47" i="5"/>
  <c r="T62" i="5"/>
  <c r="S276" i="5"/>
  <c r="S309" i="5"/>
  <c r="T272" i="5"/>
  <c r="S196" i="5"/>
  <c r="T288" i="5"/>
  <c r="S45" i="5"/>
  <c r="S159" i="5"/>
  <c r="S243" i="5"/>
  <c r="S328" i="5"/>
  <c r="S211" i="5"/>
  <c r="T210" i="5"/>
  <c r="S340" i="5"/>
  <c r="S223" i="5"/>
  <c r="S368" i="5"/>
  <c r="S293" i="5"/>
  <c r="T194" i="5"/>
  <c r="S242" i="5"/>
  <c r="T241" i="5"/>
  <c r="S18" i="5"/>
  <c r="S84" i="5"/>
  <c r="T36" i="5"/>
  <c r="T358" i="5"/>
  <c r="S288" i="5"/>
  <c r="S163" i="5"/>
  <c r="T154" i="5"/>
  <c r="T73" i="5"/>
  <c r="T245" i="5"/>
  <c r="S160" i="5"/>
  <c r="S30" i="5"/>
  <c r="T95" i="5"/>
  <c r="S279" i="5"/>
  <c r="S382" i="5"/>
  <c r="S199" i="5"/>
  <c r="T289" i="5"/>
  <c r="T10" i="5"/>
  <c r="T238" i="5"/>
  <c r="T374" i="5"/>
  <c r="T201" i="5"/>
  <c r="S193" i="5"/>
  <c r="T310" i="5"/>
  <c r="T44" i="5"/>
  <c r="S375" i="5"/>
  <c r="T280" i="5"/>
  <c r="T262" i="5"/>
  <c r="T377" i="5"/>
  <c r="T16" i="5"/>
  <c r="S154" i="5"/>
  <c r="S151" i="5"/>
  <c r="T217" i="5"/>
  <c r="T68" i="5"/>
  <c r="S106" i="5"/>
  <c r="T83" i="5"/>
  <c r="S32" i="5"/>
  <c r="S24" i="5"/>
  <c r="T165" i="5"/>
  <c r="S92" i="5"/>
  <c r="T71" i="5"/>
  <c r="S347" i="5"/>
  <c r="T202" i="5"/>
  <c r="T279" i="5"/>
  <c r="T172" i="5"/>
  <c r="S117" i="5"/>
  <c r="S189" i="5"/>
  <c r="T269" i="5"/>
  <c r="S75" i="5"/>
  <c r="S312" i="5"/>
  <c r="T188" i="5"/>
  <c r="S362" i="5"/>
  <c r="T59" i="5"/>
  <c r="S240" i="5"/>
  <c r="S332" i="5"/>
  <c r="T376" i="5"/>
  <c r="S181" i="5"/>
  <c r="T359" i="5"/>
  <c r="T45" i="5"/>
  <c r="T34" i="5"/>
  <c r="S334" i="5"/>
  <c r="T124" i="5"/>
  <c r="T184" i="5"/>
  <c r="T221" i="5"/>
  <c r="S26" i="5"/>
  <c r="T187" i="5"/>
  <c r="S111" i="5"/>
  <c r="S214" i="5"/>
  <c r="S315" i="5"/>
  <c r="S35" i="5"/>
  <c r="S310" i="5"/>
  <c r="S232" i="5"/>
  <c r="S76" i="5"/>
  <c r="S64" i="5"/>
  <c r="S301" i="5"/>
  <c r="S58" i="5"/>
  <c r="S250" i="5"/>
  <c r="S220" i="5"/>
  <c r="T174" i="5"/>
  <c r="T345" i="5"/>
  <c r="S353" i="5"/>
  <c r="T292" i="5"/>
  <c r="S81" i="5"/>
  <c r="S235" i="5"/>
  <c r="S194" i="5"/>
  <c r="T189" i="5"/>
  <c r="S256" i="5"/>
  <c r="S305" i="5"/>
  <c r="T81" i="5"/>
  <c r="S306" i="5"/>
  <c r="T7" i="5"/>
  <c r="S337" i="5"/>
  <c r="S358" i="5"/>
  <c r="T229" i="5"/>
  <c r="T79" i="5"/>
  <c r="T177" i="5"/>
  <c r="T153" i="5"/>
  <c r="T368" i="5"/>
  <c r="T25" i="5"/>
  <c r="T150" i="5"/>
  <c r="T46" i="5"/>
  <c r="T296" i="5"/>
  <c r="S222" i="5"/>
  <c r="T30" i="5"/>
  <c r="S112" i="5"/>
  <c r="S373" i="5"/>
  <c r="S378" i="5"/>
  <c r="T122" i="5"/>
  <c r="S294" i="5"/>
  <c r="S366" i="5"/>
  <c r="S273" i="5"/>
  <c r="S43" i="5"/>
  <c r="S290" i="5"/>
  <c r="S25" i="5"/>
  <c r="S285" i="5"/>
  <c r="S255" i="5"/>
  <c r="T80" i="5"/>
  <c r="T195" i="5"/>
  <c r="S323" i="5"/>
  <c r="T8" i="5"/>
  <c r="S113" i="5"/>
  <c r="S138" i="5"/>
  <c r="S127" i="5"/>
  <c r="S85" i="5"/>
  <c r="S270" i="5"/>
  <c r="S67" i="5"/>
  <c r="S357" i="5"/>
  <c r="T304" i="5"/>
  <c r="S380" i="5"/>
  <c r="S107" i="5"/>
  <c r="S282" i="5"/>
  <c r="T178" i="5"/>
  <c r="S345" i="5"/>
  <c r="S295" i="5"/>
  <c r="S227" i="5"/>
  <c r="T123" i="5"/>
  <c r="S377" i="5"/>
  <c r="S336" i="5"/>
  <c r="T115" i="5"/>
  <c r="S245" i="5"/>
  <c r="T106" i="5"/>
  <c r="S249" i="5"/>
  <c r="S261" i="5"/>
  <c r="S363" i="5"/>
  <c r="S144" i="5"/>
  <c r="S198" i="5"/>
  <c r="S153" i="5"/>
  <c r="S54" i="5"/>
  <c r="S365" i="5"/>
  <c r="S145" i="5"/>
  <c r="T54" i="5"/>
  <c r="T148" i="5"/>
  <c r="S61" i="5"/>
  <c r="S116" i="5"/>
  <c r="T173" i="5"/>
  <c r="S313" i="5"/>
  <c r="S319" i="5"/>
  <c r="T64" i="5"/>
  <c r="T381" i="5"/>
  <c r="S206" i="5"/>
  <c r="T61" i="5"/>
  <c r="S317" i="5"/>
  <c r="T204" i="5"/>
  <c r="S241" i="5"/>
  <c r="T111" i="5"/>
  <c r="S51" i="5"/>
  <c r="S253" i="5"/>
  <c r="T91" i="5"/>
  <c r="T293" i="5"/>
  <c r="S297" i="5"/>
  <c r="S44" i="5"/>
  <c r="S180" i="5"/>
  <c r="S286" i="5"/>
  <c r="S146" i="5"/>
  <c r="S302" i="5"/>
  <c r="S234" i="5"/>
  <c r="S348" i="5"/>
  <c r="T356" i="5"/>
  <c r="S88" i="5"/>
  <c r="S311" i="5"/>
  <c r="T237" i="5"/>
  <c r="S158" i="5"/>
  <c r="T223" i="5"/>
  <c r="T642" i="5"/>
  <c r="S100" i="5"/>
  <c r="T90" i="5"/>
  <c r="S327" i="5"/>
  <c r="S287" i="5"/>
  <c r="T37" i="5"/>
  <c r="T152" i="5"/>
  <c r="S72" i="5"/>
  <c r="S225" i="5"/>
  <c r="T205" i="5"/>
  <c r="S123" i="5"/>
  <c r="S168" i="5"/>
  <c r="S55" i="5"/>
  <c r="S228" i="5"/>
  <c r="S164" i="5"/>
  <c r="S195" i="5"/>
  <c r="S281" i="5"/>
  <c r="T110" i="5"/>
  <c r="S93" i="5"/>
  <c r="T273" i="5"/>
  <c r="S20" i="5"/>
  <c r="S292" i="5"/>
  <c r="S31" i="5"/>
  <c r="S341" i="5"/>
  <c r="T312" i="5"/>
  <c r="S326" i="5"/>
  <c r="S37" i="5"/>
  <c r="S94" i="5"/>
  <c r="T70" i="5"/>
  <c r="S77" i="5"/>
  <c r="T200" i="5"/>
  <c r="S57" i="5"/>
  <c r="S118" i="5"/>
  <c r="T339" i="5"/>
  <c r="S7" i="5"/>
  <c r="S83" i="5"/>
  <c r="S208" i="5"/>
  <c r="S230" i="5"/>
  <c r="S21" i="5"/>
  <c r="S356" i="5"/>
  <c r="T77" i="5"/>
  <c r="S137" i="5"/>
  <c r="S251" i="5"/>
  <c r="S74" i="5"/>
  <c r="T282" i="5"/>
  <c r="S185" i="5"/>
  <c r="S321" i="5"/>
  <c r="T283" i="5"/>
  <c r="S78" i="5"/>
  <c r="S135" i="5"/>
  <c r="T267" i="5"/>
  <c r="T107" i="5"/>
  <c r="S329" i="5"/>
  <c r="T126" i="5"/>
  <c r="T349" i="5"/>
  <c r="S350" i="5"/>
  <c r="S89" i="5"/>
  <c r="T102" i="5"/>
  <c r="S207" i="5"/>
  <c r="S68" i="5"/>
  <c r="S209" i="5"/>
  <c r="S59" i="5"/>
  <c r="T212" i="5"/>
  <c r="S5" i="5"/>
  <c r="S52" i="5"/>
  <c r="S274" i="5"/>
  <c r="S236" i="5"/>
  <c r="T242" i="5"/>
  <c r="S42" i="5"/>
  <c r="S34" i="5"/>
  <c r="T378" i="5"/>
  <c r="S289" i="5"/>
  <c r="T28" i="5"/>
  <c r="S50" i="5"/>
  <c r="T180" i="5"/>
  <c r="T369" i="5"/>
  <c r="T140" i="5"/>
  <c r="T89" i="5"/>
  <c r="T113" i="5"/>
  <c r="S28" i="5"/>
  <c r="T96" i="5"/>
  <c r="S218" i="5"/>
  <c r="S29" i="5"/>
  <c r="S167" i="5"/>
  <c r="T346" i="5"/>
  <c r="T86" i="5"/>
  <c r="S210" i="5"/>
  <c r="T231" i="5"/>
  <c r="T232" i="5"/>
  <c r="T333" i="5"/>
  <c r="S361" i="5"/>
  <c r="S370" i="5"/>
  <c r="S247" i="5"/>
  <c r="S264" i="5"/>
  <c r="S70" i="5"/>
  <c r="S344" i="5"/>
  <c r="T291" i="5"/>
  <c r="S141" i="5"/>
  <c r="T233" i="5"/>
  <c r="S56" i="5"/>
  <c r="T23" i="5"/>
  <c r="S152" i="5"/>
  <c r="T14" i="5"/>
  <c r="T373" i="5"/>
  <c r="S296" i="5"/>
  <c r="T114" i="5"/>
  <c r="T246" i="5"/>
  <c r="T53" i="5"/>
  <c r="T362" i="5"/>
  <c r="S126" i="5"/>
  <c r="S325" i="5"/>
  <c r="T19" i="5"/>
  <c r="S48" i="5"/>
  <c r="S101" i="5"/>
  <c r="T39" i="5"/>
  <c r="T94" i="5"/>
  <c r="S190" i="5"/>
  <c r="T214" i="5"/>
  <c r="S277" i="5"/>
  <c r="S69" i="5"/>
  <c r="T329" i="5"/>
  <c r="T230" i="5"/>
  <c r="S188" i="5"/>
  <c r="T364" i="5"/>
  <c r="T82" i="5"/>
  <c r="T176" i="5"/>
  <c r="T119" i="5"/>
  <c r="T103" i="5"/>
  <c r="S238" i="5"/>
  <c r="T15" i="5"/>
  <c r="T355" i="5"/>
  <c r="T137" i="5"/>
  <c r="S95" i="5"/>
  <c r="S246" i="5"/>
  <c r="T199" i="5"/>
  <c r="T108" i="5"/>
  <c r="S46" i="5"/>
  <c r="T38" i="5"/>
  <c r="S119" i="5"/>
  <c r="S157" i="5"/>
  <c r="S371" i="5"/>
  <c r="T18" i="5"/>
  <c r="T85" i="5"/>
  <c r="T162" i="5"/>
  <c r="S338" i="5"/>
  <c r="S333" i="5"/>
  <c r="S324" i="5"/>
  <c r="T121" i="5"/>
  <c r="S62" i="5"/>
  <c r="T56" i="5"/>
  <c r="S349" i="5"/>
  <c r="T75" i="5"/>
  <c r="S170" i="5"/>
  <c r="S90" i="5"/>
  <c r="T186" i="5"/>
  <c r="S155" i="5"/>
  <c r="T256" i="5"/>
  <c r="S379" i="5"/>
  <c r="T31" i="5"/>
  <c r="S150" i="5"/>
  <c r="T234" i="5"/>
  <c r="T263" i="5"/>
  <c r="T149" i="5"/>
  <c r="S169" i="5"/>
  <c r="T139" i="5"/>
  <c r="S203" i="5"/>
  <c r="S355" i="5"/>
  <c r="S360" i="5"/>
  <c r="S41" i="5"/>
  <c r="S381" i="5"/>
  <c r="S330" i="5"/>
  <c r="S23" i="5"/>
  <c r="T67" i="5"/>
  <c r="S204" i="5"/>
  <c r="T295" i="5"/>
  <c r="T151" i="5"/>
  <c r="S98" i="5"/>
  <c r="S259" i="5"/>
  <c r="T357" i="5"/>
  <c r="S174" i="5"/>
  <c r="S27" i="5"/>
  <c r="S122" i="5"/>
  <c r="T371" i="5"/>
  <c r="S213" i="5"/>
  <c r="S87" i="5"/>
  <c r="S53" i="5"/>
  <c r="S280" i="5"/>
  <c r="S19" i="5"/>
  <c r="S16" i="5"/>
  <c r="S252" i="5"/>
  <c r="S12" i="5"/>
  <c r="S376" i="5"/>
  <c r="S130" i="5"/>
  <c r="T278" i="5"/>
  <c r="S38" i="5"/>
  <c r="T294" i="5"/>
  <c r="S186" i="5"/>
  <c r="S17" i="5"/>
  <c r="S351" i="5"/>
  <c r="T270" i="5"/>
  <c r="S216" i="5"/>
  <c r="T117" i="5"/>
  <c r="T375" i="5"/>
  <c r="T5" i="5"/>
  <c r="S229" i="5"/>
  <c r="T69" i="5"/>
  <c r="T84" i="5"/>
  <c r="T192" i="5"/>
  <c r="S165" i="5"/>
  <c r="S201" i="5"/>
  <c r="S354" i="5"/>
  <c r="S266" i="5"/>
  <c r="T222" i="5"/>
  <c r="T135" i="5"/>
  <c r="T314" i="5"/>
  <c r="T183" i="5"/>
  <c r="T11" i="5"/>
  <c r="T171" i="5"/>
  <c r="T274" i="5"/>
  <c r="S86" i="5"/>
  <c r="S73" i="5"/>
  <c r="S275" i="5"/>
  <c r="G64" i="6"/>
  <c r="S39" i="5"/>
  <c r="S71" i="5"/>
  <c r="T309" i="5"/>
  <c r="S322" i="5"/>
  <c r="S244" i="5"/>
  <c r="S148" i="5"/>
  <c r="T243" i="5"/>
  <c r="S97" i="5"/>
  <c r="S11" i="5"/>
  <c r="S120" i="5"/>
  <c r="S66" i="5"/>
  <c r="S304" i="5"/>
  <c r="S82" i="5"/>
  <c r="T112" i="5"/>
  <c r="T317" i="5"/>
  <c r="S254" i="5"/>
  <c r="S318" i="5"/>
  <c r="S132" i="5"/>
  <c r="S129" i="5"/>
  <c r="S367" i="5"/>
  <c r="T63" i="5"/>
  <c r="S177" i="5"/>
  <c r="S9" i="5"/>
  <c r="S149" i="5"/>
  <c r="S248" i="5"/>
  <c r="S142" i="5"/>
  <c r="T66" i="5"/>
  <c r="S14" i="5"/>
  <c r="S109" i="5"/>
  <c r="S99" i="5"/>
  <c r="S342" i="5"/>
  <c r="S187" i="5"/>
  <c r="S139" i="5"/>
  <c r="T156" i="5"/>
  <c r="T65" i="5"/>
  <c r="S162" i="5"/>
  <c r="T182" i="5"/>
  <c r="T118" i="5"/>
  <c r="S103" i="5"/>
  <c r="S283" i="5"/>
  <c r="S15" i="5"/>
  <c r="S33" i="5"/>
  <c r="S108" i="5"/>
  <c r="T29" i="5"/>
  <c r="T315" i="5"/>
  <c r="S233" i="5"/>
  <c r="S13" i="5"/>
  <c r="S219" i="5"/>
  <c r="S237" i="5"/>
  <c r="T33" i="5"/>
  <c r="S352" i="5"/>
  <c r="S217" i="5"/>
  <c r="T196" i="5"/>
  <c r="T22" i="5"/>
  <c r="T136" i="5"/>
  <c r="S115" i="5"/>
  <c r="T191" i="5"/>
  <c r="T51" i="5"/>
  <c r="T203" i="5"/>
  <c r="S258" i="5"/>
  <c r="T20" i="5"/>
  <c r="S40" i="5"/>
  <c r="T366" i="5"/>
  <c r="T290" i="5"/>
  <c r="S272" i="5"/>
  <c r="S343" i="5"/>
  <c r="T266" i="5"/>
  <c r="T220" i="5"/>
  <c r="T308" i="5"/>
  <c r="S79" i="5"/>
  <c r="S179" i="5"/>
  <c r="S192" i="5"/>
  <c r="T271" i="5"/>
  <c r="S80" i="5"/>
  <c r="S200" i="5"/>
  <c r="S182" i="5"/>
  <c r="T325" i="5"/>
  <c r="S271" i="5"/>
  <c r="S147" i="5"/>
  <c r="T17" i="5"/>
  <c r="S307" i="5"/>
  <c r="S265" i="5"/>
  <c r="T261" i="5"/>
  <c r="S91" i="5"/>
  <c r="T26" i="5"/>
  <c r="T131" i="5"/>
  <c r="T169" i="5"/>
  <c r="T76" i="5"/>
  <c r="S369" i="5"/>
  <c r="S300" i="5"/>
  <c r="T307" i="5"/>
  <c r="T350" i="5"/>
  <c r="T326" i="5"/>
  <c r="S184" i="5"/>
  <c r="T179" i="5"/>
  <c r="S161" i="5"/>
  <c r="S231" i="5"/>
  <c r="T208" i="5"/>
  <c r="T361" i="5"/>
  <c r="T206" i="5"/>
  <c r="S102" i="5"/>
  <c r="S226" i="5"/>
  <c r="S166" i="5"/>
  <c r="T57" i="5"/>
  <c r="S303" i="5"/>
  <c r="T380" i="5"/>
  <c r="T258" i="5"/>
  <c r="T239" i="5"/>
  <c r="S197" i="5"/>
  <c r="S260" i="5"/>
  <c r="S267" i="5"/>
  <c r="T60" i="5"/>
  <c r="S538" i="5"/>
  <c r="T50" i="5"/>
  <c r="T323" i="5"/>
  <c r="S124" i="5"/>
  <c r="T281" i="5"/>
  <c r="S22" i="5"/>
  <c r="S221" i="5"/>
  <c r="T145" i="5"/>
  <c r="T576" i="5"/>
  <c r="S105" i="5"/>
  <c r="S172" i="5"/>
  <c r="S262" i="5"/>
  <c r="S110" i="5"/>
  <c r="S133" i="5"/>
  <c r="T47" i="5"/>
  <c r="S60" i="5"/>
  <c r="S202" i="5"/>
  <c r="S268" i="5"/>
  <c r="S140" i="5"/>
  <c r="S372" i="5"/>
  <c r="T142" i="5"/>
  <c r="T379" i="5"/>
  <c r="S8" i="5"/>
  <c r="T185" i="5"/>
  <c r="T265" i="5"/>
  <c r="T268" i="5"/>
  <c r="T240" i="5"/>
  <c r="S63" i="5"/>
  <c r="S10" i="5"/>
  <c r="S6" i="5"/>
  <c r="S205" i="5"/>
  <c r="S104" i="5"/>
  <c r="T55" i="5"/>
  <c r="S134" i="5"/>
  <c r="S278" i="5"/>
  <c r="T236" i="5"/>
  <c r="S175" i="5"/>
  <c r="T360" i="5"/>
  <c r="S339" i="5"/>
  <c r="S320" i="5"/>
  <c r="T365" i="5"/>
  <c r="S121" i="5"/>
  <c r="S96" i="5"/>
  <c r="S173" i="5"/>
  <c r="S346" i="5"/>
  <c r="T58" i="5"/>
  <c r="T6" i="5"/>
  <c r="S359" i="5"/>
  <c r="S128" i="5"/>
  <c r="T93" i="5"/>
  <c r="S298" i="5"/>
  <c r="T144" i="5"/>
  <c r="T215" i="5"/>
  <c r="T347" i="5"/>
  <c r="T211" i="5"/>
  <c r="S374" i="5"/>
  <c r="S178" i="5"/>
  <c r="S131" i="5"/>
  <c r="S291" i="5"/>
  <c r="S284" i="5"/>
  <c r="S143" i="5"/>
  <c r="S183" i="5"/>
  <c r="S65" i="5"/>
  <c r="S191" i="5"/>
  <c r="T224" i="5"/>
  <c r="S331" i="5"/>
  <c r="T354" i="5"/>
  <c r="S224" i="5"/>
  <c r="S364" i="5"/>
  <c r="T52" i="5"/>
  <c r="T351" i="5"/>
  <c r="S171" i="5"/>
  <c r="S156" i="5"/>
  <c r="AB1063" i="5" l="1"/>
  <c r="AB1148" i="5"/>
  <c r="AB729" i="5"/>
  <c r="AB659" i="5"/>
  <c r="AB573" i="5"/>
  <c r="AB610" i="5"/>
  <c r="T804" i="5"/>
  <c r="G1007" i="5"/>
  <c r="H758" i="5"/>
  <c r="AB805" i="5"/>
  <c r="R758" i="5"/>
  <c r="S799" i="5"/>
  <c r="AB514" i="5"/>
  <c r="AB518" i="5"/>
  <c r="G1084" i="5"/>
  <c r="R1007" i="5"/>
  <c r="AB670" i="5"/>
  <c r="T752" i="5"/>
  <c r="R1051" i="5"/>
  <c r="T1165" i="5"/>
  <c r="AB714" i="5"/>
  <c r="AB707" i="5"/>
  <c r="T902" i="5"/>
  <c r="E1084" i="5"/>
  <c r="X1084" i="5" s="1"/>
  <c r="AB1088" i="5"/>
  <c r="T1111" i="5"/>
  <c r="AB1104" i="5"/>
  <c r="F1139" i="5"/>
  <c r="E920" i="5"/>
  <c r="X920" i="5" s="1"/>
  <c r="T1062" i="5"/>
  <c r="G882" i="5"/>
  <c r="AB540" i="5"/>
  <c r="AB976" i="5"/>
  <c r="R995" i="5"/>
  <c r="H1033" i="5"/>
  <c r="AB1080" i="5"/>
  <c r="T1164" i="5"/>
  <c r="AB555" i="5"/>
  <c r="AB590" i="5"/>
  <c r="AB733" i="5"/>
  <c r="AB1158" i="5"/>
  <c r="R830" i="5"/>
  <c r="AB838" i="5"/>
  <c r="E917" i="5"/>
  <c r="X917" i="5" s="1"/>
  <c r="G917" i="5"/>
  <c r="T1156" i="5"/>
  <c r="X625" i="5"/>
  <c r="H842" i="5"/>
  <c r="G1028" i="5"/>
  <c r="T1117" i="5"/>
  <c r="G1149" i="5"/>
  <c r="AB566" i="5"/>
  <c r="AB671" i="5"/>
  <c r="R911" i="5"/>
  <c r="S951" i="5"/>
  <c r="S1003" i="5"/>
  <c r="I1017" i="5"/>
  <c r="T1065" i="5"/>
  <c r="S1121" i="5"/>
  <c r="AB1137" i="5"/>
  <c r="T1160" i="5"/>
  <c r="AB635" i="5"/>
  <c r="T731" i="5"/>
  <c r="AB919" i="5"/>
  <c r="AB987" i="5"/>
  <c r="AB1011" i="5"/>
  <c r="AB1095" i="5"/>
  <c r="H1137" i="5"/>
  <c r="AB605" i="5"/>
  <c r="S729" i="5"/>
  <c r="S777" i="5"/>
  <c r="AB785" i="5"/>
  <c r="AB797" i="5"/>
  <c r="AB830" i="5"/>
  <c r="AB868" i="5"/>
  <c r="AB880" i="5"/>
  <c r="AB917" i="5"/>
  <c r="E919" i="5"/>
  <c r="X919" i="5" s="1"/>
  <c r="J930" i="5"/>
  <c r="T941" i="5"/>
  <c r="S987" i="5"/>
  <c r="E1011" i="5"/>
  <c r="X1011" i="5" s="1"/>
  <c r="AB1019" i="5"/>
  <c r="S1041" i="5"/>
  <c r="I1137" i="5"/>
  <c r="T1168" i="5"/>
  <c r="AB574" i="5"/>
  <c r="AB577" i="5"/>
  <c r="AB618" i="5"/>
  <c r="AB674" i="5"/>
  <c r="AB699" i="5"/>
  <c r="S709" i="5"/>
  <c r="AB726" i="5"/>
  <c r="AB735" i="5"/>
  <c r="T775" i="5"/>
  <c r="E842" i="5"/>
  <c r="X842" i="5" s="1"/>
  <c r="AB864" i="5"/>
  <c r="AB904" i="5"/>
  <c r="I911" i="5"/>
  <c r="S937" i="5"/>
  <c r="AB984" i="5"/>
  <c r="T987" i="5"/>
  <c r="G1012" i="5"/>
  <c r="I1033" i="5"/>
  <c r="F1054" i="5"/>
  <c r="T1078" i="5"/>
  <c r="S1114" i="5"/>
  <c r="S1137" i="5"/>
  <c r="AB524" i="5"/>
  <c r="X599" i="5"/>
  <c r="G885" i="5"/>
  <c r="AB1079" i="5"/>
  <c r="AB1128" i="5"/>
  <c r="AB564" i="5"/>
  <c r="T599" i="5"/>
  <c r="X608" i="5"/>
  <c r="AB624" i="5"/>
  <c r="AB753" i="5"/>
  <c r="S761" i="5"/>
  <c r="G767" i="5"/>
  <c r="S776" i="5"/>
  <c r="S850" i="5"/>
  <c r="J861" i="5"/>
  <c r="R885" i="5"/>
  <c r="T898" i="5"/>
  <c r="T945" i="5"/>
  <c r="S955" i="5"/>
  <c r="S975" i="5"/>
  <c r="S1049" i="5"/>
  <c r="S1072" i="5"/>
  <c r="T1079" i="5"/>
  <c r="AB1093" i="5"/>
  <c r="AB519" i="5"/>
  <c r="AB549" i="5"/>
  <c r="T717" i="5"/>
  <c r="S756" i="5"/>
  <c r="AB761" i="5"/>
  <c r="H767" i="5"/>
  <c r="I831" i="5"/>
  <c r="I838" i="5"/>
  <c r="E841" i="5"/>
  <c r="X841" i="5" s="1"/>
  <c r="V895" i="5"/>
  <c r="G895" i="5" s="1"/>
  <c r="S949" i="5"/>
  <c r="S969" i="5"/>
  <c r="S1119" i="5"/>
  <c r="S1145" i="5"/>
  <c r="AB683" i="5"/>
  <c r="E759" i="5"/>
  <c r="X759" i="5" s="1"/>
  <c r="S765" i="5"/>
  <c r="T783" i="5"/>
  <c r="R786" i="5"/>
  <c r="S803" i="5"/>
  <c r="G841" i="5"/>
  <c r="R877" i="5"/>
  <c r="H1011" i="5"/>
  <c r="AB1120" i="5"/>
  <c r="J1126" i="5"/>
  <c r="I1165" i="5"/>
  <c r="T552" i="5"/>
  <c r="AB565" i="5"/>
  <c r="G676" i="5"/>
  <c r="AB722" i="5"/>
  <c r="S810" i="5"/>
  <c r="S866" i="5"/>
  <c r="S886" i="5"/>
  <c r="AB900" i="5"/>
  <c r="R919" i="5"/>
  <c r="T933" i="5"/>
  <c r="T967" i="5"/>
  <c r="S979" i="5"/>
  <c r="I993" i="5"/>
  <c r="S999" i="5"/>
  <c r="S1106" i="5"/>
  <c r="AB971" i="5"/>
  <c r="T971" i="5"/>
  <c r="S971" i="5"/>
  <c r="R1030" i="5"/>
  <c r="J1030" i="5"/>
  <c r="V534" i="5"/>
  <c r="T534" i="5" s="1"/>
  <c r="T767" i="5"/>
  <c r="S767" i="5"/>
  <c r="AB792" i="5"/>
  <c r="V792" i="5"/>
  <c r="I792" i="5" s="1"/>
  <c r="J811" i="5"/>
  <c r="R811" i="5"/>
  <c r="R645" i="5"/>
  <c r="X645" i="5"/>
  <c r="AB579" i="5"/>
  <c r="AB562" i="5"/>
  <c r="V562" i="5"/>
  <c r="R743" i="5"/>
  <c r="H743" i="5"/>
  <c r="E743" i="5"/>
  <c r="X743" i="5" s="1"/>
  <c r="V764" i="5"/>
  <c r="G764" i="5" s="1"/>
  <c r="G1124" i="5"/>
  <c r="E1124" i="5"/>
  <c r="X1124" i="5" s="1"/>
  <c r="AB516" i="5"/>
  <c r="AB563" i="5"/>
  <c r="S721" i="5"/>
  <c r="T721" i="5"/>
  <c r="AB743" i="5"/>
  <c r="V921" i="5"/>
  <c r="G921" i="5" s="1"/>
  <c r="T1115" i="5"/>
  <c r="S1115" i="5"/>
  <c r="J1128" i="5"/>
  <c r="R1128" i="5"/>
  <c r="AB560" i="5"/>
  <c r="AB620" i="5"/>
  <c r="AB690" i="5"/>
  <c r="S1097" i="5"/>
  <c r="T1097" i="5"/>
  <c r="R503" i="5"/>
  <c r="V536" i="5"/>
  <c r="X536" i="5" s="1"/>
  <c r="AB536" i="5"/>
  <c r="T542" i="5"/>
  <c r="V591" i="5"/>
  <c r="V613" i="5"/>
  <c r="T613" i="5" s="1"/>
  <c r="H806" i="5"/>
  <c r="R806" i="5"/>
  <c r="I806" i="5"/>
  <c r="F806" i="5"/>
  <c r="J806" i="5"/>
  <c r="E806" i="5"/>
  <c r="X806" i="5" s="1"/>
  <c r="X503" i="5"/>
  <c r="AB582" i="5"/>
  <c r="V582" i="5"/>
  <c r="T582" i="5" s="1"/>
  <c r="AB596" i="5"/>
  <c r="T878" i="5"/>
  <c r="S878" i="5"/>
  <c r="J1056" i="5"/>
  <c r="I1056" i="5"/>
  <c r="F1056" i="5"/>
  <c r="AB578" i="5"/>
  <c r="T826" i="5"/>
  <c r="S826" i="5"/>
  <c r="I893" i="5"/>
  <c r="E893" i="5"/>
  <c r="X893" i="5" s="1"/>
  <c r="R578" i="5"/>
  <c r="I784" i="5"/>
  <c r="G784" i="5"/>
  <c r="T788" i="5"/>
  <c r="S788" i="5"/>
  <c r="T792" i="5"/>
  <c r="S792" i="5"/>
  <c r="T808" i="5"/>
  <c r="S808" i="5"/>
  <c r="R826" i="5"/>
  <c r="E826" i="5"/>
  <c r="X826" i="5" s="1"/>
  <c r="AB548" i="5"/>
  <c r="AB557" i="5"/>
  <c r="AB571" i="5"/>
  <c r="V594" i="5"/>
  <c r="AB715" i="5"/>
  <c r="I733" i="5"/>
  <c r="F733" i="5"/>
  <c r="E733" i="5"/>
  <c r="X733" i="5" s="1"/>
  <c r="E770" i="5"/>
  <c r="X770" i="5" s="1"/>
  <c r="F770" i="5"/>
  <c r="AB789" i="5"/>
  <c r="J798" i="5"/>
  <c r="F815" i="5"/>
  <c r="I815" i="5"/>
  <c r="V833" i="5"/>
  <c r="G833" i="5" s="1"/>
  <c r="G936" i="5"/>
  <c r="T939" i="5"/>
  <c r="S939" i="5"/>
  <c r="T959" i="5"/>
  <c r="AB959" i="5"/>
  <c r="S959" i="5"/>
  <c r="AB966" i="5"/>
  <c r="T995" i="5"/>
  <c r="AB995" i="5"/>
  <c r="T1037" i="5"/>
  <c r="AB1037" i="5"/>
  <c r="H1044" i="5"/>
  <c r="I1044" i="5"/>
  <c r="G1044" i="5"/>
  <c r="E1044" i="5"/>
  <c r="X1044" i="5" s="1"/>
  <c r="AB1067" i="5"/>
  <c r="AB1109" i="5"/>
  <c r="S1109" i="5"/>
  <c r="S1141" i="5"/>
  <c r="T1141" i="5"/>
  <c r="T1170" i="5"/>
  <c r="S1170" i="5"/>
  <c r="AB510" i="5"/>
  <c r="AB888" i="5"/>
  <c r="F891" i="5"/>
  <c r="G891" i="5"/>
  <c r="H1004" i="5"/>
  <c r="F1004" i="5"/>
  <c r="R1067" i="5"/>
  <c r="I1067" i="5"/>
  <c r="H1067" i="5"/>
  <c r="T1129" i="5"/>
  <c r="S1129" i="5"/>
  <c r="T685" i="5"/>
  <c r="S685" i="5"/>
  <c r="AB713" i="5"/>
  <c r="S713" i="5"/>
  <c r="V771" i="5"/>
  <c r="H771" i="5" s="1"/>
  <c r="V780" i="5"/>
  <c r="I780" i="5" s="1"/>
  <c r="I824" i="5"/>
  <c r="R824" i="5"/>
  <c r="T858" i="5"/>
  <c r="S858" i="5"/>
  <c r="T892" i="5"/>
  <c r="AB892" i="5"/>
  <c r="J926" i="5"/>
  <c r="R926" i="5"/>
  <c r="F926" i="5"/>
  <c r="T953" i="5"/>
  <c r="S953" i="5"/>
  <c r="R986" i="5"/>
  <c r="J986" i="5"/>
  <c r="F986" i="5"/>
  <c r="V565" i="5"/>
  <c r="T565" i="5" s="1"/>
  <c r="AB568" i="5"/>
  <c r="V745" i="5"/>
  <c r="G745" i="5" s="1"/>
  <c r="T772" i="5"/>
  <c r="S772" i="5"/>
  <c r="T781" i="5"/>
  <c r="S781" i="5"/>
  <c r="F796" i="5"/>
  <c r="H807" i="5"/>
  <c r="J807" i="5"/>
  <c r="E824" i="5"/>
  <c r="X824" i="5" s="1"/>
  <c r="AB953" i="5"/>
  <c r="T973" i="5"/>
  <c r="S973" i="5"/>
  <c r="I1034" i="5"/>
  <c r="G1058" i="5"/>
  <c r="I1058" i="5"/>
  <c r="H1123" i="5"/>
  <c r="F1123" i="5"/>
  <c r="E1123" i="5"/>
  <c r="X1123" i="5" s="1"/>
  <c r="AB581" i="5"/>
  <c r="T590" i="5"/>
  <c r="X626" i="5"/>
  <c r="AB689" i="5"/>
  <c r="T689" i="5"/>
  <c r="S689" i="5"/>
  <c r="T713" i="5"/>
  <c r="S763" i="5"/>
  <c r="T763" i="5"/>
  <c r="T787" i="5"/>
  <c r="S787" i="5"/>
  <c r="I794" i="5"/>
  <c r="J794" i="5"/>
  <c r="F794" i="5"/>
  <c r="E807" i="5"/>
  <c r="X807" i="5" s="1"/>
  <c r="V817" i="5"/>
  <c r="G817" i="5" s="1"/>
  <c r="G828" i="5"/>
  <c r="H901" i="5"/>
  <c r="F901" i="5"/>
  <c r="E901" i="5"/>
  <c r="X901" i="5" s="1"/>
  <c r="T961" i="5"/>
  <c r="S961" i="5"/>
  <c r="G976" i="5"/>
  <c r="R976" i="5"/>
  <c r="F1058" i="5"/>
  <c r="R1068" i="5"/>
  <c r="I1068" i="5"/>
  <c r="F1081" i="5"/>
  <c r="J1120" i="5"/>
  <c r="S1127" i="5"/>
  <c r="T1127" i="5"/>
  <c r="AB1159" i="5"/>
  <c r="T1159" i="5"/>
  <c r="S1159" i="5"/>
  <c r="AB552" i="5"/>
  <c r="AB559" i="5"/>
  <c r="AB591" i="5"/>
  <c r="X612" i="5"/>
  <c r="X622" i="5"/>
  <c r="AB626" i="5"/>
  <c r="AB673" i="5"/>
  <c r="E794" i="5"/>
  <c r="X794" i="5" s="1"/>
  <c r="F807" i="5"/>
  <c r="I825" i="5"/>
  <c r="E825" i="5"/>
  <c r="X825" i="5" s="1"/>
  <c r="T870" i="5"/>
  <c r="S870" i="5"/>
  <c r="H889" i="5"/>
  <c r="R889" i="5"/>
  <c r="J889" i="5"/>
  <c r="F889" i="5"/>
  <c r="E889" i="5"/>
  <c r="X889" i="5" s="1"/>
  <c r="G893" i="5"/>
  <c r="J901" i="5"/>
  <c r="S1069" i="5"/>
  <c r="AB1069" i="5"/>
  <c r="T1069" i="5"/>
  <c r="V1134" i="5"/>
  <c r="G1134" i="5" s="1"/>
  <c r="T673" i="5"/>
  <c r="AB682" i="5"/>
  <c r="AB717" i="5"/>
  <c r="AB721" i="5"/>
  <c r="AB759" i="5"/>
  <c r="S796" i="5"/>
  <c r="S828" i="5"/>
  <c r="AB848" i="5"/>
  <c r="V897" i="5"/>
  <c r="H897" i="5" s="1"/>
  <c r="H917" i="5"/>
  <c r="S1007" i="5"/>
  <c r="G1054" i="5"/>
  <c r="G1069" i="5"/>
  <c r="V1079" i="5"/>
  <c r="I1079" i="5" s="1"/>
  <c r="AB1118" i="5"/>
  <c r="AB1156" i="5"/>
  <c r="AB691" i="5"/>
  <c r="AB725" i="5"/>
  <c r="AB730" i="5"/>
  <c r="AB737" i="5"/>
  <c r="F758" i="5"/>
  <c r="R819" i="5"/>
  <c r="R822" i="5"/>
  <c r="E831" i="5"/>
  <c r="X831" i="5" s="1"/>
  <c r="E861" i="5"/>
  <c r="X861" i="5" s="1"/>
  <c r="AB876" i="5"/>
  <c r="I917" i="5"/>
  <c r="AB951" i="5"/>
  <c r="H980" i="5"/>
  <c r="H993" i="5"/>
  <c r="H995" i="5"/>
  <c r="E1033" i="5"/>
  <c r="X1033" i="5" s="1"/>
  <c r="G1051" i="5"/>
  <c r="E1054" i="5"/>
  <c r="X1054" i="5" s="1"/>
  <c r="AB1059" i="5"/>
  <c r="G733" i="5"/>
  <c r="AB788" i="5"/>
  <c r="F871" i="5"/>
  <c r="AB884" i="5"/>
  <c r="F920" i="5"/>
  <c r="T929" i="5"/>
  <c r="AB943" i="5"/>
  <c r="AB965" i="5"/>
  <c r="AB981" i="5"/>
  <c r="E1019" i="5"/>
  <c r="X1019" i="5" s="1"/>
  <c r="H1031" i="5"/>
  <c r="H1059" i="5"/>
  <c r="AB1083" i="5"/>
  <c r="G1089" i="5"/>
  <c r="AB1108" i="5"/>
  <c r="AB1113" i="5"/>
  <c r="V1148" i="5"/>
  <c r="G1148" i="5" s="1"/>
  <c r="R593" i="5"/>
  <c r="T630" i="5"/>
  <c r="AB633" i="5"/>
  <c r="G708" i="5"/>
  <c r="AB749" i="5"/>
  <c r="H763" i="5"/>
  <c r="E779" i="5"/>
  <c r="X779" i="5" s="1"/>
  <c r="E786" i="5"/>
  <c r="X786" i="5" s="1"/>
  <c r="G816" i="5"/>
  <c r="S820" i="5"/>
  <c r="T846" i="5"/>
  <c r="I871" i="5"/>
  <c r="S874" i="5"/>
  <c r="I920" i="5"/>
  <c r="S927" i="5"/>
  <c r="S935" i="5"/>
  <c r="S943" i="5"/>
  <c r="S965" i="5"/>
  <c r="AB967" i="5"/>
  <c r="T981" i="5"/>
  <c r="V988" i="5"/>
  <c r="E988" i="5" s="1"/>
  <c r="X988" i="5" s="1"/>
  <c r="R991" i="5"/>
  <c r="H1001" i="5"/>
  <c r="I1011" i="5"/>
  <c r="G1019" i="5"/>
  <c r="AB1031" i="5"/>
  <c r="G1068" i="5"/>
  <c r="E1076" i="5"/>
  <c r="X1076" i="5" s="1"/>
  <c r="T1080" i="5"/>
  <c r="S1096" i="5"/>
  <c r="S1108" i="5"/>
  <c r="AB1119" i="5"/>
  <c r="F1126" i="5"/>
  <c r="S1133" i="5"/>
  <c r="AB1152" i="5"/>
  <c r="AB612" i="5"/>
  <c r="AB616" i="5"/>
  <c r="AB622" i="5"/>
  <c r="AB648" i="5"/>
  <c r="AB663" i="5"/>
  <c r="AB675" i="5"/>
  <c r="AB706" i="5"/>
  <c r="S744" i="5"/>
  <c r="G779" i="5"/>
  <c r="V788" i="5"/>
  <c r="I788" i="5" s="1"/>
  <c r="T791" i="5"/>
  <c r="AB816" i="5"/>
  <c r="R832" i="5"/>
  <c r="R835" i="5"/>
  <c r="AB860" i="5"/>
  <c r="E911" i="5"/>
  <c r="X911" i="5" s="1"/>
  <c r="R920" i="5"/>
  <c r="V922" i="5"/>
  <c r="R922" i="5" s="1"/>
  <c r="S925" i="5"/>
  <c r="V965" i="5"/>
  <c r="R965" i="5" s="1"/>
  <c r="F987" i="5"/>
  <c r="AB988" i="5"/>
  <c r="R1001" i="5"/>
  <c r="G1048" i="5"/>
  <c r="T1050" i="5"/>
  <c r="I1063" i="5"/>
  <c r="G1076" i="5"/>
  <c r="S1099" i="5"/>
  <c r="V1108" i="5"/>
  <c r="G1108" i="5" s="1"/>
  <c r="I1126" i="5"/>
  <c r="AB1149" i="5"/>
  <c r="T1158" i="5"/>
  <c r="H1010" i="5"/>
  <c r="I1010" i="5"/>
  <c r="E1010" i="5"/>
  <c r="X1010" i="5" s="1"/>
  <c r="F1010" i="5"/>
  <c r="T852" i="5"/>
  <c r="AB852" i="5"/>
  <c r="I873" i="5"/>
  <c r="J873" i="5"/>
  <c r="R873" i="5"/>
  <c r="F873" i="5"/>
  <c r="E873" i="5"/>
  <c r="X873" i="5" s="1"/>
  <c r="F934" i="5"/>
  <c r="R934" i="5"/>
  <c r="J934" i="5"/>
  <c r="F956" i="5"/>
  <c r="J956" i="5"/>
  <c r="G956" i="5"/>
  <c r="S800" i="5"/>
  <c r="T800" i="5"/>
  <c r="R563" i="5"/>
  <c r="T563" i="5"/>
  <c r="V509" i="5"/>
  <c r="AB556" i="5"/>
  <c r="AB558" i="5"/>
  <c r="V558" i="5"/>
  <c r="R774" i="5"/>
  <c r="E774" i="5"/>
  <c r="X774" i="5" s="1"/>
  <c r="H827" i="5"/>
  <c r="R827" i="5"/>
  <c r="T862" i="5"/>
  <c r="S862" i="5"/>
  <c r="V1046" i="5"/>
  <c r="H1046" i="5" s="1"/>
  <c r="H1075" i="5"/>
  <c r="J1075" i="5"/>
  <c r="I1075" i="5"/>
  <c r="F1145" i="5"/>
  <c r="J1145" i="5"/>
  <c r="E1145" i="5"/>
  <c r="X1145" i="5" s="1"/>
  <c r="AB561" i="5"/>
  <c r="V561" i="5"/>
  <c r="T561" i="5" s="1"/>
  <c r="V586" i="5"/>
  <c r="I729" i="5"/>
  <c r="H729" i="5"/>
  <c r="AB504" i="5"/>
  <c r="R559" i="5"/>
  <c r="T701" i="5"/>
  <c r="S701" i="5"/>
  <c r="X517" i="5"/>
  <c r="R537" i="5"/>
  <c r="T537" i="5"/>
  <c r="AB531" i="5"/>
  <c r="V531" i="5"/>
  <c r="AB544" i="5"/>
  <c r="V544" i="5"/>
  <c r="AB655" i="5"/>
  <c r="X661" i="5"/>
  <c r="T661" i="5"/>
  <c r="R661" i="5"/>
  <c r="X513" i="5"/>
  <c r="E742" i="5"/>
  <c r="X742" i="5" s="1"/>
  <c r="F742" i="5"/>
  <c r="J742" i="5"/>
  <c r="I742" i="5"/>
  <c r="H742" i="5"/>
  <c r="R742" i="5"/>
  <c r="X520" i="5"/>
  <c r="V535" i="5"/>
  <c r="AB553" i="5"/>
  <c r="V639" i="5"/>
  <c r="AB639" i="5"/>
  <c r="F766" i="5"/>
  <c r="E766" i="5"/>
  <c r="X766" i="5" s="1"/>
  <c r="R766" i="5"/>
  <c r="J766" i="5"/>
  <c r="V768" i="5"/>
  <c r="G768" i="5" s="1"/>
  <c r="J772" i="5"/>
  <c r="F772" i="5"/>
  <c r="H775" i="5"/>
  <c r="E775" i="5"/>
  <c r="X775" i="5" s="1"/>
  <c r="AB551" i="5"/>
  <c r="AB570" i="5"/>
  <c r="R589" i="5"/>
  <c r="AB585" i="5"/>
  <c r="R596" i="5"/>
  <c r="AB609" i="5"/>
  <c r="T609" i="5"/>
  <c r="V643" i="5"/>
  <c r="X505" i="5"/>
  <c r="T540" i="5"/>
  <c r="AB554" i="5"/>
  <c r="V554" i="5"/>
  <c r="T554" i="5" s="1"/>
  <c r="AB567" i="5"/>
  <c r="V567" i="5"/>
  <c r="AB569" i="5"/>
  <c r="AB575" i="5"/>
  <c r="R585" i="5"/>
  <c r="T585" i="5"/>
  <c r="X585" i="5"/>
  <c r="AB506" i="5"/>
  <c r="AB534" i="5"/>
  <c r="AB572" i="5"/>
  <c r="T593" i="5"/>
  <c r="AB601" i="5"/>
  <c r="T601" i="5"/>
  <c r="R625" i="5"/>
  <c r="E678" i="5"/>
  <c r="X678" i="5" s="1"/>
  <c r="H678" i="5"/>
  <c r="R678" i="5"/>
  <c r="AB697" i="5"/>
  <c r="T697" i="5"/>
  <c r="S697" i="5"/>
  <c r="E702" i="5"/>
  <c r="X702" i="5" s="1"/>
  <c r="H702" i="5"/>
  <c r="R702" i="5"/>
  <c r="S735" i="5"/>
  <c r="F749" i="5"/>
  <c r="G749" i="5"/>
  <c r="R757" i="5"/>
  <c r="G757" i="5"/>
  <c r="F757" i="5"/>
  <c r="AB764" i="5"/>
  <c r="T764" i="5"/>
  <c r="S764" i="5"/>
  <c r="T795" i="5"/>
  <c r="V840" i="5"/>
  <c r="G840" i="5" s="1"/>
  <c r="AB550" i="5"/>
  <c r="AB580" i="5"/>
  <c r="AB600" i="5"/>
  <c r="T603" i="5"/>
  <c r="T611" i="5"/>
  <c r="X611" i="5"/>
  <c r="AB640" i="5"/>
  <c r="R653" i="5"/>
  <c r="X653" i="5"/>
  <c r="E694" i="5"/>
  <c r="X694" i="5" s="1"/>
  <c r="R694" i="5"/>
  <c r="H694" i="5"/>
  <c r="E750" i="5"/>
  <c r="X750" i="5" s="1"/>
  <c r="I750" i="5"/>
  <c r="R750" i="5"/>
  <c r="J750" i="5"/>
  <c r="H750" i="5"/>
  <c r="F750" i="5"/>
  <c r="H843" i="5"/>
  <c r="R843" i="5"/>
  <c r="T503" i="5"/>
  <c r="AB512" i="5"/>
  <c r="AB543" i="5"/>
  <c r="V572" i="5"/>
  <c r="T572" i="5" s="1"/>
  <c r="AB587" i="5"/>
  <c r="AB589" i="5"/>
  <c r="AB592" i="5"/>
  <c r="AB593" i="5"/>
  <c r="X603" i="5"/>
  <c r="R611" i="5"/>
  <c r="X642" i="5"/>
  <c r="R642" i="5"/>
  <c r="I694" i="5"/>
  <c r="V738" i="5"/>
  <c r="G738" i="5" s="1"/>
  <c r="T751" i="5"/>
  <c r="AB751" i="5"/>
  <c r="T760" i="5"/>
  <c r="S760" i="5"/>
  <c r="R782" i="5"/>
  <c r="J782" i="5"/>
  <c r="F782" i="5"/>
  <c r="E782" i="5"/>
  <c r="X782" i="5" s="1"/>
  <c r="V809" i="5"/>
  <c r="G809" i="5" s="1"/>
  <c r="R818" i="5"/>
  <c r="E818" i="5"/>
  <c r="X818" i="5" s="1"/>
  <c r="H818" i="5"/>
  <c r="T836" i="5"/>
  <c r="S836" i="5"/>
  <c r="H909" i="5"/>
  <c r="J909" i="5"/>
  <c r="G909" i="5"/>
  <c r="F909" i="5"/>
  <c r="E909" i="5"/>
  <c r="X909" i="5" s="1"/>
  <c r="R909" i="5"/>
  <c r="I909" i="5"/>
  <c r="R631" i="5"/>
  <c r="X631" i="5"/>
  <c r="AB651" i="5"/>
  <c r="AB660" i="5"/>
  <c r="E722" i="5"/>
  <c r="X722" i="5" s="1"/>
  <c r="R722" i="5"/>
  <c r="J722" i="5"/>
  <c r="I722" i="5"/>
  <c r="H722" i="5"/>
  <c r="G722" i="5"/>
  <c r="E730" i="5"/>
  <c r="X730" i="5" s="1"/>
  <c r="H730" i="5"/>
  <c r="G730" i="5"/>
  <c r="F730" i="5"/>
  <c r="J730" i="5"/>
  <c r="E734" i="5"/>
  <c r="X734" i="5" s="1"/>
  <c r="R734" i="5"/>
  <c r="J734" i="5"/>
  <c r="I734" i="5"/>
  <c r="H734" i="5"/>
  <c r="F734" i="5"/>
  <c r="AB508" i="5"/>
  <c r="AB547" i="5"/>
  <c r="V550" i="5"/>
  <c r="T550" i="5" s="1"/>
  <c r="AB576" i="5"/>
  <c r="AB597" i="5"/>
  <c r="AB608" i="5"/>
  <c r="AB632" i="5"/>
  <c r="V636" i="5"/>
  <c r="T636" i="5" s="1"/>
  <c r="R638" i="5"/>
  <c r="T638" i="5"/>
  <c r="X638" i="5"/>
  <c r="T640" i="5"/>
  <c r="X649" i="5"/>
  <c r="R649" i="5"/>
  <c r="V672" i="5"/>
  <c r="V716" i="5"/>
  <c r="G716" i="5" s="1"/>
  <c r="I730" i="5"/>
  <c r="G734" i="5"/>
  <c r="J748" i="5"/>
  <c r="F748" i="5"/>
  <c r="AB779" i="5"/>
  <c r="T779" i="5"/>
  <c r="S779" i="5"/>
  <c r="V783" i="5"/>
  <c r="G783" i="5" s="1"/>
  <c r="I790" i="5"/>
  <c r="F790" i="5"/>
  <c r="R790" i="5"/>
  <c r="J790" i="5"/>
  <c r="E790" i="5"/>
  <c r="X790" i="5" s="1"/>
  <c r="E899" i="5"/>
  <c r="X899" i="5" s="1"/>
  <c r="I899" i="5"/>
  <c r="G899" i="5"/>
  <c r="F899" i="5"/>
  <c r="AB606" i="5"/>
  <c r="T615" i="5"/>
  <c r="X615" i="5"/>
  <c r="AB619" i="5"/>
  <c r="R629" i="5"/>
  <c r="X629" i="5"/>
  <c r="R657" i="5"/>
  <c r="X657" i="5"/>
  <c r="AB681" i="5"/>
  <c r="T681" i="5"/>
  <c r="E686" i="5"/>
  <c r="X686" i="5" s="1"/>
  <c r="R686" i="5"/>
  <c r="I686" i="5"/>
  <c r="H686" i="5"/>
  <c r="T693" i="5"/>
  <c r="S693" i="5"/>
  <c r="AB705" i="5"/>
  <c r="T705" i="5"/>
  <c r="V718" i="5"/>
  <c r="G718" i="5" s="1"/>
  <c r="V737" i="5"/>
  <c r="J737" i="5" s="1"/>
  <c r="E754" i="5"/>
  <c r="X754" i="5" s="1"/>
  <c r="F754" i="5"/>
  <c r="AB636" i="5"/>
  <c r="AB637" i="5"/>
  <c r="AB669" i="5"/>
  <c r="T725" i="5"/>
  <c r="AB739" i="5"/>
  <c r="S739" i="5"/>
  <c r="S741" i="5"/>
  <c r="R751" i="5"/>
  <c r="H751" i="5"/>
  <c r="AB763" i="5"/>
  <c r="AB768" i="5"/>
  <c r="T768" i="5"/>
  <c r="F784" i="5"/>
  <c r="I786" i="5"/>
  <c r="J786" i="5"/>
  <c r="H825" i="5"/>
  <c r="J825" i="5"/>
  <c r="G825" i="5"/>
  <c r="F825" i="5"/>
  <c r="R825" i="5"/>
  <c r="V903" i="5"/>
  <c r="G903" i="5" s="1"/>
  <c r="H916" i="5"/>
  <c r="R916" i="5"/>
  <c r="V1064" i="5"/>
  <c r="G1064" i="5" s="1"/>
  <c r="AB627" i="5"/>
  <c r="AB647" i="5"/>
  <c r="S677" i="5"/>
  <c r="S732" i="5"/>
  <c r="S733" i="5"/>
  <c r="AB736" i="5"/>
  <c r="T739" i="5"/>
  <c r="AB741" i="5"/>
  <c r="S748" i="5"/>
  <c r="J751" i="5"/>
  <c r="S753" i="5"/>
  <c r="S771" i="5"/>
  <c r="AB800" i="5"/>
  <c r="V800" i="5"/>
  <c r="R800" i="5" s="1"/>
  <c r="H815" i="5"/>
  <c r="E815" i="5"/>
  <c r="X815" i="5" s="1"/>
  <c r="J815" i="5"/>
  <c r="I881" i="5"/>
  <c r="F881" i="5"/>
  <c r="R881" i="5"/>
  <c r="J881" i="5"/>
  <c r="E881" i="5"/>
  <c r="X881" i="5" s="1"/>
  <c r="V914" i="5"/>
  <c r="G914" i="5" s="1"/>
  <c r="H1113" i="5"/>
  <c r="E1113" i="5"/>
  <c r="X1113" i="5" s="1"/>
  <c r="G1113" i="5"/>
  <c r="R1154" i="5"/>
  <c r="J1154" i="5"/>
  <c r="E1154" i="5"/>
  <c r="X1154" i="5" s="1"/>
  <c r="AB623" i="5"/>
  <c r="T645" i="5"/>
  <c r="AB662" i="5"/>
  <c r="G684" i="5"/>
  <c r="H710" i="5"/>
  <c r="V726" i="5"/>
  <c r="T733" i="5"/>
  <c r="G736" i="5"/>
  <c r="T745" i="5"/>
  <c r="AB745" i="5"/>
  <c r="R759" i="5"/>
  <c r="J759" i="5"/>
  <c r="S780" i="5"/>
  <c r="S784" i="5"/>
  <c r="I802" i="5"/>
  <c r="R802" i="5"/>
  <c r="F802" i="5"/>
  <c r="E802" i="5"/>
  <c r="X802" i="5" s="1"/>
  <c r="I865" i="5"/>
  <c r="F865" i="5"/>
  <c r="E865" i="5"/>
  <c r="X865" i="5" s="1"/>
  <c r="R865" i="5"/>
  <c r="E907" i="5"/>
  <c r="X907" i="5" s="1"/>
  <c r="I907" i="5"/>
  <c r="G907" i="5"/>
  <c r="F907" i="5"/>
  <c r="AB923" i="5"/>
  <c r="S923" i="5"/>
  <c r="T947" i="5"/>
  <c r="S947" i="5"/>
  <c r="H1038" i="5"/>
  <c r="R1038" i="5"/>
  <c r="J1038" i="5"/>
  <c r="T1143" i="5"/>
  <c r="S1143" i="5"/>
  <c r="I710" i="5"/>
  <c r="S737" i="5"/>
  <c r="E808" i="5"/>
  <c r="X808" i="5" s="1"/>
  <c r="R808" i="5"/>
  <c r="G863" i="5"/>
  <c r="I863" i="5"/>
  <c r="I869" i="5"/>
  <c r="E869" i="5"/>
  <c r="X869" i="5" s="1"/>
  <c r="J869" i="5"/>
  <c r="F869" i="5"/>
  <c r="G879" i="5"/>
  <c r="I879" i="5"/>
  <c r="F879" i="5"/>
  <c r="S931" i="5"/>
  <c r="T931" i="5"/>
  <c r="J958" i="5"/>
  <c r="F958" i="5"/>
  <c r="R958" i="5"/>
  <c r="AB613" i="5"/>
  <c r="AB630" i="5"/>
  <c r="AB644" i="5"/>
  <c r="R666" i="5"/>
  <c r="G700" i="5"/>
  <c r="R710" i="5"/>
  <c r="V721" i="5"/>
  <c r="J721" i="5" s="1"/>
  <c r="E758" i="5"/>
  <c r="X758" i="5" s="1"/>
  <c r="I758" i="5"/>
  <c r="G763" i="5"/>
  <c r="R770" i="5"/>
  <c r="J770" i="5"/>
  <c r="G772" i="5"/>
  <c r="I798" i="5"/>
  <c r="E798" i="5"/>
  <c r="X798" i="5" s="1"/>
  <c r="R798" i="5"/>
  <c r="AB801" i="5"/>
  <c r="G808" i="5"/>
  <c r="V812" i="5"/>
  <c r="G812" i="5" s="1"/>
  <c r="R814" i="5"/>
  <c r="V820" i="5"/>
  <c r="F820" i="5" s="1"/>
  <c r="V834" i="5"/>
  <c r="F834" i="5" s="1"/>
  <c r="AB834" i="5"/>
  <c r="H839" i="5"/>
  <c r="J839" i="5"/>
  <c r="E839" i="5"/>
  <c r="X839" i="5" s="1"/>
  <c r="I839" i="5"/>
  <c r="F839" i="5"/>
  <c r="V845" i="5"/>
  <c r="I845" i="5" s="1"/>
  <c r="F863" i="5"/>
  <c r="R869" i="5"/>
  <c r="G887" i="5"/>
  <c r="H912" i="5"/>
  <c r="R912" i="5"/>
  <c r="E912" i="5"/>
  <c r="X912" i="5" s="1"/>
  <c r="F912" i="5"/>
  <c r="J928" i="5"/>
  <c r="G928" i="5"/>
  <c r="R928" i="5"/>
  <c r="F928" i="5"/>
  <c r="R936" i="5"/>
  <c r="F936" i="5"/>
  <c r="J936" i="5"/>
  <c r="H1036" i="5"/>
  <c r="R1036" i="5"/>
  <c r="I1036" i="5"/>
  <c r="F1036" i="5"/>
  <c r="V1039" i="5"/>
  <c r="G1039" i="5" s="1"/>
  <c r="AB643" i="5"/>
  <c r="AB698" i="5"/>
  <c r="AB734" i="5"/>
  <c r="T818" i="5"/>
  <c r="AB818" i="5"/>
  <c r="H823" i="5"/>
  <c r="F823" i="5"/>
  <c r="I823" i="5"/>
  <c r="E823" i="5"/>
  <c r="X823" i="5" s="1"/>
  <c r="I887" i="5"/>
  <c r="F887" i="5"/>
  <c r="I1087" i="5"/>
  <c r="R1087" i="5"/>
  <c r="J743" i="5"/>
  <c r="AB776" i="5"/>
  <c r="AB777" i="5"/>
  <c r="AB784" i="5"/>
  <c r="I807" i="5"/>
  <c r="S812" i="5"/>
  <c r="G824" i="5"/>
  <c r="F831" i="5"/>
  <c r="V836" i="5"/>
  <c r="G836" i="5" s="1"/>
  <c r="F841" i="5"/>
  <c r="S854" i="5"/>
  <c r="AB872" i="5"/>
  <c r="AB882" i="5"/>
  <c r="S882" i="5"/>
  <c r="I889" i="5"/>
  <c r="AB896" i="5"/>
  <c r="I901" i="5"/>
  <c r="R930" i="5"/>
  <c r="R946" i="5"/>
  <c r="J946" i="5"/>
  <c r="AB968" i="5"/>
  <c r="T968" i="5"/>
  <c r="V1023" i="5"/>
  <c r="G1023" i="5" s="1"/>
  <c r="V1062" i="5"/>
  <c r="H1062" i="5" s="1"/>
  <c r="T1082" i="5"/>
  <c r="AB1082" i="5"/>
  <c r="J831" i="5"/>
  <c r="J841" i="5"/>
  <c r="V913" i="5"/>
  <c r="G913" i="5" s="1"/>
  <c r="V944" i="5"/>
  <c r="J944" i="5" s="1"/>
  <c r="T957" i="5"/>
  <c r="S957" i="5"/>
  <c r="AB977" i="5"/>
  <c r="T977" i="5"/>
  <c r="S977" i="5"/>
  <c r="T991" i="5"/>
  <c r="S991" i="5"/>
  <c r="AB991" i="5"/>
  <c r="V1003" i="5"/>
  <c r="J1003" i="5" s="1"/>
  <c r="V1027" i="5"/>
  <c r="G1027" i="5" s="1"/>
  <c r="V1052" i="5"/>
  <c r="J1091" i="5"/>
  <c r="I1091" i="5"/>
  <c r="H1091" i="5"/>
  <c r="F1091" i="5"/>
  <c r="E1091" i="5"/>
  <c r="X1091" i="5" s="1"/>
  <c r="AB1097" i="5"/>
  <c r="V1097" i="5"/>
  <c r="J1097" i="5" s="1"/>
  <c r="AB796" i="5"/>
  <c r="AB808" i="5"/>
  <c r="R816" i="5"/>
  <c r="E816" i="5"/>
  <c r="X816" i="5" s="1"/>
  <c r="I828" i="5"/>
  <c r="H828" i="5"/>
  <c r="I877" i="5"/>
  <c r="F877" i="5"/>
  <c r="G924" i="5"/>
  <c r="G952" i="5"/>
  <c r="V1015" i="5"/>
  <c r="J1015" i="5" s="1"/>
  <c r="AB1055" i="5"/>
  <c r="R1091" i="5"/>
  <c r="I1117" i="5"/>
  <c r="F1117" i="5"/>
  <c r="E1117" i="5"/>
  <c r="X1117" i="5" s="1"/>
  <c r="T1120" i="5"/>
  <c r="S1120" i="5"/>
  <c r="F1135" i="5"/>
  <c r="R1135" i="5"/>
  <c r="J1135" i="5"/>
  <c r="I1135" i="5"/>
  <c r="H1135" i="5"/>
  <c r="AB1171" i="5"/>
  <c r="T1171" i="5"/>
  <c r="S1171" i="5"/>
  <c r="T842" i="5"/>
  <c r="AB842" i="5"/>
  <c r="H885" i="5"/>
  <c r="I885" i="5"/>
  <c r="R915" i="5"/>
  <c r="E915" i="5"/>
  <c r="X915" i="5" s="1"/>
  <c r="J924" i="5"/>
  <c r="J940" i="5"/>
  <c r="F940" i="5"/>
  <c r="I975" i="5"/>
  <c r="H975" i="5"/>
  <c r="F975" i="5"/>
  <c r="S983" i="5"/>
  <c r="T983" i="5"/>
  <c r="AB1053" i="5"/>
  <c r="T1053" i="5"/>
  <c r="V1055" i="5"/>
  <c r="G1055" i="5" s="1"/>
  <c r="AB1070" i="5"/>
  <c r="S1070" i="5"/>
  <c r="AB1086" i="5"/>
  <c r="T1086" i="5"/>
  <c r="T1092" i="5"/>
  <c r="S1092" i="5"/>
  <c r="E1107" i="5"/>
  <c r="X1107" i="5" s="1"/>
  <c r="R1107" i="5"/>
  <c r="H1107" i="5"/>
  <c r="J1107" i="5"/>
  <c r="I1107" i="5"/>
  <c r="R1152" i="5"/>
  <c r="F1152" i="5"/>
  <c r="E1152" i="5"/>
  <c r="X1152" i="5" s="1"/>
  <c r="H1152" i="5"/>
  <c r="J1152" i="5"/>
  <c r="I1152" i="5"/>
  <c r="G1152" i="5"/>
  <c r="R1171" i="5"/>
  <c r="J1171" i="5"/>
  <c r="AB772" i="5"/>
  <c r="AB780" i="5"/>
  <c r="G796" i="5"/>
  <c r="AB804" i="5"/>
  <c r="AB810" i="5"/>
  <c r="I816" i="5"/>
  <c r="AB822" i="5"/>
  <c r="H826" i="5"/>
  <c r="R828" i="5"/>
  <c r="G832" i="5"/>
  <c r="S844" i="5"/>
  <c r="G846" i="5"/>
  <c r="AB856" i="5"/>
  <c r="I861" i="5"/>
  <c r="F861" i="5"/>
  <c r="J877" i="5"/>
  <c r="E885" i="5"/>
  <c r="X885" i="5" s="1"/>
  <c r="G889" i="5"/>
  <c r="H892" i="5"/>
  <c r="H893" i="5"/>
  <c r="J893" i="5"/>
  <c r="F893" i="5"/>
  <c r="G901" i="5"/>
  <c r="V905" i="5"/>
  <c r="H915" i="5"/>
  <c r="H919" i="5"/>
  <c r="R924" i="5"/>
  <c r="G926" i="5"/>
  <c r="F930" i="5"/>
  <c r="V932" i="5"/>
  <c r="G932" i="5" s="1"/>
  <c r="G934" i="5"/>
  <c r="G940" i="5"/>
  <c r="G980" i="5"/>
  <c r="G996" i="5"/>
  <c r="R1025" i="5"/>
  <c r="I1025" i="5"/>
  <c r="H1025" i="5"/>
  <c r="E1025" i="5"/>
  <c r="X1025" i="5" s="1"/>
  <c r="V1043" i="5"/>
  <c r="G1043" i="5" s="1"/>
  <c r="H1048" i="5"/>
  <c r="F1048" i="5"/>
  <c r="E1048" i="5"/>
  <c r="X1048" i="5" s="1"/>
  <c r="J1048" i="5"/>
  <c r="I1048" i="5"/>
  <c r="T1061" i="5"/>
  <c r="S1061" i="5"/>
  <c r="V1098" i="5"/>
  <c r="R1098" i="5" s="1"/>
  <c r="T1101" i="5"/>
  <c r="S1101" i="5"/>
  <c r="F1107" i="5"/>
  <c r="T1125" i="5"/>
  <c r="S1125" i="5"/>
  <c r="R1149" i="5"/>
  <c r="F1149" i="5"/>
  <c r="E1149" i="5"/>
  <c r="X1149" i="5" s="1"/>
  <c r="H1149" i="5"/>
  <c r="J1149" i="5"/>
  <c r="I1149" i="5"/>
  <c r="T1166" i="5"/>
  <c r="S1166" i="5"/>
  <c r="I832" i="5"/>
  <c r="H841" i="5"/>
  <c r="I841" i="5"/>
  <c r="I846" i="5"/>
  <c r="F885" i="5"/>
  <c r="AB894" i="5"/>
  <c r="S894" i="5"/>
  <c r="AB906" i="5"/>
  <c r="S906" i="5"/>
  <c r="AB915" i="5"/>
  <c r="R938" i="5"/>
  <c r="J938" i="5"/>
  <c r="R950" i="5"/>
  <c r="J950" i="5"/>
  <c r="H996" i="5"/>
  <c r="F996" i="5"/>
  <c r="R996" i="5"/>
  <c r="I996" i="5"/>
  <c r="S1046" i="5"/>
  <c r="T1046" i="5"/>
  <c r="AB1105" i="5"/>
  <c r="T1105" i="5"/>
  <c r="S1105" i="5"/>
  <c r="AB941" i="5"/>
  <c r="AB945" i="5"/>
  <c r="AB947" i="5"/>
  <c r="H994" i="5"/>
  <c r="F994" i="5"/>
  <c r="V999" i="5"/>
  <c r="G999" i="5" s="1"/>
  <c r="R1022" i="5"/>
  <c r="J1022" i="5"/>
  <c r="G1036" i="5"/>
  <c r="R1045" i="5"/>
  <c r="E1045" i="5"/>
  <c r="X1045" i="5" s="1"/>
  <c r="S1084" i="5"/>
  <c r="T1084" i="5"/>
  <c r="I1089" i="5"/>
  <c r="F1089" i="5"/>
  <c r="I1100" i="5"/>
  <c r="R1100" i="5"/>
  <c r="J1100" i="5"/>
  <c r="H1100" i="5"/>
  <c r="S1154" i="5"/>
  <c r="T1154" i="5"/>
  <c r="AB1154" i="5"/>
  <c r="AB826" i="5"/>
  <c r="AB890" i="5"/>
  <c r="AB902" i="5"/>
  <c r="AB908" i="5"/>
  <c r="AB911" i="5"/>
  <c r="AB985" i="5"/>
  <c r="T985" i="5"/>
  <c r="S985" i="5"/>
  <c r="AB999" i="5"/>
  <c r="H1012" i="5"/>
  <c r="F1012" i="5"/>
  <c r="I1012" i="5"/>
  <c r="V1020" i="5"/>
  <c r="G1020" i="5" s="1"/>
  <c r="H1028" i="5"/>
  <c r="R1028" i="5"/>
  <c r="F1028" i="5"/>
  <c r="V1053" i="5"/>
  <c r="G1053" i="5" s="1"/>
  <c r="S1076" i="5"/>
  <c r="T1076" i="5"/>
  <c r="V1092" i="5"/>
  <c r="R1092" i="5" s="1"/>
  <c r="S1095" i="5"/>
  <c r="T1095" i="5"/>
  <c r="R1109" i="5"/>
  <c r="F1109" i="5"/>
  <c r="E1109" i="5"/>
  <c r="X1109" i="5" s="1"/>
  <c r="I1109" i="5"/>
  <c r="J1129" i="5"/>
  <c r="H1129" i="5"/>
  <c r="T1132" i="5"/>
  <c r="AB1132" i="5"/>
  <c r="AB1155" i="5"/>
  <c r="T1155" i="5"/>
  <c r="S1155" i="5"/>
  <c r="T1162" i="5"/>
  <c r="S1162" i="5"/>
  <c r="F976" i="5"/>
  <c r="H1002" i="5"/>
  <c r="I1002" i="5"/>
  <c r="F1002" i="5"/>
  <c r="H1018" i="5"/>
  <c r="I1018" i="5"/>
  <c r="F1018" i="5"/>
  <c r="E1018" i="5"/>
  <c r="X1018" i="5" s="1"/>
  <c r="H1026" i="5"/>
  <c r="I1026" i="5"/>
  <c r="F1026" i="5"/>
  <c r="AB1035" i="5"/>
  <c r="S1035" i="5"/>
  <c r="H1040" i="5"/>
  <c r="R1040" i="5"/>
  <c r="J1040" i="5"/>
  <c r="I1040" i="5"/>
  <c r="E1040" i="5"/>
  <c r="X1040" i="5" s="1"/>
  <c r="S1054" i="5"/>
  <c r="T1054" i="5"/>
  <c r="S1058" i="5"/>
  <c r="T1058" i="5"/>
  <c r="V1060" i="5"/>
  <c r="G1060" i="5" s="1"/>
  <c r="H1068" i="5"/>
  <c r="F1068" i="5"/>
  <c r="E1068" i="5"/>
  <c r="X1068" i="5" s="1"/>
  <c r="J1068" i="5"/>
  <c r="T1100" i="5"/>
  <c r="AB1100" i="5"/>
  <c r="J1114" i="5"/>
  <c r="H1114" i="5"/>
  <c r="J1119" i="5"/>
  <c r="E1119" i="5"/>
  <c r="X1119" i="5" s="1"/>
  <c r="J1125" i="5"/>
  <c r="H1125" i="5"/>
  <c r="G1125" i="5"/>
  <c r="J1132" i="5"/>
  <c r="H1132" i="5"/>
  <c r="V1141" i="5"/>
  <c r="E1141" i="5" s="1"/>
  <c r="X1141" i="5" s="1"/>
  <c r="AB1141" i="5"/>
  <c r="I1144" i="5"/>
  <c r="R1144" i="5"/>
  <c r="V1164" i="5"/>
  <c r="H976" i="5"/>
  <c r="E1002" i="5"/>
  <c r="X1002" i="5" s="1"/>
  <c r="R1009" i="5"/>
  <c r="I1009" i="5"/>
  <c r="H1009" i="5"/>
  <c r="T1019" i="5"/>
  <c r="S1019" i="5"/>
  <c r="E1026" i="5"/>
  <c r="X1026" i="5" s="1"/>
  <c r="I1028" i="5"/>
  <c r="V1035" i="5"/>
  <c r="G1035" i="5" s="1"/>
  <c r="F1040" i="5"/>
  <c r="R1042" i="5"/>
  <c r="I1042" i="5"/>
  <c r="G1100" i="5"/>
  <c r="AB1106" i="5"/>
  <c r="V1106" i="5"/>
  <c r="R1106" i="5" s="1"/>
  <c r="J1109" i="5"/>
  <c r="G1114" i="5"/>
  <c r="V1116" i="5"/>
  <c r="G1116" i="5" s="1"/>
  <c r="E1132" i="5"/>
  <c r="X1132" i="5" s="1"/>
  <c r="E1144" i="5"/>
  <c r="X1144" i="5" s="1"/>
  <c r="V1160" i="5"/>
  <c r="G1160" i="5" s="1"/>
  <c r="T890" i="5"/>
  <c r="AB898" i="5"/>
  <c r="AB939" i="5"/>
  <c r="AB964" i="5"/>
  <c r="AB973" i="5"/>
  <c r="J976" i="5"/>
  <c r="V984" i="5"/>
  <c r="E984" i="5" s="1"/>
  <c r="X984" i="5" s="1"/>
  <c r="E994" i="5"/>
  <c r="X994" i="5" s="1"/>
  <c r="R998" i="5"/>
  <c r="J998" i="5"/>
  <c r="G1040" i="5"/>
  <c r="H1056" i="5"/>
  <c r="E1056" i="5"/>
  <c r="X1056" i="5" s="1"/>
  <c r="R1056" i="5"/>
  <c r="V1073" i="5"/>
  <c r="I1073" i="5" s="1"/>
  <c r="E1100" i="5"/>
  <c r="X1100" i="5" s="1"/>
  <c r="J1103" i="5"/>
  <c r="I1103" i="5"/>
  <c r="T1113" i="5"/>
  <c r="S1113" i="5"/>
  <c r="T1130" i="5"/>
  <c r="AB1130" i="5"/>
  <c r="F1132" i="5"/>
  <c r="R1139" i="5"/>
  <c r="I1139" i="5"/>
  <c r="E1139" i="5"/>
  <c r="X1139" i="5" s="1"/>
  <c r="H1144" i="5"/>
  <c r="T1167" i="5"/>
  <c r="I995" i="5"/>
  <c r="AB1005" i="5"/>
  <c r="H1007" i="5"/>
  <c r="G1011" i="5"/>
  <c r="R1017" i="5"/>
  <c r="R1031" i="5"/>
  <c r="AB1043" i="5"/>
  <c r="F1044" i="5"/>
  <c r="AB1047" i="5"/>
  <c r="G1056" i="5"/>
  <c r="T1104" i="5"/>
  <c r="S1128" i="5"/>
  <c r="J1137" i="5"/>
  <c r="G1144" i="5"/>
  <c r="AB1146" i="5"/>
  <c r="S1158" i="5"/>
  <c r="I1004" i="5"/>
  <c r="AB1007" i="5"/>
  <c r="H1019" i="5"/>
  <c r="J1044" i="5"/>
  <c r="AB1051" i="5"/>
  <c r="T1066" i="5"/>
  <c r="J1076" i="5"/>
  <c r="I1084" i="5"/>
  <c r="S1089" i="5"/>
  <c r="S1093" i="5"/>
  <c r="S1098" i="5"/>
  <c r="T1109" i="5"/>
  <c r="AB1127" i="5"/>
  <c r="G1132" i="5"/>
  <c r="S1149" i="5"/>
  <c r="S1152" i="5"/>
  <c r="AB989" i="5"/>
  <c r="E991" i="5"/>
  <c r="X991" i="5" s="1"/>
  <c r="R1004" i="5"/>
  <c r="AB1013" i="5"/>
  <c r="I1019" i="5"/>
  <c r="AB1023" i="5"/>
  <c r="R1044" i="5"/>
  <c r="G1070" i="5"/>
  <c r="R1084" i="5"/>
  <c r="T1149" i="5"/>
  <c r="T1152" i="5"/>
  <c r="S989" i="5"/>
  <c r="G991" i="5"/>
  <c r="E1017" i="5"/>
  <c r="X1017" i="5" s="1"/>
  <c r="AB1027" i="5"/>
  <c r="E1031" i="5"/>
  <c r="X1031" i="5" s="1"/>
  <c r="E1034" i="5"/>
  <c r="X1034" i="5" s="1"/>
  <c r="G1065" i="5"/>
  <c r="H1070" i="5"/>
  <c r="S1080" i="5"/>
  <c r="V1083" i="5"/>
  <c r="S1088" i="5"/>
  <c r="AB1090" i="5"/>
  <c r="V1093" i="5"/>
  <c r="G1093" i="5" s="1"/>
  <c r="AB1099" i="5"/>
  <c r="S1112" i="5"/>
  <c r="G1137" i="5"/>
  <c r="AB1139" i="5"/>
  <c r="F1165" i="5"/>
  <c r="H991" i="5"/>
  <c r="G995" i="5"/>
  <c r="AB1003" i="5"/>
  <c r="E1007" i="5"/>
  <c r="X1007" i="5" s="1"/>
  <c r="AB1015" i="5"/>
  <c r="G1031" i="5"/>
  <c r="F1034" i="5"/>
  <c r="H1063" i="5"/>
  <c r="I1070" i="5"/>
  <c r="D61" i="4"/>
  <c r="B65" i="4"/>
  <c r="A47" i="6" s="1"/>
  <c r="D37" i="4"/>
  <c r="B70" i="4"/>
  <c r="A51" i="6" s="1"/>
  <c r="D43" i="4"/>
  <c r="B51" i="4"/>
  <c r="A35" i="6" s="1"/>
  <c r="B71" i="4"/>
  <c r="A52" i="6" s="1"/>
  <c r="B57" i="4"/>
  <c r="A40" i="6" s="1"/>
  <c r="B64" i="6"/>
  <c r="H64" i="6"/>
  <c r="A24" i="6"/>
  <c r="B56" i="4"/>
  <c r="A39" i="6" s="1"/>
  <c r="B68" i="4"/>
  <c r="A49" i="6" s="1"/>
  <c r="B62" i="4"/>
  <c r="A44" i="6" s="1"/>
  <c r="B50" i="4"/>
  <c r="A34" i="6" s="1"/>
  <c r="A15" i="6"/>
  <c r="B33" i="4"/>
  <c r="A20" i="6" s="1"/>
  <c r="B35" i="4"/>
  <c r="A22" i="6" s="1"/>
  <c r="A26" i="6"/>
  <c r="B52" i="4"/>
  <c r="A36" i="6" s="1"/>
  <c r="D67" i="4"/>
  <c r="D31" i="4"/>
  <c r="D49" i="4"/>
  <c r="D55" i="4"/>
  <c r="A14" i="6"/>
  <c r="B32" i="4"/>
  <c r="A19" i="6" s="1"/>
  <c r="B67" i="4"/>
  <c r="A48" i="6" s="1"/>
  <c r="B83" i="4"/>
  <c r="A59" i="6" s="1"/>
  <c r="B75" i="4"/>
  <c r="A54" i="6" s="1"/>
  <c r="B64" i="4"/>
  <c r="A46" i="6" s="1"/>
  <c r="B79" i="4"/>
  <c r="A57" i="6" s="1"/>
  <c r="AB688" i="5"/>
  <c r="S688" i="5"/>
  <c r="T688" i="5"/>
  <c r="R705" i="5"/>
  <c r="J705" i="5"/>
  <c r="G705" i="5"/>
  <c r="F705" i="5"/>
  <c r="E705" i="5"/>
  <c r="X705" i="5" s="1"/>
  <c r="I705" i="5"/>
  <c r="H705" i="5"/>
  <c r="R744" i="5"/>
  <c r="H744" i="5"/>
  <c r="J744" i="5"/>
  <c r="I744" i="5"/>
  <c r="F744" i="5"/>
  <c r="E744" i="5"/>
  <c r="X744" i="5" s="1"/>
  <c r="D4" i="8"/>
  <c r="B5" i="7"/>
  <c r="C4" i="8"/>
  <c r="A1" i="7"/>
  <c r="L68" i="6"/>
  <c r="B4" i="8"/>
  <c r="L67" i="6"/>
  <c r="I59" i="6"/>
  <c r="J58" i="6"/>
  <c r="I50" i="6"/>
  <c r="J49" i="6"/>
  <c r="I42" i="6"/>
  <c r="J41" i="6"/>
  <c r="I34" i="6"/>
  <c r="I26" i="6"/>
  <c r="J25" i="6"/>
  <c r="J17" i="6"/>
  <c r="J16" i="6"/>
  <c r="J15" i="6"/>
  <c r="J14" i="6"/>
  <c r="A4" i="8"/>
  <c r="A1" i="8"/>
  <c r="I67" i="6"/>
  <c r="J64" i="6"/>
  <c r="J63" i="6"/>
  <c r="J62" i="6"/>
  <c r="J60" i="6"/>
  <c r="J59" i="6"/>
  <c r="I58" i="6"/>
  <c r="I57" i="6"/>
  <c r="J56" i="6"/>
  <c r="I55" i="6"/>
  <c r="I54" i="6"/>
  <c r="J52" i="6"/>
  <c r="J51" i="6"/>
  <c r="J50" i="6"/>
  <c r="I49" i="6"/>
  <c r="J47" i="6"/>
  <c r="J46" i="6"/>
  <c r="J45" i="6"/>
  <c r="J44" i="6"/>
  <c r="J40" i="6"/>
  <c r="J39" i="6"/>
  <c r="I14" i="6"/>
  <c r="C14" i="6" s="1"/>
  <c r="J4" i="6"/>
  <c r="C3" i="6"/>
  <c r="B2006" i="7"/>
  <c r="J68" i="6"/>
  <c r="L65" i="6"/>
  <c r="I64" i="6"/>
  <c r="I63" i="6"/>
  <c r="I62" i="6"/>
  <c r="I60" i="6"/>
  <c r="I56" i="6"/>
  <c r="I52" i="6"/>
  <c r="I51" i="6"/>
  <c r="I47" i="6"/>
  <c r="I46" i="6"/>
  <c r="I45" i="6"/>
  <c r="I44" i="6"/>
  <c r="J42" i="6"/>
  <c r="I41" i="6"/>
  <c r="I40" i="6"/>
  <c r="I39" i="6"/>
  <c r="J37" i="6"/>
  <c r="J36" i="6"/>
  <c r="J35" i="6"/>
  <c r="J34" i="6"/>
  <c r="J32" i="6"/>
  <c r="J31" i="6"/>
  <c r="J30" i="6"/>
  <c r="J29" i="6"/>
  <c r="J24" i="6"/>
  <c r="I15" i="6"/>
  <c r="J12" i="6"/>
  <c r="J11" i="6"/>
  <c r="J10" i="6"/>
  <c r="J9" i="6"/>
  <c r="J8" i="6"/>
  <c r="J7" i="6"/>
  <c r="J6" i="6"/>
  <c r="J5" i="6"/>
  <c r="I4" i="6"/>
  <c r="C4" i="6" s="1"/>
  <c r="B3" i="6"/>
  <c r="D5" i="7"/>
  <c r="I20" i="6"/>
  <c r="I10" i="6"/>
  <c r="C10" i="6" s="1"/>
  <c r="I6" i="6"/>
  <c r="C6" i="6" s="1"/>
  <c r="C5" i="7"/>
  <c r="I36" i="6"/>
  <c r="I31" i="6"/>
  <c r="J26" i="6"/>
  <c r="J21" i="6"/>
  <c r="D3" i="6"/>
  <c r="I69" i="6"/>
  <c r="J67" i="6"/>
  <c r="J65" i="6"/>
  <c r="J57" i="6"/>
  <c r="I21" i="6"/>
  <c r="I16" i="6"/>
  <c r="I11" i="6"/>
  <c r="C11" i="6" s="1"/>
  <c r="I7" i="6"/>
  <c r="C7" i="6" s="1"/>
  <c r="A3" i="6"/>
  <c r="J66" i="6"/>
  <c r="I66" i="6"/>
  <c r="J22" i="6"/>
  <c r="I68" i="6"/>
  <c r="I65" i="6"/>
  <c r="J54" i="6"/>
  <c r="J27" i="6"/>
  <c r="I22" i="6"/>
  <c r="J20" i="6"/>
  <c r="I17" i="6"/>
  <c r="C17" i="6" s="1"/>
  <c r="I9" i="6"/>
  <c r="C9" i="6" s="1"/>
  <c r="I4" i="8"/>
  <c r="F4" i="8"/>
  <c r="L66" i="6"/>
  <c r="I32" i="6"/>
  <c r="H4" i="8"/>
  <c r="I29" i="6"/>
  <c r="G4" i="8"/>
  <c r="I27" i="6"/>
  <c r="I24" i="6"/>
  <c r="E4" i="8"/>
  <c r="I19" i="6"/>
  <c r="I5" i="6"/>
  <c r="C5" i="6" s="1"/>
  <c r="I30" i="6"/>
  <c r="I12" i="6"/>
  <c r="C12" i="6" s="1"/>
  <c r="I37" i="6"/>
  <c r="J19" i="6"/>
  <c r="I35" i="6"/>
  <c r="I25" i="6"/>
  <c r="D1" i="6"/>
  <c r="J55" i="6"/>
  <c r="I8" i="6"/>
  <c r="C8" i="6" s="1"/>
  <c r="A1" i="6"/>
  <c r="B10" i="4"/>
  <c r="A6" i="6" s="1"/>
  <c r="B18" i="4"/>
  <c r="A10" i="6" s="1"/>
  <c r="G25" i="4"/>
  <c r="B44" i="4"/>
  <c r="A29" i="6" s="1"/>
  <c r="B49" i="4"/>
  <c r="A33" i="6" s="1"/>
  <c r="B89" i="4"/>
  <c r="A63" i="6" s="1"/>
  <c r="B4" i="5"/>
  <c r="J4" i="5"/>
  <c r="A6" i="2"/>
  <c r="A14" i="2"/>
  <c r="A23" i="2"/>
  <c r="A31" i="2"/>
  <c r="A40" i="2"/>
  <c r="A49" i="2"/>
  <c r="A57" i="2"/>
  <c r="A65" i="2"/>
  <c r="B2" i="3"/>
  <c r="B6" i="3"/>
  <c r="B10" i="3"/>
  <c r="B14" i="3"/>
  <c r="B18" i="3"/>
  <c r="B22" i="3"/>
  <c r="B26" i="3"/>
  <c r="B30" i="3"/>
  <c r="I4" i="4"/>
  <c r="B12" i="4"/>
  <c r="B20" i="4"/>
  <c r="A11" i="6" s="1"/>
  <c r="B34" i="4"/>
  <c r="A21" i="6" s="1"/>
  <c r="B45" i="4"/>
  <c r="A30" i="6" s="1"/>
  <c r="B63" i="4"/>
  <c r="A45" i="6" s="1"/>
  <c r="B69" i="4"/>
  <c r="A50" i="6" s="1"/>
  <c r="B77" i="4"/>
  <c r="A55" i="6" s="1"/>
  <c r="A91" i="4"/>
  <c r="D4" i="5"/>
  <c r="L4" i="5"/>
  <c r="B59" i="4"/>
  <c r="A42" i="6" s="1"/>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53" i="4"/>
  <c r="A37" i="6" s="1"/>
  <c r="B61" i="4"/>
  <c r="A43" i="6" s="1"/>
  <c r="B74" i="4"/>
  <c r="A53" i="6" s="1"/>
  <c r="B85" i="4"/>
  <c r="A60" i="6" s="1"/>
  <c r="G3" i="5"/>
  <c r="H4" i="5"/>
  <c r="P4" i="5"/>
  <c r="AB526" i="5"/>
  <c r="V526" i="5"/>
  <c r="AB503" i="5"/>
  <c r="AB511" i="5"/>
  <c r="X522" i="5"/>
  <c r="R522" i="5"/>
  <c r="T522" i="5"/>
  <c r="X528" i="5"/>
  <c r="R528" i="5"/>
  <c r="X532" i="5"/>
  <c r="R532" i="5"/>
  <c r="T532" i="5"/>
  <c r="X545" i="5"/>
  <c r="R545" i="5"/>
  <c r="T545" i="5"/>
  <c r="AB515" i="5"/>
  <c r="AB523" i="5"/>
  <c r="AB529" i="5"/>
  <c r="V641" i="5"/>
  <c r="V525" i="5"/>
  <c r="AB525" i="5"/>
  <c r="V628" i="5"/>
  <c r="AB507" i="5"/>
  <c r="R538" i="5"/>
  <c r="T538" i="5"/>
  <c r="V504" i="5"/>
  <c r="AB505" i="5"/>
  <c r="V508" i="5"/>
  <c r="AB509" i="5"/>
  <c r="V512" i="5"/>
  <c r="AB513" i="5"/>
  <c r="V516" i="5"/>
  <c r="AB517" i="5"/>
  <c r="V519" i="5"/>
  <c r="AB520" i="5"/>
  <c r="V523" i="5"/>
  <c r="V529" i="5"/>
  <c r="AB532" i="5"/>
  <c r="AB539" i="5"/>
  <c r="X540" i="5"/>
  <c r="R540" i="5"/>
  <c r="AB545" i="5"/>
  <c r="V584" i="5"/>
  <c r="R595" i="5"/>
  <c r="T595" i="5"/>
  <c r="X595" i="5"/>
  <c r="AB602" i="5"/>
  <c r="AB653" i="5"/>
  <c r="T653" i="5"/>
  <c r="R533" i="5"/>
  <c r="X541" i="5"/>
  <c r="R546" i="5"/>
  <c r="X547" i="5"/>
  <c r="R547" i="5"/>
  <c r="X548" i="5"/>
  <c r="R551" i="5"/>
  <c r="X552" i="5"/>
  <c r="X555" i="5"/>
  <c r="X557" i="5"/>
  <c r="R557" i="5"/>
  <c r="X559" i="5"/>
  <c r="X563" i="5"/>
  <c r="X566" i="5"/>
  <c r="R566" i="5"/>
  <c r="T566" i="5"/>
  <c r="X569" i="5"/>
  <c r="R569" i="5"/>
  <c r="X570" i="5"/>
  <c r="X573" i="5"/>
  <c r="R573" i="5"/>
  <c r="T573" i="5"/>
  <c r="X574" i="5"/>
  <c r="X576" i="5"/>
  <c r="R576" i="5"/>
  <c r="X577" i="5"/>
  <c r="R577" i="5"/>
  <c r="T577" i="5"/>
  <c r="X578" i="5"/>
  <c r="AB656" i="5"/>
  <c r="V507" i="5"/>
  <c r="V511" i="5"/>
  <c r="T513" i="5"/>
  <c r="V515" i="5"/>
  <c r="T517" i="5"/>
  <c r="T520" i="5"/>
  <c r="V521" i="5"/>
  <c r="V527" i="5"/>
  <c r="AB533" i="5"/>
  <c r="AB535" i="5"/>
  <c r="AB541" i="5"/>
  <c r="AB546" i="5"/>
  <c r="X580" i="5"/>
  <c r="R580" i="5"/>
  <c r="X581" i="5"/>
  <c r="R581" i="5"/>
  <c r="V592" i="5"/>
  <c r="AB603" i="5"/>
  <c r="V604" i="5"/>
  <c r="X605" i="5"/>
  <c r="R605" i="5"/>
  <c r="T605" i="5"/>
  <c r="R607" i="5"/>
  <c r="T607" i="5"/>
  <c r="X607" i="5"/>
  <c r="AB617" i="5"/>
  <c r="X659" i="5"/>
  <c r="R659" i="5"/>
  <c r="T659" i="5"/>
  <c r="R665" i="5"/>
  <c r="T665" i="5"/>
  <c r="X665" i="5"/>
  <c r="R505" i="5"/>
  <c r="R513" i="5"/>
  <c r="R517" i="5"/>
  <c r="R520" i="5"/>
  <c r="V524" i="5"/>
  <c r="V530" i="5"/>
  <c r="X533" i="5"/>
  <c r="X537" i="5"/>
  <c r="R542" i="5"/>
  <c r="X546" i="5"/>
  <c r="T548" i="5"/>
  <c r="T555" i="5"/>
  <c r="T559" i="5"/>
  <c r="T570" i="5"/>
  <c r="T574" i="5"/>
  <c r="T578" i="5"/>
  <c r="R693" i="5"/>
  <c r="J693" i="5"/>
  <c r="I693" i="5"/>
  <c r="H693" i="5"/>
  <c r="F693" i="5"/>
  <c r="E693" i="5"/>
  <c r="X693" i="5" s="1"/>
  <c r="V506" i="5"/>
  <c r="V510" i="5"/>
  <c r="V514" i="5"/>
  <c r="V518" i="5"/>
  <c r="AB521" i="5"/>
  <c r="AB527" i="5"/>
  <c r="AB530" i="5"/>
  <c r="AB537" i="5"/>
  <c r="AB542" i="5"/>
  <c r="V543" i="5"/>
  <c r="V549" i="5"/>
  <c r="V553" i="5"/>
  <c r="V556" i="5"/>
  <c r="V560" i="5"/>
  <c r="V564" i="5"/>
  <c r="V568" i="5"/>
  <c r="V571" i="5"/>
  <c r="V575" i="5"/>
  <c r="V579" i="5"/>
  <c r="AB584" i="5"/>
  <c r="AB595" i="5"/>
  <c r="V598" i="5"/>
  <c r="V618" i="5"/>
  <c r="R619" i="5"/>
  <c r="T619" i="5"/>
  <c r="AB631" i="5"/>
  <c r="R664" i="5"/>
  <c r="T664" i="5"/>
  <c r="X542" i="5"/>
  <c r="AB604" i="5"/>
  <c r="R651" i="5"/>
  <c r="AB522" i="5"/>
  <c r="AB528" i="5"/>
  <c r="X538" i="5"/>
  <c r="AB538" i="5"/>
  <c r="X539" i="5"/>
  <c r="R539" i="5"/>
  <c r="T541" i="5"/>
  <c r="R587" i="5"/>
  <c r="X587" i="5"/>
  <c r="R597" i="5"/>
  <c r="V614" i="5"/>
  <c r="R673" i="5"/>
  <c r="J673" i="5"/>
  <c r="G673" i="5"/>
  <c r="F673" i="5"/>
  <c r="E673" i="5"/>
  <c r="X673" i="5" s="1"/>
  <c r="I673" i="5"/>
  <c r="H673" i="5"/>
  <c r="R632" i="5"/>
  <c r="X633" i="5"/>
  <c r="R633" i="5"/>
  <c r="AB654" i="5"/>
  <c r="V654" i="5"/>
  <c r="R662" i="5"/>
  <c r="T662" i="5"/>
  <c r="AB677" i="5"/>
  <c r="I688" i="5"/>
  <c r="H688" i="5"/>
  <c r="R688" i="5"/>
  <c r="J688" i="5"/>
  <c r="G688" i="5"/>
  <c r="F688" i="5"/>
  <c r="E688" i="5"/>
  <c r="X688" i="5" s="1"/>
  <c r="I692" i="5"/>
  <c r="H692" i="5"/>
  <c r="F692" i="5"/>
  <c r="E692" i="5"/>
  <c r="X692" i="5" s="1"/>
  <c r="R692" i="5"/>
  <c r="J692" i="5"/>
  <c r="AB709" i="5"/>
  <c r="V602" i="5"/>
  <c r="AB607" i="5"/>
  <c r="V617" i="5"/>
  <c r="AB621" i="5"/>
  <c r="AB634" i="5"/>
  <c r="R647" i="5"/>
  <c r="T647" i="5"/>
  <c r="AB649" i="5"/>
  <c r="AB668" i="5"/>
  <c r="R681" i="5"/>
  <c r="J681" i="5"/>
  <c r="G681" i="5"/>
  <c r="F681" i="5"/>
  <c r="E681" i="5"/>
  <c r="X681" i="5" s="1"/>
  <c r="I681" i="5"/>
  <c r="G692" i="5"/>
  <c r="AB696" i="5"/>
  <c r="S696" i="5"/>
  <c r="R701" i="5"/>
  <c r="J701" i="5"/>
  <c r="I701" i="5"/>
  <c r="H701" i="5"/>
  <c r="F701" i="5"/>
  <c r="E701" i="5"/>
  <c r="X701" i="5" s="1"/>
  <c r="R713" i="5"/>
  <c r="J713" i="5"/>
  <c r="G713" i="5"/>
  <c r="F713" i="5"/>
  <c r="E713" i="5"/>
  <c r="X713" i="5" s="1"/>
  <c r="I713" i="5"/>
  <c r="AB727" i="5"/>
  <c r="T727" i="5"/>
  <c r="S727" i="5"/>
  <c r="AB583" i="5"/>
  <c r="V588" i="5"/>
  <c r="X590" i="5"/>
  <c r="R608" i="5"/>
  <c r="T608" i="5"/>
  <c r="X609" i="5"/>
  <c r="R609" i="5"/>
  <c r="R622" i="5"/>
  <c r="T622" i="5"/>
  <c r="X623" i="5"/>
  <c r="R623" i="5"/>
  <c r="R635" i="5"/>
  <c r="AB650" i="5"/>
  <c r="V650" i="5"/>
  <c r="R668" i="5"/>
  <c r="T668" i="5"/>
  <c r="X668" i="5"/>
  <c r="H681" i="5"/>
  <c r="G685" i="5"/>
  <c r="AB685" i="5"/>
  <c r="I696" i="5"/>
  <c r="H696" i="5"/>
  <c r="R696" i="5"/>
  <c r="J696" i="5"/>
  <c r="G696" i="5"/>
  <c r="F696" i="5"/>
  <c r="E696" i="5"/>
  <c r="X696" i="5" s="1"/>
  <c r="I700" i="5"/>
  <c r="H700" i="5"/>
  <c r="F700" i="5"/>
  <c r="E700" i="5"/>
  <c r="X700" i="5" s="1"/>
  <c r="R700" i="5"/>
  <c r="J700" i="5"/>
  <c r="H713" i="5"/>
  <c r="V606" i="5"/>
  <c r="AB611" i="5"/>
  <c r="V620" i="5"/>
  <c r="X621" i="5"/>
  <c r="AB625" i="5"/>
  <c r="X634" i="5"/>
  <c r="AB638" i="5"/>
  <c r="AB645" i="5"/>
  <c r="V677" i="5"/>
  <c r="G677" i="5" s="1"/>
  <c r="R689" i="5"/>
  <c r="J689" i="5"/>
  <c r="G689" i="5"/>
  <c r="F689" i="5"/>
  <c r="E689" i="5"/>
  <c r="X689" i="5" s="1"/>
  <c r="I689" i="5"/>
  <c r="AB704" i="5"/>
  <c r="S704" i="5"/>
  <c r="V709" i="5"/>
  <c r="G709" i="5" s="1"/>
  <c r="AB728" i="5"/>
  <c r="T728" i="5"/>
  <c r="S728" i="5"/>
  <c r="V583" i="5"/>
  <c r="AB588" i="5"/>
  <c r="AB598" i="5"/>
  <c r="R612" i="5"/>
  <c r="AB614" i="5"/>
  <c r="R626" i="5"/>
  <c r="T626" i="5"/>
  <c r="R627" i="5"/>
  <c r="AB628" i="5"/>
  <c r="X640" i="5"/>
  <c r="R640" i="5"/>
  <c r="AB641" i="5"/>
  <c r="AB646" i="5"/>
  <c r="V646" i="5"/>
  <c r="AB665" i="5"/>
  <c r="I676" i="5"/>
  <c r="H676" i="5"/>
  <c r="F676" i="5"/>
  <c r="E676" i="5"/>
  <c r="X676" i="5" s="1"/>
  <c r="R676" i="5"/>
  <c r="J676" i="5"/>
  <c r="H689" i="5"/>
  <c r="G693" i="5"/>
  <c r="AB693" i="5"/>
  <c r="I708" i="5"/>
  <c r="H708" i="5"/>
  <c r="F708" i="5"/>
  <c r="E708" i="5"/>
  <c r="X708" i="5" s="1"/>
  <c r="R708" i="5"/>
  <c r="J708" i="5"/>
  <c r="V723" i="5"/>
  <c r="G728" i="5"/>
  <c r="G740" i="5"/>
  <c r="E746" i="5"/>
  <c r="X746" i="5" s="1"/>
  <c r="R746" i="5"/>
  <c r="J746" i="5"/>
  <c r="I746" i="5"/>
  <c r="H746" i="5"/>
  <c r="F746" i="5"/>
  <c r="T589" i="5"/>
  <c r="T596" i="5"/>
  <c r="AB599" i="5"/>
  <c r="V610" i="5"/>
  <c r="AB615" i="5"/>
  <c r="T621" i="5"/>
  <c r="V624" i="5"/>
  <c r="AB629" i="5"/>
  <c r="V637" i="5"/>
  <c r="AB642" i="5"/>
  <c r="X655" i="5"/>
  <c r="R655" i="5"/>
  <c r="T655" i="5"/>
  <c r="AB657" i="5"/>
  <c r="T657" i="5"/>
  <c r="AB658" i="5"/>
  <c r="V658" i="5"/>
  <c r="R669" i="5"/>
  <c r="T669" i="5"/>
  <c r="AB680" i="5"/>
  <c r="S680" i="5"/>
  <c r="R685" i="5"/>
  <c r="J685" i="5"/>
  <c r="I685" i="5"/>
  <c r="H685" i="5"/>
  <c r="F685" i="5"/>
  <c r="E685" i="5"/>
  <c r="X685" i="5" s="1"/>
  <c r="R697" i="5"/>
  <c r="J697" i="5"/>
  <c r="G697" i="5"/>
  <c r="F697" i="5"/>
  <c r="E697" i="5"/>
  <c r="X697" i="5" s="1"/>
  <c r="I697" i="5"/>
  <c r="AB712" i="5"/>
  <c r="S712" i="5"/>
  <c r="R717" i="5"/>
  <c r="J717" i="5"/>
  <c r="I717" i="5"/>
  <c r="H717" i="5"/>
  <c r="G717" i="5"/>
  <c r="F717" i="5"/>
  <c r="E717" i="5"/>
  <c r="X717" i="5" s="1"/>
  <c r="J728" i="5"/>
  <c r="I728" i="5"/>
  <c r="H728" i="5"/>
  <c r="R728" i="5"/>
  <c r="F728" i="5"/>
  <c r="E728" i="5"/>
  <c r="X728" i="5" s="1"/>
  <c r="E740" i="5"/>
  <c r="X740" i="5" s="1"/>
  <c r="J740" i="5"/>
  <c r="I740" i="5"/>
  <c r="H740" i="5"/>
  <c r="R740" i="5"/>
  <c r="F740" i="5"/>
  <c r="AB586" i="5"/>
  <c r="R590" i="5"/>
  <c r="AB594" i="5"/>
  <c r="R600" i="5"/>
  <c r="T600" i="5"/>
  <c r="X601" i="5"/>
  <c r="R601" i="5"/>
  <c r="R616" i="5"/>
  <c r="R621" i="5"/>
  <c r="R630" i="5"/>
  <c r="R634" i="5"/>
  <c r="AB652" i="5"/>
  <c r="AB661" i="5"/>
  <c r="I680" i="5"/>
  <c r="H680" i="5"/>
  <c r="R680" i="5"/>
  <c r="J680" i="5"/>
  <c r="G680" i="5"/>
  <c r="F680" i="5"/>
  <c r="E680" i="5"/>
  <c r="X680" i="5" s="1"/>
  <c r="I684" i="5"/>
  <c r="H684" i="5"/>
  <c r="F684" i="5"/>
  <c r="E684" i="5"/>
  <c r="X684" i="5" s="1"/>
  <c r="R684" i="5"/>
  <c r="J684" i="5"/>
  <c r="H697" i="5"/>
  <c r="G701" i="5"/>
  <c r="AB701" i="5"/>
  <c r="V724" i="5"/>
  <c r="T738" i="5"/>
  <c r="S738" i="5"/>
  <c r="AB738" i="5"/>
  <c r="T666" i="5"/>
  <c r="F674" i="5"/>
  <c r="S675" i="5"/>
  <c r="J678" i="5"/>
  <c r="F682" i="5"/>
  <c r="S683" i="5"/>
  <c r="J686" i="5"/>
  <c r="F690" i="5"/>
  <c r="S691" i="5"/>
  <c r="J694" i="5"/>
  <c r="F698" i="5"/>
  <c r="S699" i="5"/>
  <c r="J702" i="5"/>
  <c r="V704" i="5"/>
  <c r="G704" i="5" s="1"/>
  <c r="F706" i="5"/>
  <c r="S707" i="5"/>
  <c r="J710" i="5"/>
  <c r="V712" i="5"/>
  <c r="F714" i="5"/>
  <c r="S715" i="5"/>
  <c r="V727" i="5"/>
  <c r="AB731" i="5"/>
  <c r="AB732" i="5"/>
  <c r="V732" i="5"/>
  <c r="G732" i="5" s="1"/>
  <c r="T735" i="5"/>
  <c r="T736" i="5"/>
  <c r="S747" i="5"/>
  <c r="AB747" i="5"/>
  <c r="I748" i="5"/>
  <c r="E749" i="5"/>
  <c r="X749" i="5" s="1"/>
  <c r="J749" i="5"/>
  <c r="R749" i="5"/>
  <c r="I749" i="5"/>
  <c r="H749" i="5"/>
  <c r="E804" i="5"/>
  <c r="X804" i="5" s="1"/>
  <c r="R804" i="5"/>
  <c r="J804" i="5"/>
  <c r="H804" i="5"/>
  <c r="I804" i="5"/>
  <c r="G804" i="5"/>
  <c r="F804" i="5"/>
  <c r="G674" i="5"/>
  <c r="T675" i="5"/>
  <c r="G682" i="5"/>
  <c r="T683" i="5"/>
  <c r="G690" i="5"/>
  <c r="T691" i="5"/>
  <c r="G698" i="5"/>
  <c r="T699" i="5"/>
  <c r="G706" i="5"/>
  <c r="T707" i="5"/>
  <c r="G714" i="5"/>
  <c r="T715" i="5"/>
  <c r="R725" i="5"/>
  <c r="J725" i="5"/>
  <c r="V731" i="5"/>
  <c r="J736" i="5"/>
  <c r="I736" i="5"/>
  <c r="H736" i="5"/>
  <c r="T740" i="5"/>
  <c r="AB740" i="5"/>
  <c r="G741" i="5"/>
  <c r="R741" i="5"/>
  <c r="J741" i="5"/>
  <c r="V747" i="5"/>
  <c r="V755" i="5"/>
  <c r="G755" i="5" s="1"/>
  <c r="AB790" i="5"/>
  <c r="S790" i="5"/>
  <c r="T790" i="5"/>
  <c r="T793" i="5"/>
  <c r="S793" i="5"/>
  <c r="AB793" i="5"/>
  <c r="V663" i="5"/>
  <c r="V671" i="5"/>
  <c r="H674" i="5"/>
  <c r="V675" i="5"/>
  <c r="T678" i="5"/>
  <c r="S678" i="5"/>
  <c r="H682" i="5"/>
  <c r="V683" i="5"/>
  <c r="G683" i="5" s="1"/>
  <c r="T686" i="5"/>
  <c r="S686" i="5"/>
  <c r="H690" i="5"/>
  <c r="V691" i="5"/>
  <c r="G691" i="5" s="1"/>
  <c r="T694" i="5"/>
  <c r="S694" i="5"/>
  <c r="H698" i="5"/>
  <c r="V699" i="5"/>
  <c r="G699" i="5" s="1"/>
  <c r="T702" i="5"/>
  <c r="S702" i="5"/>
  <c r="H706" i="5"/>
  <c r="V707" i="5"/>
  <c r="G707" i="5" s="1"/>
  <c r="T710" i="5"/>
  <c r="S710" i="5"/>
  <c r="H714" i="5"/>
  <c r="V715" i="5"/>
  <c r="G715" i="5" s="1"/>
  <c r="T718" i="5"/>
  <c r="S718" i="5"/>
  <c r="E725" i="5"/>
  <c r="X725" i="5" s="1"/>
  <c r="R729" i="5"/>
  <c r="J729" i="5"/>
  <c r="V735" i="5"/>
  <c r="G735" i="5" s="1"/>
  <c r="S750" i="5"/>
  <c r="AB750" i="5"/>
  <c r="R752" i="5"/>
  <c r="H752" i="5"/>
  <c r="J752" i="5"/>
  <c r="I752" i="5"/>
  <c r="F752" i="5"/>
  <c r="AB778" i="5"/>
  <c r="S778" i="5"/>
  <c r="T778" i="5"/>
  <c r="AB664" i="5"/>
  <c r="AB672" i="5"/>
  <c r="I674" i="5"/>
  <c r="AB676" i="5"/>
  <c r="T676" i="5"/>
  <c r="I682" i="5"/>
  <c r="AB684" i="5"/>
  <c r="T684" i="5"/>
  <c r="I690" i="5"/>
  <c r="AB692" i="5"/>
  <c r="T692" i="5"/>
  <c r="I698" i="5"/>
  <c r="AB700" i="5"/>
  <c r="T700" i="5"/>
  <c r="I706" i="5"/>
  <c r="AB708" i="5"/>
  <c r="T708" i="5"/>
  <c r="I714" i="5"/>
  <c r="AB716" i="5"/>
  <c r="T716" i="5"/>
  <c r="S719" i="5"/>
  <c r="S720" i="5"/>
  <c r="T722" i="5"/>
  <c r="S722" i="5"/>
  <c r="F725" i="5"/>
  <c r="E729" i="5"/>
  <c r="X729" i="5" s="1"/>
  <c r="R733" i="5"/>
  <c r="J733" i="5"/>
  <c r="E736" i="5"/>
  <c r="X736" i="5" s="1"/>
  <c r="V739" i="5"/>
  <c r="E741" i="5"/>
  <c r="X741" i="5" s="1"/>
  <c r="S742" i="5"/>
  <c r="AB742" i="5"/>
  <c r="G744" i="5"/>
  <c r="T747" i="5"/>
  <c r="E752" i="5"/>
  <c r="X752" i="5" s="1"/>
  <c r="V644" i="5"/>
  <c r="V648" i="5"/>
  <c r="V652" i="5"/>
  <c r="V656" i="5"/>
  <c r="V660" i="5"/>
  <c r="AB666" i="5"/>
  <c r="T670" i="5"/>
  <c r="J674" i="5"/>
  <c r="F678" i="5"/>
  <c r="AB678" i="5"/>
  <c r="S679" i="5"/>
  <c r="J682" i="5"/>
  <c r="F686" i="5"/>
  <c r="AB686" i="5"/>
  <c r="S687" i="5"/>
  <c r="J690" i="5"/>
  <c r="F694" i="5"/>
  <c r="AB694" i="5"/>
  <c r="S695" i="5"/>
  <c r="J698" i="5"/>
  <c r="F702" i="5"/>
  <c r="AB702" i="5"/>
  <c r="S703" i="5"/>
  <c r="J706" i="5"/>
  <c r="F710" i="5"/>
  <c r="AB710" i="5"/>
  <c r="S711" i="5"/>
  <c r="J714" i="5"/>
  <c r="AB718" i="5"/>
  <c r="S723" i="5"/>
  <c r="S724" i="5"/>
  <c r="G725" i="5"/>
  <c r="T726" i="5"/>
  <c r="S726" i="5"/>
  <c r="F729" i="5"/>
  <c r="F736" i="5"/>
  <c r="F741" i="5"/>
  <c r="T749" i="5"/>
  <c r="S749" i="5"/>
  <c r="R756" i="5"/>
  <c r="H756" i="5"/>
  <c r="I756" i="5"/>
  <c r="G756" i="5"/>
  <c r="F756" i="5"/>
  <c r="E756" i="5"/>
  <c r="X756" i="5" s="1"/>
  <c r="AB806" i="5"/>
  <c r="S806" i="5"/>
  <c r="T806" i="5"/>
  <c r="S840" i="5"/>
  <c r="AB840" i="5"/>
  <c r="T840" i="5"/>
  <c r="R670" i="5"/>
  <c r="R674" i="5"/>
  <c r="G678" i="5"/>
  <c r="R682" i="5"/>
  <c r="G686" i="5"/>
  <c r="R690" i="5"/>
  <c r="G694" i="5"/>
  <c r="R698" i="5"/>
  <c r="G702" i="5"/>
  <c r="R706" i="5"/>
  <c r="G710" i="5"/>
  <c r="R714" i="5"/>
  <c r="AB719" i="5"/>
  <c r="AB720" i="5"/>
  <c r="V720" i="5"/>
  <c r="H725" i="5"/>
  <c r="G729" i="5"/>
  <c r="T730" i="5"/>
  <c r="S730" i="5"/>
  <c r="H741" i="5"/>
  <c r="S758" i="5"/>
  <c r="AB758" i="5"/>
  <c r="R760" i="5"/>
  <c r="H760" i="5"/>
  <c r="J760" i="5"/>
  <c r="I760" i="5"/>
  <c r="F760" i="5"/>
  <c r="V773" i="5"/>
  <c r="G773" i="5" s="1"/>
  <c r="V667" i="5"/>
  <c r="AB667" i="5"/>
  <c r="T674" i="5"/>
  <c r="S674" i="5"/>
  <c r="V679" i="5"/>
  <c r="G679" i="5" s="1"/>
  <c r="AB679" i="5"/>
  <c r="T682" i="5"/>
  <c r="S682" i="5"/>
  <c r="V687" i="5"/>
  <c r="G687" i="5" s="1"/>
  <c r="AB687" i="5"/>
  <c r="T690" i="5"/>
  <c r="S690" i="5"/>
  <c r="V695" i="5"/>
  <c r="G695" i="5" s="1"/>
  <c r="AB695" i="5"/>
  <c r="T698" i="5"/>
  <c r="S698" i="5"/>
  <c r="V703" i="5"/>
  <c r="G703" i="5" s="1"/>
  <c r="AB703" i="5"/>
  <c r="T706" i="5"/>
  <c r="S706" i="5"/>
  <c r="V711" i="5"/>
  <c r="G711" i="5" s="1"/>
  <c r="AB711" i="5"/>
  <c r="T714" i="5"/>
  <c r="S714" i="5"/>
  <c r="V719" i="5"/>
  <c r="G719" i="5" s="1"/>
  <c r="AB723" i="5"/>
  <c r="AB724" i="5"/>
  <c r="I725" i="5"/>
  <c r="T734" i="5"/>
  <c r="S734" i="5"/>
  <c r="R736" i="5"/>
  <c r="S740" i="5"/>
  <c r="I741" i="5"/>
  <c r="R748" i="5"/>
  <c r="H748" i="5"/>
  <c r="G748" i="5"/>
  <c r="E748" i="5"/>
  <c r="X748" i="5" s="1"/>
  <c r="AB762" i="5"/>
  <c r="S762" i="5"/>
  <c r="T762" i="5"/>
  <c r="V753" i="5"/>
  <c r="I754" i="5"/>
  <c r="AB755" i="5"/>
  <c r="H757" i="5"/>
  <c r="R763" i="5"/>
  <c r="J763" i="5"/>
  <c r="I763" i="5"/>
  <c r="F763" i="5"/>
  <c r="AB765" i="5"/>
  <c r="I766" i="5"/>
  <c r="H766" i="5"/>
  <c r="X767" i="5"/>
  <c r="I772" i="5"/>
  <c r="F774" i="5"/>
  <c r="G775" i="5"/>
  <c r="F776" i="5"/>
  <c r="R779" i="5"/>
  <c r="J779" i="5"/>
  <c r="I779" i="5"/>
  <c r="F779" i="5"/>
  <c r="AB781" i="5"/>
  <c r="I782" i="5"/>
  <c r="H782" i="5"/>
  <c r="AB791" i="5"/>
  <c r="V791" i="5"/>
  <c r="H813" i="5"/>
  <c r="R813" i="5"/>
  <c r="J813" i="5"/>
  <c r="I813" i="5"/>
  <c r="G813" i="5"/>
  <c r="E813" i="5"/>
  <c r="X813" i="5" s="1"/>
  <c r="H821" i="5"/>
  <c r="R821" i="5"/>
  <c r="J821" i="5"/>
  <c r="I821" i="5"/>
  <c r="G821" i="5"/>
  <c r="F821" i="5"/>
  <c r="E821" i="5"/>
  <c r="X821" i="5" s="1"/>
  <c r="S913" i="5"/>
  <c r="AB913" i="5"/>
  <c r="T913" i="5"/>
  <c r="S743" i="5"/>
  <c r="AB748" i="5"/>
  <c r="S751" i="5"/>
  <c r="G752" i="5"/>
  <c r="J754" i="5"/>
  <c r="AB756" i="5"/>
  <c r="I757" i="5"/>
  <c r="S759" i="5"/>
  <c r="G760" i="5"/>
  <c r="V761" i="5"/>
  <c r="G761" i="5" s="1"/>
  <c r="E762" i="5"/>
  <c r="X762" i="5" s="1"/>
  <c r="AB766" i="5"/>
  <c r="S766" i="5"/>
  <c r="AB767" i="5"/>
  <c r="S769" i="5"/>
  <c r="J774" i="5"/>
  <c r="G776" i="5"/>
  <c r="V777" i="5"/>
  <c r="G777" i="5" s="1"/>
  <c r="E778" i="5"/>
  <c r="X778" i="5" s="1"/>
  <c r="AB782" i="5"/>
  <c r="S782" i="5"/>
  <c r="AB783" i="5"/>
  <c r="E784" i="5"/>
  <c r="X784" i="5" s="1"/>
  <c r="R784" i="5"/>
  <c r="J784" i="5"/>
  <c r="H784" i="5"/>
  <c r="AB786" i="5"/>
  <c r="S786" i="5"/>
  <c r="T789" i="5"/>
  <c r="S789" i="5"/>
  <c r="AB802" i="5"/>
  <c r="S802" i="5"/>
  <c r="T805" i="5"/>
  <c r="S805" i="5"/>
  <c r="AB814" i="5"/>
  <c r="S814" i="5"/>
  <c r="I857" i="5"/>
  <c r="H857" i="5"/>
  <c r="G857" i="5"/>
  <c r="R857" i="5"/>
  <c r="J857" i="5"/>
  <c r="F857" i="5"/>
  <c r="E857" i="5"/>
  <c r="X857" i="5" s="1"/>
  <c r="R754" i="5"/>
  <c r="F762" i="5"/>
  <c r="R767" i="5"/>
  <c r="J767" i="5"/>
  <c r="I767" i="5"/>
  <c r="F767" i="5"/>
  <c r="AB769" i="5"/>
  <c r="I770" i="5"/>
  <c r="H770" i="5"/>
  <c r="I776" i="5"/>
  <c r="F778" i="5"/>
  <c r="AB787" i="5"/>
  <c r="V787" i="5"/>
  <c r="AB803" i="5"/>
  <c r="V803" i="5"/>
  <c r="S832" i="5"/>
  <c r="AB832" i="5"/>
  <c r="I853" i="5"/>
  <c r="H853" i="5"/>
  <c r="G853" i="5"/>
  <c r="R853" i="5"/>
  <c r="J853" i="5"/>
  <c r="F853" i="5"/>
  <c r="E853" i="5"/>
  <c r="X853" i="5" s="1"/>
  <c r="E855" i="5"/>
  <c r="X855" i="5" s="1"/>
  <c r="R855" i="5"/>
  <c r="H855" i="5"/>
  <c r="J855" i="5"/>
  <c r="I855" i="5"/>
  <c r="G855" i="5"/>
  <c r="F855" i="5"/>
  <c r="AB878" i="5"/>
  <c r="V878" i="5"/>
  <c r="E960" i="5"/>
  <c r="X960" i="5" s="1"/>
  <c r="R960" i="5"/>
  <c r="I960" i="5"/>
  <c r="H960" i="5"/>
  <c r="J960" i="5"/>
  <c r="G960" i="5"/>
  <c r="F960" i="5"/>
  <c r="I743" i="5"/>
  <c r="F743" i="5"/>
  <c r="T746" i="5"/>
  <c r="I751" i="5"/>
  <c r="F751" i="5"/>
  <c r="X751" i="5"/>
  <c r="T754" i="5"/>
  <c r="S757" i="5"/>
  <c r="I759" i="5"/>
  <c r="F759" i="5"/>
  <c r="J762" i="5"/>
  <c r="V765" i="5"/>
  <c r="AB770" i="5"/>
  <c r="S770" i="5"/>
  <c r="AB771" i="5"/>
  <c r="S773" i="5"/>
  <c r="J778" i="5"/>
  <c r="V781" i="5"/>
  <c r="T785" i="5"/>
  <c r="S785" i="5"/>
  <c r="E796" i="5"/>
  <c r="X796" i="5" s="1"/>
  <c r="R796" i="5"/>
  <c r="J796" i="5"/>
  <c r="H796" i="5"/>
  <c r="AB798" i="5"/>
  <c r="S798" i="5"/>
  <c r="T801" i="5"/>
  <c r="S801" i="5"/>
  <c r="V810" i="5"/>
  <c r="G810" i="5" s="1"/>
  <c r="T816" i="5"/>
  <c r="H837" i="5"/>
  <c r="R837" i="5"/>
  <c r="J837" i="5"/>
  <c r="I837" i="5"/>
  <c r="G837" i="5"/>
  <c r="F837" i="5"/>
  <c r="E837" i="5"/>
  <c r="X837" i="5" s="1"/>
  <c r="I849" i="5"/>
  <c r="H849" i="5"/>
  <c r="G849" i="5"/>
  <c r="R849" i="5"/>
  <c r="J849" i="5"/>
  <c r="F849" i="5"/>
  <c r="E849" i="5"/>
  <c r="X849" i="5" s="1"/>
  <c r="E851" i="5"/>
  <c r="X851" i="5" s="1"/>
  <c r="R851" i="5"/>
  <c r="H851" i="5"/>
  <c r="J851" i="5"/>
  <c r="I851" i="5"/>
  <c r="G851" i="5"/>
  <c r="F851" i="5"/>
  <c r="E757" i="5"/>
  <c r="X757" i="5" s="1"/>
  <c r="J757" i="5"/>
  <c r="E772" i="5"/>
  <c r="X772" i="5" s="1"/>
  <c r="R772" i="5"/>
  <c r="H772" i="5"/>
  <c r="AB773" i="5"/>
  <c r="I774" i="5"/>
  <c r="H774" i="5"/>
  <c r="AB799" i="5"/>
  <c r="V799" i="5"/>
  <c r="AB813" i="5"/>
  <c r="S813" i="5"/>
  <c r="S824" i="5"/>
  <c r="AB824" i="5"/>
  <c r="E847" i="5"/>
  <c r="X847" i="5" s="1"/>
  <c r="R847" i="5"/>
  <c r="H847" i="5"/>
  <c r="J847" i="5"/>
  <c r="I847" i="5"/>
  <c r="G847" i="5"/>
  <c r="F847" i="5"/>
  <c r="AB870" i="5"/>
  <c r="V870" i="5"/>
  <c r="G743" i="5"/>
  <c r="AB744" i="5"/>
  <c r="AB746" i="5"/>
  <c r="G751" i="5"/>
  <c r="AB752" i="5"/>
  <c r="AB754" i="5"/>
  <c r="S755" i="5"/>
  <c r="G759" i="5"/>
  <c r="AB760" i="5"/>
  <c r="V769" i="5"/>
  <c r="AB774" i="5"/>
  <c r="S774" i="5"/>
  <c r="AB775" i="5"/>
  <c r="AB794" i="5"/>
  <c r="S794" i="5"/>
  <c r="T797" i="5"/>
  <c r="S797" i="5"/>
  <c r="H811" i="5"/>
  <c r="I811" i="5"/>
  <c r="G811" i="5"/>
  <c r="F811" i="5"/>
  <c r="E811" i="5"/>
  <c r="X811" i="5" s="1"/>
  <c r="G888" i="5"/>
  <c r="F888" i="5"/>
  <c r="E888" i="5"/>
  <c r="X888" i="5" s="1"/>
  <c r="R888" i="5"/>
  <c r="J888" i="5"/>
  <c r="I888" i="5"/>
  <c r="H888" i="5"/>
  <c r="AB757" i="5"/>
  <c r="I762" i="5"/>
  <c r="H762" i="5"/>
  <c r="R775" i="5"/>
  <c r="J775" i="5"/>
  <c r="I775" i="5"/>
  <c r="F775" i="5"/>
  <c r="E776" i="5"/>
  <c r="X776" i="5" s="1"/>
  <c r="R776" i="5"/>
  <c r="H776" i="5"/>
  <c r="I778" i="5"/>
  <c r="H778" i="5"/>
  <c r="AB795" i="5"/>
  <c r="V795" i="5"/>
  <c r="H829" i="5"/>
  <c r="R829" i="5"/>
  <c r="J829" i="5"/>
  <c r="I829" i="5"/>
  <c r="G829" i="5"/>
  <c r="F829" i="5"/>
  <c r="E829" i="5"/>
  <c r="X829" i="5" s="1"/>
  <c r="AB862" i="5"/>
  <c r="V862" i="5"/>
  <c r="V937" i="5"/>
  <c r="G937" i="5" s="1"/>
  <c r="AB937" i="5"/>
  <c r="G807" i="5"/>
  <c r="F808" i="5"/>
  <c r="J808" i="5"/>
  <c r="S811" i="5"/>
  <c r="AB811" i="5"/>
  <c r="T811" i="5"/>
  <c r="G815" i="5"/>
  <c r="F816" i="5"/>
  <c r="J816" i="5"/>
  <c r="G818" i="5"/>
  <c r="S819" i="5"/>
  <c r="AB819" i="5"/>
  <c r="T819" i="5"/>
  <c r="S822" i="5"/>
  <c r="G823" i="5"/>
  <c r="F824" i="5"/>
  <c r="J824" i="5"/>
  <c r="G826" i="5"/>
  <c r="S827" i="5"/>
  <c r="AB827" i="5"/>
  <c r="T827" i="5"/>
  <c r="S830" i="5"/>
  <c r="G831" i="5"/>
  <c r="F832" i="5"/>
  <c r="J832" i="5"/>
  <c r="X832" i="5"/>
  <c r="S835" i="5"/>
  <c r="AB835" i="5"/>
  <c r="T835" i="5"/>
  <c r="S838" i="5"/>
  <c r="G839" i="5"/>
  <c r="G842" i="5"/>
  <c r="S843" i="5"/>
  <c r="AB843" i="5"/>
  <c r="T843" i="5"/>
  <c r="R846" i="5"/>
  <c r="J846" i="5"/>
  <c r="F846" i="5"/>
  <c r="AB846" i="5"/>
  <c r="AB849" i="5"/>
  <c r="S849" i="5"/>
  <c r="AB850" i="5"/>
  <c r="AB853" i="5"/>
  <c r="S853" i="5"/>
  <c r="AB854" i="5"/>
  <c r="AB857" i="5"/>
  <c r="S857" i="5"/>
  <c r="AB858" i="5"/>
  <c r="T860" i="5"/>
  <c r="S860" i="5"/>
  <c r="T868" i="5"/>
  <c r="S868" i="5"/>
  <c r="T876" i="5"/>
  <c r="S876" i="5"/>
  <c r="T884" i="5"/>
  <c r="S884" i="5"/>
  <c r="AB886" i="5"/>
  <c r="G892" i="5"/>
  <c r="F892" i="5"/>
  <c r="E892" i="5"/>
  <c r="X892" i="5" s="1"/>
  <c r="R892" i="5"/>
  <c r="J892" i="5"/>
  <c r="V927" i="5"/>
  <c r="G927" i="5" s="1"/>
  <c r="AB927" i="5"/>
  <c r="V957" i="5"/>
  <c r="G957" i="5" s="1"/>
  <c r="AB957" i="5"/>
  <c r="R967" i="5"/>
  <c r="I967" i="5"/>
  <c r="H967" i="5"/>
  <c r="J967" i="5"/>
  <c r="F967" i="5"/>
  <c r="E967" i="5"/>
  <c r="X967" i="5" s="1"/>
  <c r="T822" i="5"/>
  <c r="T830" i="5"/>
  <c r="T838" i="5"/>
  <c r="R850" i="5"/>
  <c r="J850" i="5"/>
  <c r="I850" i="5"/>
  <c r="F850" i="5"/>
  <c r="R854" i="5"/>
  <c r="J854" i="5"/>
  <c r="I854" i="5"/>
  <c r="F854" i="5"/>
  <c r="R858" i="5"/>
  <c r="J858" i="5"/>
  <c r="I858" i="5"/>
  <c r="F858" i="5"/>
  <c r="R886" i="5"/>
  <c r="J886" i="5"/>
  <c r="I886" i="5"/>
  <c r="H886" i="5"/>
  <c r="F886" i="5"/>
  <c r="H896" i="5"/>
  <c r="G896" i="5"/>
  <c r="F896" i="5"/>
  <c r="E896" i="5"/>
  <c r="X896" i="5" s="1"/>
  <c r="R896" i="5"/>
  <c r="J896" i="5"/>
  <c r="R910" i="5"/>
  <c r="J910" i="5"/>
  <c r="I910" i="5"/>
  <c r="H910" i="5"/>
  <c r="G910" i="5"/>
  <c r="F910" i="5"/>
  <c r="V933" i="5"/>
  <c r="G933" i="5" s="1"/>
  <c r="AB933" i="5"/>
  <c r="AB809" i="5"/>
  <c r="S809" i="5"/>
  <c r="T809" i="5"/>
  <c r="J814" i="5"/>
  <c r="F814" i="5"/>
  <c r="AB817" i="5"/>
  <c r="S817" i="5"/>
  <c r="T817" i="5"/>
  <c r="I818" i="5"/>
  <c r="E819" i="5"/>
  <c r="X819" i="5" s="1"/>
  <c r="J822" i="5"/>
  <c r="F822" i="5"/>
  <c r="AB825" i="5"/>
  <c r="S825" i="5"/>
  <c r="T825" i="5"/>
  <c r="I826" i="5"/>
  <c r="E827" i="5"/>
  <c r="X827" i="5" s="1"/>
  <c r="J830" i="5"/>
  <c r="F830" i="5"/>
  <c r="AB833" i="5"/>
  <c r="S833" i="5"/>
  <c r="T833" i="5"/>
  <c r="E835" i="5"/>
  <c r="X835" i="5" s="1"/>
  <c r="J838" i="5"/>
  <c r="F838" i="5"/>
  <c r="AB841" i="5"/>
  <c r="S841" i="5"/>
  <c r="T841" i="5"/>
  <c r="I842" i="5"/>
  <c r="E843" i="5"/>
  <c r="X843" i="5" s="1"/>
  <c r="V848" i="5"/>
  <c r="E850" i="5"/>
  <c r="X850" i="5" s="1"/>
  <c r="V852" i="5"/>
  <c r="E854" i="5"/>
  <c r="X854" i="5" s="1"/>
  <c r="V856" i="5"/>
  <c r="G856" i="5" s="1"/>
  <c r="E858" i="5"/>
  <c r="X858" i="5" s="1"/>
  <c r="E863" i="5"/>
  <c r="X863" i="5" s="1"/>
  <c r="R863" i="5"/>
  <c r="J863" i="5"/>
  <c r="H863" i="5"/>
  <c r="AB865" i="5"/>
  <c r="S865" i="5"/>
  <c r="E871" i="5"/>
  <c r="X871" i="5" s="1"/>
  <c r="R871" i="5"/>
  <c r="J871" i="5"/>
  <c r="H871" i="5"/>
  <c r="AB873" i="5"/>
  <c r="S873" i="5"/>
  <c r="E879" i="5"/>
  <c r="X879" i="5" s="1"/>
  <c r="R879" i="5"/>
  <c r="J879" i="5"/>
  <c r="H879" i="5"/>
  <c r="AB881" i="5"/>
  <c r="S881" i="5"/>
  <c r="E886" i="5"/>
  <c r="X886" i="5" s="1"/>
  <c r="I896" i="5"/>
  <c r="H900" i="5"/>
  <c r="G900" i="5"/>
  <c r="F900" i="5"/>
  <c r="E900" i="5"/>
  <c r="X900" i="5" s="1"/>
  <c r="R900" i="5"/>
  <c r="J900" i="5"/>
  <c r="H904" i="5"/>
  <c r="G904" i="5"/>
  <c r="F904" i="5"/>
  <c r="E904" i="5"/>
  <c r="X904" i="5" s="1"/>
  <c r="R904" i="5"/>
  <c r="J904" i="5"/>
  <c r="H908" i="5"/>
  <c r="G908" i="5"/>
  <c r="F908" i="5"/>
  <c r="E908" i="5"/>
  <c r="X908" i="5" s="1"/>
  <c r="R908" i="5"/>
  <c r="J908" i="5"/>
  <c r="AB1001" i="5"/>
  <c r="S1001" i="5"/>
  <c r="T1001" i="5"/>
  <c r="G742" i="5"/>
  <c r="G746" i="5"/>
  <c r="G750" i="5"/>
  <c r="G754" i="5"/>
  <c r="G758" i="5"/>
  <c r="G762" i="5"/>
  <c r="G766" i="5"/>
  <c r="G770" i="5"/>
  <c r="G774" i="5"/>
  <c r="G778" i="5"/>
  <c r="G782" i="5"/>
  <c r="G786" i="5"/>
  <c r="G790" i="5"/>
  <c r="G794" i="5"/>
  <c r="G798" i="5"/>
  <c r="G802" i="5"/>
  <c r="G806" i="5"/>
  <c r="R807" i="5"/>
  <c r="H808" i="5"/>
  <c r="E814" i="5"/>
  <c r="X814" i="5" s="1"/>
  <c r="R815" i="5"/>
  <c r="H816" i="5"/>
  <c r="F819" i="5"/>
  <c r="E822" i="5"/>
  <c r="X822" i="5" s="1"/>
  <c r="R823" i="5"/>
  <c r="H824" i="5"/>
  <c r="F827" i="5"/>
  <c r="E830" i="5"/>
  <c r="X830" i="5" s="1"/>
  <c r="R831" i="5"/>
  <c r="H832" i="5"/>
  <c r="F835" i="5"/>
  <c r="E838" i="5"/>
  <c r="X838" i="5" s="1"/>
  <c r="R839" i="5"/>
  <c r="F843" i="5"/>
  <c r="H846" i="5"/>
  <c r="G850" i="5"/>
  <c r="G854" i="5"/>
  <c r="G858" i="5"/>
  <c r="F859" i="5"/>
  <c r="AB866" i="5"/>
  <c r="V866" i="5"/>
  <c r="F867" i="5"/>
  <c r="AB874" i="5"/>
  <c r="V874" i="5"/>
  <c r="F875" i="5"/>
  <c r="R882" i="5"/>
  <c r="J882" i="5"/>
  <c r="I882" i="5"/>
  <c r="H882" i="5"/>
  <c r="F882" i="5"/>
  <c r="F883" i="5"/>
  <c r="G886" i="5"/>
  <c r="AB889" i="5"/>
  <c r="T889" i="5"/>
  <c r="S889" i="5"/>
  <c r="I900" i="5"/>
  <c r="I904" i="5"/>
  <c r="I908" i="5"/>
  <c r="V929" i="5"/>
  <c r="G929" i="5" s="1"/>
  <c r="AB929" i="5"/>
  <c r="V785" i="5"/>
  <c r="G785" i="5" s="1"/>
  <c r="H786" i="5"/>
  <c r="V789" i="5"/>
  <c r="G789" i="5" s="1"/>
  <c r="H790" i="5"/>
  <c r="V793" i="5"/>
  <c r="H794" i="5"/>
  <c r="V797" i="5"/>
  <c r="G797" i="5" s="1"/>
  <c r="H798" i="5"/>
  <c r="V801" i="5"/>
  <c r="G801" i="5" s="1"/>
  <c r="H802" i="5"/>
  <c r="V805" i="5"/>
  <c r="S807" i="5"/>
  <c r="AB807" i="5"/>
  <c r="T807" i="5"/>
  <c r="G814" i="5"/>
  <c r="S815" i="5"/>
  <c r="AB815" i="5"/>
  <c r="T815" i="5"/>
  <c r="G819" i="5"/>
  <c r="G822" i="5"/>
  <c r="S823" i="5"/>
  <c r="AB823" i="5"/>
  <c r="T823" i="5"/>
  <c r="G827" i="5"/>
  <c r="F828" i="5"/>
  <c r="J828" i="5"/>
  <c r="G830" i="5"/>
  <c r="S831" i="5"/>
  <c r="AB831" i="5"/>
  <c r="T831" i="5"/>
  <c r="S834" i="5"/>
  <c r="G835" i="5"/>
  <c r="G838" i="5"/>
  <c r="S839" i="5"/>
  <c r="AB839" i="5"/>
  <c r="T839" i="5"/>
  <c r="S842" i="5"/>
  <c r="G843" i="5"/>
  <c r="V844" i="5"/>
  <c r="AB844" i="5"/>
  <c r="H850" i="5"/>
  <c r="H854" i="5"/>
  <c r="H858" i="5"/>
  <c r="G859" i="5"/>
  <c r="T864" i="5"/>
  <c r="S864" i="5"/>
  <c r="G867" i="5"/>
  <c r="T872" i="5"/>
  <c r="S872" i="5"/>
  <c r="G875" i="5"/>
  <c r="T880" i="5"/>
  <c r="S880" i="5"/>
  <c r="G883" i="5"/>
  <c r="E887" i="5"/>
  <c r="X887" i="5" s="1"/>
  <c r="R887" i="5"/>
  <c r="J887" i="5"/>
  <c r="H887" i="5"/>
  <c r="AB893" i="5"/>
  <c r="T893" i="5"/>
  <c r="S893" i="5"/>
  <c r="AB897" i="5"/>
  <c r="T897" i="5"/>
  <c r="S897" i="5"/>
  <c r="AB901" i="5"/>
  <c r="T901" i="5"/>
  <c r="S901" i="5"/>
  <c r="AB905" i="5"/>
  <c r="T905" i="5"/>
  <c r="S905" i="5"/>
  <c r="AB909" i="5"/>
  <c r="T909" i="5"/>
  <c r="S909" i="5"/>
  <c r="S921" i="5"/>
  <c r="AB921" i="5"/>
  <c r="V935" i="5"/>
  <c r="AB935" i="5"/>
  <c r="I954" i="5"/>
  <c r="H954" i="5"/>
  <c r="G954" i="5"/>
  <c r="E954" i="5"/>
  <c r="X954" i="5" s="1"/>
  <c r="R954" i="5"/>
  <c r="J954" i="5"/>
  <c r="F954" i="5"/>
  <c r="T962" i="5"/>
  <c r="AB962" i="5"/>
  <c r="S962" i="5"/>
  <c r="AB812" i="5"/>
  <c r="H814" i="5"/>
  <c r="I819" i="5"/>
  <c r="AB820" i="5"/>
  <c r="H822" i="5"/>
  <c r="I827" i="5"/>
  <c r="E828" i="5"/>
  <c r="X828" i="5" s="1"/>
  <c r="AB828" i="5"/>
  <c r="H830" i="5"/>
  <c r="I835" i="5"/>
  <c r="AB836" i="5"/>
  <c r="H838" i="5"/>
  <c r="I843" i="5"/>
  <c r="AB845" i="5"/>
  <c r="S845" i="5"/>
  <c r="V890" i="5"/>
  <c r="G890" i="5" s="1"/>
  <c r="E891" i="5"/>
  <c r="X891" i="5" s="1"/>
  <c r="R891" i="5"/>
  <c r="J891" i="5"/>
  <c r="I891" i="5"/>
  <c r="H891" i="5"/>
  <c r="V925" i="5"/>
  <c r="G925" i="5" s="1"/>
  <c r="AB925" i="5"/>
  <c r="I968" i="5"/>
  <c r="H968" i="5"/>
  <c r="F968" i="5"/>
  <c r="R968" i="5"/>
  <c r="J968" i="5"/>
  <c r="E968" i="5"/>
  <c r="X968" i="5" s="1"/>
  <c r="J818" i="5"/>
  <c r="F818" i="5"/>
  <c r="J819" i="5"/>
  <c r="AB821" i="5"/>
  <c r="S821" i="5"/>
  <c r="T821" i="5"/>
  <c r="J826" i="5"/>
  <c r="F826" i="5"/>
  <c r="J827" i="5"/>
  <c r="AB829" i="5"/>
  <c r="S829" i="5"/>
  <c r="T829" i="5"/>
  <c r="J835" i="5"/>
  <c r="AB837" i="5"/>
  <c r="S837" i="5"/>
  <c r="T837" i="5"/>
  <c r="J842" i="5"/>
  <c r="F842" i="5"/>
  <c r="J843" i="5"/>
  <c r="S848" i="5"/>
  <c r="S852" i="5"/>
  <c r="S856" i="5"/>
  <c r="E859" i="5"/>
  <c r="X859" i="5" s="1"/>
  <c r="R859" i="5"/>
  <c r="J859" i="5"/>
  <c r="H859" i="5"/>
  <c r="AB861" i="5"/>
  <c r="S861" i="5"/>
  <c r="E867" i="5"/>
  <c r="X867" i="5" s="1"/>
  <c r="R867" i="5"/>
  <c r="J867" i="5"/>
  <c r="H867" i="5"/>
  <c r="AB869" i="5"/>
  <c r="S869" i="5"/>
  <c r="E875" i="5"/>
  <c r="X875" i="5" s="1"/>
  <c r="R875" i="5"/>
  <c r="J875" i="5"/>
  <c r="H875" i="5"/>
  <c r="AB877" i="5"/>
  <c r="S877" i="5"/>
  <c r="E883" i="5"/>
  <c r="X883" i="5" s="1"/>
  <c r="R883" i="5"/>
  <c r="J883" i="5"/>
  <c r="H883" i="5"/>
  <c r="AB885" i="5"/>
  <c r="S885" i="5"/>
  <c r="T885" i="5"/>
  <c r="T888" i="5"/>
  <c r="S888" i="5"/>
  <c r="R906" i="5"/>
  <c r="J906" i="5"/>
  <c r="I906" i="5"/>
  <c r="H906" i="5"/>
  <c r="G906" i="5"/>
  <c r="F906" i="5"/>
  <c r="X910" i="5"/>
  <c r="H918" i="5"/>
  <c r="R918" i="5"/>
  <c r="J918" i="5"/>
  <c r="I918" i="5"/>
  <c r="G918" i="5"/>
  <c r="F918" i="5"/>
  <c r="E918" i="5"/>
  <c r="X918" i="5" s="1"/>
  <c r="V931" i="5"/>
  <c r="AB931" i="5"/>
  <c r="AB950" i="5"/>
  <c r="T950" i="5"/>
  <c r="S950" i="5"/>
  <c r="AB847" i="5"/>
  <c r="AB851" i="5"/>
  <c r="AB855" i="5"/>
  <c r="AB859" i="5"/>
  <c r="AB863" i="5"/>
  <c r="AB867" i="5"/>
  <c r="AB871" i="5"/>
  <c r="AB875" i="5"/>
  <c r="AB879" i="5"/>
  <c r="AB883" i="5"/>
  <c r="AB887" i="5"/>
  <c r="AB891" i="5"/>
  <c r="V894" i="5"/>
  <c r="G894" i="5" s="1"/>
  <c r="AB895" i="5"/>
  <c r="V898" i="5"/>
  <c r="G898" i="5" s="1"/>
  <c r="H899" i="5"/>
  <c r="AB899" i="5"/>
  <c r="V902" i="5"/>
  <c r="AB903" i="5"/>
  <c r="H907" i="5"/>
  <c r="AB907" i="5"/>
  <c r="S911" i="5"/>
  <c r="G912" i="5"/>
  <c r="G915" i="5"/>
  <c r="S916" i="5"/>
  <c r="AB916" i="5"/>
  <c r="T916" i="5"/>
  <c r="S919" i="5"/>
  <c r="G920" i="5"/>
  <c r="F938" i="5"/>
  <c r="E940" i="5"/>
  <c r="X940" i="5" s="1"/>
  <c r="R940" i="5"/>
  <c r="I940" i="5"/>
  <c r="H940" i="5"/>
  <c r="V943" i="5"/>
  <c r="G943" i="5" s="1"/>
  <c r="G962" i="5"/>
  <c r="AB970" i="5"/>
  <c r="V970" i="5"/>
  <c r="G970" i="5" s="1"/>
  <c r="H1006" i="5"/>
  <c r="I1006" i="5"/>
  <c r="G1006" i="5"/>
  <c r="F1006" i="5"/>
  <c r="E1006" i="5"/>
  <c r="X1006" i="5" s="1"/>
  <c r="R1006" i="5"/>
  <c r="J1006" i="5"/>
  <c r="H1024" i="5"/>
  <c r="R1024" i="5"/>
  <c r="J1024" i="5"/>
  <c r="I1024" i="5"/>
  <c r="G1024" i="5"/>
  <c r="E1024" i="5"/>
  <c r="X1024" i="5" s="1"/>
  <c r="F1024" i="5"/>
  <c r="R1143" i="5"/>
  <c r="J1143" i="5"/>
  <c r="I1143" i="5"/>
  <c r="H1143" i="5"/>
  <c r="F1143" i="5"/>
  <c r="E1143" i="5"/>
  <c r="X1143" i="5" s="1"/>
  <c r="V1147" i="5"/>
  <c r="G1147" i="5" s="1"/>
  <c r="T911" i="5"/>
  <c r="T919" i="5"/>
  <c r="AB942" i="5"/>
  <c r="T942" i="5"/>
  <c r="S942" i="5"/>
  <c r="I946" i="5"/>
  <c r="H946" i="5"/>
  <c r="G946" i="5"/>
  <c r="E946" i="5"/>
  <c r="X946" i="5" s="1"/>
  <c r="V949" i="5"/>
  <c r="G949" i="5" s="1"/>
  <c r="E952" i="5"/>
  <c r="X952" i="5" s="1"/>
  <c r="R952" i="5"/>
  <c r="I952" i="5"/>
  <c r="H952" i="5"/>
  <c r="V955" i="5"/>
  <c r="G955" i="5" s="1"/>
  <c r="G969" i="5"/>
  <c r="AB969" i="5"/>
  <c r="R983" i="5"/>
  <c r="J983" i="5"/>
  <c r="I983" i="5"/>
  <c r="H983" i="5"/>
  <c r="F983" i="5"/>
  <c r="E983" i="5"/>
  <c r="X983" i="5" s="1"/>
  <c r="F1047" i="5"/>
  <c r="E1047" i="5"/>
  <c r="X1047" i="5" s="1"/>
  <c r="J1047" i="5"/>
  <c r="R1047" i="5"/>
  <c r="I1047" i="5"/>
  <c r="H1047" i="5"/>
  <c r="G1047" i="5"/>
  <c r="S892" i="5"/>
  <c r="S896" i="5"/>
  <c r="J899" i="5"/>
  <c r="S900" i="5"/>
  <c r="S904" i="5"/>
  <c r="J907" i="5"/>
  <c r="S908" i="5"/>
  <c r="J911" i="5"/>
  <c r="F911" i="5"/>
  <c r="J912" i="5"/>
  <c r="AB914" i="5"/>
  <c r="S914" i="5"/>
  <c r="T914" i="5"/>
  <c r="I915" i="5"/>
  <c r="E916" i="5"/>
  <c r="X916" i="5" s="1"/>
  <c r="S917" i="5"/>
  <c r="J919" i="5"/>
  <c r="F919" i="5"/>
  <c r="J920" i="5"/>
  <c r="AB922" i="5"/>
  <c r="S922" i="5"/>
  <c r="T922" i="5"/>
  <c r="AB954" i="5"/>
  <c r="T954" i="5"/>
  <c r="S954" i="5"/>
  <c r="I958" i="5"/>
  <c r="H958" i="5"/>
  <c r="G958" i="5"/>
  <c r="E958" i="5"/>
  <c r="X958" i="5" s="1"/>
  <c r="AB961" i="5"/>
  <c r="V961" i="5"/>
  <c r="V964" i="5"/>
  <c r="G968" i="5"/>
  <c r="E969" i="5"/>
  <c r="X969" i="5" s="1"/>
  <c r="T972" i="5"/>
  <c r="S972" i="5"/>
  <c r="AB972" i="5"/>
  <c r="G861" i="5"/>
  <c r="G865" i="5"/>
  <c r="G869" i="5"/>
  <c r="G873" i="5"/>
  <c r="G877" i="5"/>
  <c r="G881" i="5"/>
  <c r="R899" i="5"/>
  <c r="T900" i="5"/>
  <c r="T904" i="5"/>
  <c r="R907" i="5"/>
  <c r="T908" i="5"/>
  <c r="F916" i="5"/>
  <c r="T917" i="5"/>
  <c r="I938" i="5"/>
  <c r="H938" i="5"/>
  <c r="G938" i="5"/>
  <c r="E938" i="5"/>
  <c r="X938" i="5" s="1"/>
  <c r="V941" i="5"/>
  <c r="G941" i="5" s="1"/>
  <c r="F942" i="5"/>
  <c r="V947" i="5"/>
  <c r="G947" i="5" s="1"/>
  <c r="F948" i="5"/>
  <c r="E962" i="5"/>
  <c r="X962" i="5" s="1"/>
  <c r="R962" i="5"/>
  <c r="J962" i="5"/>
  <c r="I962" i="5"/>
  <c r="F962" i="5"/>
  <c r="S847" i="5"/>
  <c r="S851" i="5"/>
  <c r="S855" i="5"/>
  <c r="S859" i="5"/>
  <c r="V860" i="5"/>
  <c r="G860" i="5" s="1"/>
  <c r="H861" i="5"/>
  <c r="S863" i="5"/>
  <c r="V864" i="5"/>
  <c r="H865" i="5"/>
  <c r="S867" i="5"/>
  <c r="V868" i="5"/>
  <c r="H869" i="5"/>
  <c r="S871" i="5"/>
  <c r="V872" i="5"/>
  <c r="G872" i="5" s="1"/>
  <c r="H873" i="5"/>
  <c r="S875" i="5"/>
  <c r="V876" i="5"/>
  <c r="G876" i="5" s="1"/>
  <c r="H877" i="5"/>
  <c r="S879" i="5"/>
  <c r="V880" i="5"/>
  <c r="G880" i="5" s="1"/>
  <c r="H881" i="5"/>
  <c r="S883" i="5"/>
  <c r="V884" i="5"/>
  <c r="G884" i="5" s="1"/>
  <c r="S887" i="5"/>
  <c r="S891" i="5"/>
  <c r="S895" i="5"/>
  <c r="S899" i="5"/>
  <c r="S903" i="5"/>
  <c r="S907" i="5"/>
  <c r="G911" i="5"/>
  <c r="S912" i="5"/>
  <c r="AB912" i="5"/>
  <c r="T912" i="5"/>
  <c r="S915" i="5"/>
  <c r="G916" i="5"/>
  <c r="F917" i="5"/>
  <c r="J917" i="5"/>
  <c r="G919" i="5"/>
  <c r="S920" i="5"/>
  <c r="AB920" i="5"/>
  <c r="T920" i="5"/>
  <c r="T923" i="5"/>
  <c r="E924" i="5"/>
  <c r="X924" i="5" s="1"/>
  <c r="I924" i="5"/>
  <c r="H924" i="5"/>
  <c r="I926" i="5"/>
  <c r="H926" i="5"/>
  <c r="E926" i="5"/>
  <c r="X926" i="5" s="1"/>
  <c r="E928" i="5"/>
  <c r="X928" i="5" s="1"/>
  <c r="I928" i="5"/>
  <c r="H928" i="5"/>
  <c r="I930" i="5"/>
  <c r="H930" i="5"/>
  <c r="E930" i="5"/>
  <c r="X930" i="5" s="1"/>
  <c r="I934" i="5"/>
  <c r="H934" i="5"/>
  <c r="E934" i="5"/>
  <c r="X934" i="5" s="1"/>
  <c r="E936" i="5"/>
  <c r="X936" i="5" s="1"/>
  <c r="I936" i="5"/>
  <c r="H936" i="5"/>
  <c r="J942" i="5"/>
  <c r="AB946" i="5"/>
  <c r="T946" i="5"/>
  <c r="S946" i="5"/>
  <c r="G948" i="5"/>
  <c r="I950" i="5"/>
  <c r="H950" i="5"/>
  <c r="G950" i="5"/>
  <c r="E950" i="5"/>
  <c r="X950" i="5" s="1"/>
  <c r="V953" i="5"/>
  <c r="E956" i="5"/>
  <c r="X956" i="5" s="1"/>
  <c r="R956" i="5"/>
  <c r="I956" i="5"/>
  <c r="H956" i="5"/>
  <c r="V959" i="5"/>
  <c r="G959" i="5" s="1"/>
  <c r="AB963" i="5"/>
  <c r="T963" i="5"/>
  <c r="S964" i="5"/>
  <c r="I978" i="5"/>
  <c r="H978" i="5"/>
  <c r="E978" i="5"/>
  <c r="X978" i="5" s="1"/>
  <c r="R978" i="5"/>
  <c r="J978" i="5"/>
  <c r="G978" i="5"/>
  <c r="F978" i="5"/>
  <c r="V982" i="5"/>
  <c r="G982" i="5" s="1"/>
  <c r="AB910" i="5"/>
  <c r="S910" i="5"/>
  <c r="I916" i="5"/>
  <c r="V939" i="5"/>
  <c r="AB958" i="5"/>
  <c r="T958" i="5"/>
  <c r="S958" i="5"/>
  <c r="T964" i="5"/>
  <c r="J915" i="5"/>
  <c r="F915" i="5"/>
  <c r="J916" i="5"/>
  <c r="AB918" i="5"/>
  <c r="S918" i="5"/>
  <c r="T918" i="5"/>
  <c r="V923" i="5"/>
  <c r="T924" i="5"/>
  <c r="S924" i="5"/>
  <c r="AB924" i="5"/>
  <c r="AB926" i="5"/>
  <c r="T926" i="5"/>
  <c r="S926" i="5"/>
  <c r="T928" i="5"/>
  <c r="S928" i="5"/>
  <c r="AB928" i="5"/>
  <c r="AB930" i="5"/>
  <c r="T930" i="5"/>
  <c r="S930" i="5"/>
  <c r="T932" i="5"/>
  <c r="S932" i="5"/>
  <c r="AB932" i="5"/>
  <c r="AB934" i="5"/>
  <c r="T934" i="5"/>
  <c r="S934" i="5"/>
  <c r="T936" i="5"/>
  <c r="S936" i="5"/>
  <c r="AB936" i="5"/>
  <c r="AB938" i="5"/>
  <c r="T938" i="5"/>
  <c r="S938" i="5"/>
  <c r="I942" i="5"/>
  <c r="H942" i="5"/>
  <c r="G942" i="5"/>
  <c r="E942" i="5"/>
  <c r="X942" i="5" s="1"/>
  <c r="V945" i="5"/>
  <c r="G945" i="5" s="1"/>
  <c r="F946" i="5"/>
  <c r="E948" i="5"/>
  <c r="X948" i="5" s="1"/>
  <c r="R948" i="5"/>
  <c r="I948" i="5"/>
  <c r="H948" i="5"/>
  <c r="AB949" i="5"/>
  <c r="V951" i="5"/>
  <c r="F952" i="5"/>
  <c r="AB955" i="5"/>
  <c r="R969" i="5"/>
  <c r="J969" i="5"/>
  <c r="I969" i="5"/>
  <c r="F969" i="5"/>
  <c r="R979" i="5"/>
  <c r="J979" i="5"/>
  <c r="I979" i="5"/>
  <c r="H979" i="5"/>
  <c r="F979" i="5"/>
  <c r="E979" i="5"/>
  <c r="X979" i="5" s="1"/>
  <c r="AB940" i="5"/>
  <c r="AB944" i="5"/>
  <c r="AB948" i="5"/>
  <c r="AB952" i="5"/>
  <c r="AB956" i="5"/>
  <c r="AB960" i="5"/>
  <c r="S966" i="5"/>
  <c r="S968" i="5"/>
  <c r="S970" i="5"/>
  <c r="V977" i="5"/>
  <c r="G977" i="5" s="1"/>
  <c r="AB978" i="5"/>
  <c r="T978" i="5"/>
  <c r="J980" i="5"/>
  <c r="G983" i="5"/>
  <c r="AB983" i="5"/>
  <c r="H992" i="5"/>
  <c r="R992" i="5"/>
  <c r="J992" i="5"/>
  <c r="I992" i="5"/>
  <c r="G992" i="5"/>
  <c r="E992" i="5"/>
  <c r="X992" i="5" s="1"/>
  <c r="V997" i="5"/>
  <c r="G997" i="5" s="1"/>
  <c r="AB1008" i="5"/>
  <c r="S1008" i="5"/>
  <c r="AB1025" i="5"/>
  <c r="S1025" i="5"/>
  <c r="V1029" i="5"/>
  <c r="G1029" i="5" s="1"/>
  <c r="V966" i="5"/>
  <c r="F972" i="5"/>
  <c r="V974" i="5"/>
  <c r="T984" i="5"/>
  <c r="S984" i="5"/>
  <c r="AB993" i="5"/>
  <c r="S993" i="5"/>
  <c r="H998" i="5"/>
  <c r="I998" i="5"/>
  <c r="G998" i="5"/>
  <c r="F998" i="5"/>
  <c r="E998" i="5"/>
  <c r="X998" i="5" s="1"/>
  <c r="S1011" i="5"/>
  <c r="H1016" i="5"/>
  <c r="R1016" i="5"/>
  <c r="J1016" i="5"/>
  <c r="I1016" i="5"/>
  <c r="G1016" i="5"/>
  <c r="E1016" i="5"/>
  <c r="X1016" i="5" s="1"/>
  <c r="H1030" i="5"/>
  <c r="I1030" i="5"/>
  <c r="G1030" i="5"/>
  <c r="F1030" i="5"/>
  <c r="E1030" i="5"/>
  <c r="X1030" i="5" s="1"/>
  <c r="AB1032" i="5"/>
  <c r="S1032" i="5"/>
  <c r="R1050" i="5"/>
  <c r="J1050" i="5"/>
  <c r="H1050" i="5"/>
  <c r="I1050" i="5"/>
  <c r="G1050" i="5"/>
  <c r="F1050" i="5"/>
  <c r="E1050" i="5"/>
  <c r="X1050" i="5" s="1"/>
  <c r="G972" i="5"/>
  <c r="V973" i="5"/>
  <c r="G973" i="5" s="1"/>
  <c r="AB974" i="5"/>
  <c r="T974" i="5"/>
  <c r="G979" i="5"/>
  <c r="AB979" i="5"/>
  <c r="E980" i="5"/>
  <c r="X980" i="5" s="1"/>
  <c r="I980" i="5"/>
  <c r="I986" i="5"/>
  <c r="H986" i="5"/>
  <c r="E986" i="5"/>
  <c r="X986" i="5" s="1"/>
  <c r="R987" i="5"/>
  <c r="J987" i="5"/>
  <c r="I987" i="5"/>
  <c r="AB1000" i="5"/>
  <c r="S1000" i="5"/>
  <c r="T1011" i="5"/>
  <c r="AB1017" i="5"/>
  <c r="S1017" i="5"/>
  <c r="V1021" i="5"/>
  <c r="G1021" i="5" s="1"/>
  <c r="H972" i="5"/>
  <c r="R975" i="5"/>
  <c r="J975" i="5"/>
  <c r="T980" i="5"/>
  <c r="S980" i="5"/>
  <c r="J1014" i="5"/>
  <c r="H1022" i="5"/>
  <c r="I1022" i="5"/>
  <c r="G1022" i="5"/>
  <c r="F1022" i="5"/>
  <c r="E1022" i="5"/>
  <c r="X1022" i="5" s="1"/>
  <c r="AB1024" i="5"/>
  <c r="S1024" i="5"/>
  <c r="B35" i="6"/>
  <c r="G35" i="6" s="1"/>
  <c r="S940" i="5"/>
  <c r="S944" i="5"/>
  <c r="S948" i="5"/>
  <c r="S952" i="5"/>
  <c r="S956" i="5"/>
  <c r="S960" i="5"/>
  <c r="V963" i="5"/>
  <c r="J972" i="5"/>
  <c r="G975" i="5"/>
  <c r="AB975" i="5"/>
  <c r="E976" i="5"/>
  <c r="X976" i="5" s="1"/>
  <c r="I976" i="5"/>
  <c r="AB980" i="5"/>
  <c r="V985" i="5"/>
  <c r="G985" i="5" s="1"/>
  <c r="AB986" i="5"/>
  <c r="T986" i="5"/>
  <c r="G987" i="5"/>
  <c r="AB992" i="5"/>
  <c r="S992" i="5"/>
  <c r="AB997" i="5"/>
  <c r="H1008" i="5"/>
  <c r="R1008" i="5"/>
  <c r="J1008" i="5"/>
  <c r="I1008" i="5"/>
  <c r="G1008" i="5"/>
  <c r="E1008" i="5"/>
  <c r="X1008" i="5" s="1"/>
  <c r="V1013" i="5"/>
  <c r="G1013" i="5" s="1"/>
  <c r="AB1029" i="5"/>
  <c r="T1032" i="5"/>
  <c r="T1035" i="5"/>
  <c r="G967" i="5"/>
  <c r="V971" i="5"/>
  <c r="E975" i="5"/>
  <c r="X975" i="5" s="1"/>
  <c r="T976" i="5"/>
  <c r="S976" i="5"/>
  <c r="F980" i="5"/>
  <c r="G986" i="5"/>
  <c r="E987" i="5"/>
  <c r="X987" i="5" s="1"/>
  <c r="S990" i="5"/>
  <c r="AB990" i="5"/>
  <c r="S995" i="5"/>
  <c r="T1000" i="5"/>
  <c r="AB1009" i="5"/>
  <c r="S1009" i="5"/>
  <c r="H1014" i="5"/>
  <c r="I1014" i="5"/>
  <c r="G1014" i="5"/>
  <c r="F1014" i="5"/>
  <c r="E1014" i="5"/>
  <c r="X1014" i="5" s="1"/>
  <c r="AB1016" i="5"/>
  <c r="S1016" i="5"/>
  <c r="S1027" i="5"/>
  <c r="H1032" i="5"/>
  <c r="R1032" i="5"/>
  <c r="J1032" i="5"/>
  <c r="I1032" i="5"/>
  <c r="G1032" i="5"/>
  <c r="E1032" i="5"/>
  <c r="X1032" i="5" s="1"/>
  <c r="V1037" i="5"/>
  <c r="G1037" i="5" s="1"/>
  <c r="E972" i="5"/>
  <c r="X972" i="5" s="1"/>
  <c r="I972" i="5"/>
  <c r="V981" i="5"/>
  <c r="AB982" i="5"/>
  <c r="T982" i="5"/>
  <c r="V989" i="5"/>
  <c r="G989" i="5" s="1"/>
  <c r="V990" i="5"/>
  <c r="G990" i="5" s="1"/>
  <c r="H1000" i="5"/>
  <c r="R1000" i="5"/>
  <c r="J1000" i="5"/>
  <c r="I1000" i="5"/>
  <c r="G1000" i="5"/>
  <c r="E1000" i="5"/>
  <c r="X1000" i="5" s="1"/>
  <c r="V1005" i="5"/>
  <c r="G1005" i="5" s="1"/>
  <c r="AB1021" i="5"/>
  <c r="AB1033" i="5"/>
  <c r="S1033" i="5"/>
  <c r="V1057" i="5"/>
  <c r="G994" i="5"/>
  <c r="F995" i="5"/>
  <c r="J995" i="5"/>
  <c r="X995" i="5"/>
  <c r="J996" i="5"/>
  <c r="S998" i="5"/>
  <c r="AB998" i="5"/>
  <c r="T998" i="5"/>
  <c r="G1002" i="5"/>
  <c r="J1004" i="5"/>
  <c r="S1006" i="5"/>
  <c r="AB1006" i="5"/>
  <c r="T1006" i="5"/>
  <c r="G1010" i="5"/>
  <c r="F1011" i="5"/>
  <c r="J1011" i="5"/>
  <c r="J1012" i="5"/>
  <c r="S1014" i="5"/>
  <c r="AB1014" i="5"/>
  <c r="T1014" i="5"/>
  <c r="G1018" i="5"/>
  <c r="F1019" i="5"/>
  <c r="J1019" i="5"/>
  <c r="S1022" i="5"/>
  <c r="AB1022" i="5"/>
  <c r="T1022" i="5"/>
  <c r="G1026" i="5"/>
  <c r="J1028" i="5"/>
  <c r="S1030" i="5"/>
  <c r="AB1030" i="5"/>
  <c r="T1030" i="5"/>
  <c r="G1034" i="5"/>
  <c r="J1036" i="5"/>
  <c r="S1038" i="5"/>
  <c r="AB1038" i="5"/>
  <c r="T1038" i="5"/>
  <c r="AB1041" i="5"/>
  <c r="G1045" i="5"/>
  <c r="AB1049" i="5"/>
  <c r="S1053" i="5"/>
  <c r="I1059" i="5"/>
  <c r="G1061" i="5"/>
  <c r="R1069" i="5"/>
  <c r="J1069" i="5"/>
  <c r="I1069" i="5"/>
  <c r="H1069" i="5"/>
  <c r="F1069" i="5"/>
  <c r="V1082" i="5"/>
  <c r="G1082" i="5" s="1"/>
  <c r="T1134" i="5"/>
  <c r="S1134" i="5"/>
  <c r="AB1134" i="5"/>
  <c r="J1041" i="5"/>
  <c r="H1041" i="5"/>
  <c r="F1041" i="5"/>
  <c r="S1042" i="5"/>
  <c r="AB1042" i="5"/>
  <c r="J1042" i="5"/>
  <c r="H1042" i="5"/>
  <c r="J1049" i="5"/>
  <c r="I1049" i="5"/>
  <c r="H1049" i="5"/>
  <c r="F1049" i="5"/>
  <c r="T1051" i="5"/>
  <c r="S1051" i="5"/>
  <c r="AB1052" i="5"/>
  <c r="S1052" i="5"/>
  <c r="T1052" i="5"/>
  <c r="E1066" i="5"/>
  <c r="X1066" i="5" s="1"/>
  <c r="R1066" i="5"/>
  <c r="J1066" i="5"/>
  <c r="H1066" i="5"/>
  <c r="AB1068" i="5"/>
  <c r="S1068" i="5"/>
  <c r="T1068" i="5"/>
  <c r="S1074" i="5"/>
  <c r="AB1074" i="5"/>
  <c r="V1077" i="5"/>
  <c r="AB1111" i="5"/>
  <c r="V1111" i="5"/>
  <c r="J1115" i="5"/>
  <c r="I1115" i="5"/>
  <c r="R1115" i="5"/>
  <c r="F1115" i="5"/>
  <c r="H1115" i="5"/>
  <c r="E1115" i="5"/>
  <c r="X1115" i="5" s="1"/>
  <c r="J993" i="5"/>
  <c r="F993" i="5"/>
  <c r="J994" i="5"/>
  <c r="AB996" i="5"/>
  <c r="S996" i="5"/>
  <c r="T996" i="5"/>
  <c r="J1001" i="5"/>
  <c r="F1001" i="5"/>
  <c r="J1002" i="5"/>
  <c r="AB1004" i="5"/>
  <c r="S1004" i="5"/>
  <c r="T1004" i="5"/>
  <c r="J1009" i="5"/>
  <c r="F1009" i="5"/>
  <c r="J1010" i="5"/>
  <c r="AB1012" i="5"/>
  <c r="S1012" i="5"/>
  <c r="T1012" i="5"/>
  <c r="S1015" i="5"/>
  <c r="J1017" i="5"/>
  <c r="F1017" i="5"/>
  <c r="J1018" i="5"/>
  <c r="AB1020" i="5"/>
  <c r="S1020" i="5"/>
  <c r="T1020" i="5"/>
  <c r="S1023" i="5"/>
  <c r="J1025" i="5"/>
  <c r="F1025" i="5"/>
  <c r="J1026" i="5"/>
  <c r="AB1028" i="5"/>
  <c r="S1028" i="5"/>
  <c r="T1028" i="5"/>
  <c r="S1031" i="5"/>
  <c r="J1033" i="5"/>
  <c r="F1033" i="5"/>
  <c r="J1034" i="5"/>
  <c r="AB1036" i="5"/>
  <c r="S1036" i="5"/>
  <c r="T1036" i="5"/>
  <c r="E1038" i="5"/>
  <c r="X1038" i="5" s="1"/>
  <c r="T1039" i="5"/>
  <c r="E1041" i="5"/>
  <c r="X1041" i="5" s="1"/>
  <c r="S1045" i="5"/>
  <c r="E1049" i="5"/>
  <c r="X1049" i="5" s="1"/>
  <c r="F1051" i="5"/>
  <c r="E1051" i="5"/>
  <c r="X1051" i="5" s="1"/>
  <c r="J1051" i="5"/>
  <c r="R1054" i="5"/>
  <c r="J1054" i="5"/>
  <c r="H1054" i="5"/>
  <c r="S1057" i="5"/>
  <c r="AB1064" i="5"/>
  <c r="S1064" i="5"/>
  <c r="T1064" i="5"/>
  <c r="X1065" i="5"/>
  <c r="V1074" i="5"/>
  <c r="G1074" i="5" s="1"/>
  <c r="T1123" i="5"/>
  <c r="S1123" i="5"/>
  <c r="AB1123" i="5"/>
  <c r="S988" i="5"/>
  <c r="E993" i="5"/>
  <c r="X993" i="5" s="1"/>
  <c r="R994" i="5"/>
  <c r="E1001" i="5"/>
  <c r="X1001" i="5" s="1"/>
  <c r="R1002" i="5"/>
  <c r="E1009" i="5"/>
  <c r="X1009" i="5" s="1"/>
  <c r="R1010" i="5"/>
  <c r="R1018" i="5"/>
  <c r="R1026" i="5"/>
  <c r="R1034" i="5"/>
  <c r="F1038" i="5"/>
  <c r="G1041" i="5"/>
  <c r="E1042" i="5"/>
  <c r="X1042" i="5" s="1"/>
  <c r="T1043" i="5"/>
  <c r="S1043" i="5"/>
  <c r="AB1044" i="5"/>
  <c r="S1044" i="5"/>
  <c r="T1044" i="5"/>
  <c r="G1049" i="5"/>
  <c r="E1058" i="5"/>
  <c r="X1058" i="5" s="1"/>
  <c r="R1058" i="5"/>
  <c r="J1058" i="5"/>
  <c r="H1058" i="5"/>
  <c r="AB1060" i="5"/>
  <c r="S1060" i="5"/>
  <c r="T1060" i="5"/>
  <c r="X1061" i="5"/>
  <c r="T1067" i="5"/>
  <c r="S1067" i="5"/>
  <c r="H1071" i="5"/>
  <c r="R1071" i="5"/>
  <c r="J1071" i="5"/>
  <c r="I1071" i="5"/>
  <c r="G1071" i="5"/>
  <c r="F1071" i="5"/>
  <c r="T1074" i="5"/>
  <c r="J1086" i="5"/>
  <c r="R1086" i="5"/>
  <c r="I1086" i="5"/>
  <c r="H1086" i="5"/>
  <c r="F1086" i="5"/>
  <c r="E1086" i="5"/>
  <c r="X1086" i="5" s="1"/>
  <c r="F991" i="5"/>
  <c r="J991" i="5"/>
  <c r="G993" i="5"/>
  <c r="S994" i="5"/>
  <c r="AB994" i="5"/>
  <c r="T994" i="5"/>
  <c r="E996" i="5"/>
  <c r="X996" i="5" s="1"/>
  <c r="S997" i="5"/>
  <c r="G1001" i="5"/>
  <c r="S1002" i="5"/>
  <c r="AB1002" i="5"/>
  <c r="T1002" i="5"/>
  <c r="E1004" i="5"/>
  <c r="X1004" i="5" s="1"/>
  <c r="S1005" i="5"/>
  <c r="F1007" i="5"/>
  <c r="J1007" i="5"/>
  <c r="G1009" i="5"/>
  <c r="S1010" i="5"/>
  <c r="AB1010" i="5"/>
  <c r="T1010" i="5"/>
  <c r="E1012" i="5"/>
  <c r="X1012" i="5" s="1"/>
  <c r="S1013" i="5"/>
  <c r="G1017" i="5"/>
  <c r="S1018" i="5"/>
  <c r="AB1018" i="5"/>
  <c r="T1018" i="5"/>
  <c r="S1021" i="5"/>
  <c r="G1025" i="5"/>
  <c r="S1026" i="5"/>
  <c r="AB1026" i="5"/>
  <c r="T1026" i="5"/>
  <c r="E1028" i="5"/>
  <c r="X1028" i="5" s="1"/>
  <c r="S1029" i="5"/>
  <c r="F1031" i="5"/>
  <c r="J1031" i="5"/>
  <c r="G1033" i="5"/>
  <c r="S1034" i="5"/>
  <c r="AB1034" i="5"/>
  <c r="T1034" i="5"/>
  <c r="E1036" i="5"/>
  <c r="X1036" i="5" s="1"/>
  <c r="S1037" i="5"/>
  <c r="G1038" i="5"/>
  <c r="AB1039" i="5"/>
  <c r="I1041" i="5"/>
  <c r="F1042" i="5"/>
  <c r="R1049" i="5"/>
  <c r="H1051" i="5"/>
  <c r="T1055" i="5"/>
  <c r="S1055" i="5"/>
  <c r="AB1056" i="5"/>
  <c r="S1056" i="5"/>
  <c r="T1056" i="5"/>
  <c r="T1063" i="5"/>
  <c r="S1063" i="5"/>
  <c r="AB1065" i="5"/>
  <c r="G1067" i="5"/>
  <c r="F1067" i="5"/>
  <c r="E1067" i="5"/>
  <c r="X1067" i="5" s="1"/>
  <c r="J1067" i="5"/>
  <c r="T1142" i="5"/>
  <c r="AB1142" i="5"/>
  <c r="S1142" i="5"/>
  <c r="I1038" i="5"/>
  <c r="AB1040" i="5"/>
  <c r="S1040" i="5"/>
  <c r="T1040" i="5"/>
  <c r="R1041" i="5"/>
  <c r="G1042" i="5"/>
  <c r="AB1045" i="5"/>
  <c r="T1059" i="5"/>
  <c r="S1059" i="5"/>
  <c r="AB1061" i="5"/>
  <c r="G1063" i="5"/>
  <c r="F1063" i="5"/>
  <c r="E1063" i="5"/>
  <c r="X1063" i="5" s="1"/>
  <c r="J1063" i="5"/>
  <c r="R1065" i="5"/>
  <c r="J1065" i="5"/>
  <c r="I1065" i="5"/>
  <c r="H1065" i="5"/>
  <c r="F1065" i="5"/>
  <c r="F1066" i="5"/>
  <c r="J1078" i="5"/>
  <c r="R1078" i="5"/>
  <c r="I1078" i="5"/>
  <c r="H1078" i="5"/>
  <c r="F1078" i="5"/>
  <c r="E1078" i="5"/>
  <c r="X1078" i="5" s="1"/>
  <c r="H1085" i="5"/>
  <c r="R1085" i="5"/>
  <c r="J1085" i="5"/>
  <c r="I1085" i="5"/>
  <c r="F1085" i="5"/>
  <c r="R1090" i="5"/>
  <c r="J1090" i="5"/>
  <c r="E1090" i="5"/>
  <c r="X1090" i="5" s="1"/>
  <c r="I1090" i="5"/>
  <c r="H1090" i="5"/>
  <c r="E1130" i="5"/>
  <c r="X1130" i="5" s="1"/>
  <c r="R1130" i="5"/>
  <c r="F1130" i="5"/>
  <c r="J1130" i="5"/>
  <c r="I1130" i="5"/>
  <c r="H1130" i="5"/>
  <c r="G1130" i="5"/>
  <c r="J1045" i="5"/>
  <c r="I1045" i="5"/>
  <c r="H1045" i="5"/>
  <c r="F1045" i="5"/>
  <c r="T1047" i="5"/>
  <c r="S1047" i="5"/>
  <c r="AB1048" i="5"/>
  <c r="S1048" i="5"/>
  <c r="T1048" i="5"/>
  <c r="AB1057" i="5"/>
  <c r="G1059" i="5"/>
  <c r="F1059" i="5"/>
  <c r="E1059" i="5"/>
  <c r="X1059" i="5" s="1"/>
  <c r="J1059" i="5"/>
  <c r="R1061" i="5"/>
  <c r="J1061" i="5"/>
  <c r="I1061" i="5"/>
  <c r="H1061" i="5"/>
  <c r="F1061" i="5"/>
  <c r="G1066" i="5"/>
  <c r="AB1046" i="5"/>
  <c r="AB1050" i="5"/>
  <c r="AB1054" i="5"/>
  <c r="AB1058" i="5"/>
  <c r="AB1062" i="5"/>
  <c r="AB1066" i="5"/>
  <c r="R1075" i="5"/>
  <c r="I1076" i="5"/>
  <c r="G1081" i="5"/>
  <c r="S1083" i="5"/>
  <c r="T1083" i="5"/>
  <c r="G1086" i="5"/>
  <c r="T1087" i="5"/>
  <c r="G1090" i="5"/>
  <c r="AB1092" i="5"/>
  <c r="T1110" i="5"/>
  <c r="AB1110" i="5"/>
  <c r="AB1115" i="5"/>
  <c r="H1119" i="5"/>
  <c r="F1119" i="5"/>
  <c r="R1119" i="5"/>
  <c r="I1119" i="5"/>
  <c r="D17" i="6"/>
  <c r="J1072" i="5"/>
  <c r="F1072" i="5"/>
  <c r="S1075" i="5"/>
  <c r="T1075" i="5"/>
  <c r="AB1078" i="5"/>
  <c r="G1078" i="5"/>
  <c r="I1081" i="5"/>
  <c r="J1087" i="5"/>
  <c r="F1087" i="5"/>
  <c r="V1110" i="5"/>
  <c r="G1110" i="5" s="1"/>
  <c r="T1116" i="5"/>
  <c r="AB1116" i="5"/>
  <c r="S1116" i="5"/>
  <c r="T1136" i="5"/>
  <c r="T1144" i="5"/>
  <c r="AB1144" i="5"/>
  <c r="S1144" i="5"/>
  <c r="V1170" i="5"/>
  <c r="G1170" i="5" s="1"/>
  <c r="T1070" i="5"/>
  <c r="E1072" i="5"/>
  <c r="X1072" i="5" s="1"/>
  <c r="AB1072" i="5"/>
  <c r="AB1087" i="5"/>
  <c r="T1088" i="5"/>
  <c r="S1090" i="5"/>
  <c r="V1095" i="5"/>
  <c r="G1095" i="5" s="1"/>
  <c r="V1099" i="5"/>
  <c r="E1101" i="5"/>
  <c r="X1101" i="5" s="1"/>
  <c r="R1113" i="5"/>
  <c r="J1113" i="5"/>
  <c r="I1113" i="5"/>
  <c r="F1113" i="5"/>
  <c r="AB1121" i="5"/>
  <c r="V1121" i="5"/>
  <c r="V1122" i="5"/>
  <c r="G1122" i="5" s="1"/>
  <c r="I1124" i="5"/>
  <c r="H1124" i="5"/>
  <c r="F1124" i="5"/>
  <c r="R1124" i="5"/>
  <c r="J1124" i="5"/>
  <c r="E1146" i="5"/>
  <c r="X1146" i="5" s="1"/>
  <c r="R1146" i="5"/>
  <c r="J1146" i="5"/>
  <c r="I1146" i="5"/>
  <c r="G1146" i="5"/>
  <c r="T1151" i="5"/>
  <c r="S1151" i="5"/>
  <c r="AB1151" i="5"/>
  <c r="T1153" i="5"/>
  <c r="S1153" i="5"/>
  <c r="AB1153" i="5"/>
  <c r="T1157" i="5"/>
  <c r="AB1157" i="5"/>
  <c r="S1157" i="5"/>
  <c r="G1168" i="5"/>
  <c r="D4" i="6"/>
  <c r="B25" i="6"/>
  <c r="G25" i="6" s="1"/>
  <c r="B20" i="6"/>
  <c r="G20" i="6" s="1"/>
  <c r="G15" i="6"/>
  <c r="H15" i="6" s="1"/>
  <c r="F25" i="6"/>
  <c r="F20" i="6"/>
  <c r="H20" i="6" s="1"/>
  <c r="B45" i="6"/>
  <c r="G45" i="6" s="1"/>
  <c r="B50" i="6"/>
  <c r="G50" i="6" s="1"/>
  <c r="F1070" i="5"/>
  <c r="J1070" i="5"/>
  <c r="G1072" i="5"/>
  <c r="S1073" i="5"/>
  <c r="AB1073" i="5"/>
  <c r="T1073" i="5"/>
  <c r="E1075" i="5"/>
  <c r="X1075" i="5" s="1"/>
  <c r="AB1075" i="5"/>
  <c r="S1081" i="5"/>
  <c r="E1087" i="5"/>
  <c r="X1087" i="5" s="1"/>
  <c r="T1090" i="5"/>
  <c r="G1115" i="5"/>
  <c r="R1117" i="5"/>
  <c r="H1117" i="5"/>
  <c r="J1117" i="5"/>
  <c r="I1120" i="5"/>
  <c r="H1120" i="5"/>
  <c r="G1120" i="5"/>
  <c r="E1120" i="5"/>
  <c r="X1120" i="5" s="1"/>
  <c r="T1126" i="5"/>
  <c r="AB1126" i="5"/>
  <c r="S1126" i="5"/>
  <c r="V1127" i="5"/>
  <c r="G1127" i="5" s="1"/>
  <c r="AB1136" i="5"/>
  <c r="AB1140" i="5"/>
  <c r="T1140" i="5"/>
  <c r="S1140" i="5"/>
  <c r="R1156" i="5"/>
  <c r="J1156" i="5"/>
  <c r="I1156" i="5"/>
  <c r="H1156" i="5"/>
  <c r="F1156" i="5"/>
  <c r="V1163" i="5"/>
  <c r="I1171" i="5"/>
  <c r="H1171" i="5"/>
  <c r="F1171" i="5"/>
  <c r="E1171" i="5"/>
  <c r="X1171" i="5" s="1"/>
  <c r="D7" i="6"/>
  <c r="E1070" i="5"/>
  <c r="X1070" i="5" s="1"/>
  <c r="H1072" i="5"/>
  <c r="F1075" i="5"/>
  <c r="S1082" i="5"/>
  <c r="F1084" i="5"/>
  <c r="H1084" i="5"/>
  <c r="AB1084" i="5"/>
  <c r="G1087" i="5"/>
  <c r="V1088" i="5"/>
  <c r="AB1089" i="5"/>
  <c r="S1100" i="5"/>
  <c r="H1103" i="5"/>
  <c r="F1103" i="5"/>
  <c r="R1103" i="5"/>
  <c r="S1110" i="5"/>
  <c r="F1120" i="5"/>
  <c r="R1123" i="5"/>
  <c r="J1123" i="5"/>
  <c r="I1123" i="5"/>
  <c r="G1143" i="5"/>
  <c r="AB1143" i="5"/>
  <c r="H1146" i="5"/>
  <c r="V1151" i="5"/>
  <c r="E1156" i="5"/>
  <c r="X1156" i="5" s="1"/>
  <c r="T1163" i="5"/>
  <c r="AB1071" i="5"/>
  <c r="S1071" i="5"/>
  <c r="T1071" i="5"/>
  <c r="I1072" i="5"/>
  <c r="G1075" i="5"/>
  <c r="F1076" i="5"/>
  <c r="H1076" i="5"/>
  <c r="AB1076" i="5"/>
  <c r="V1080" i="5"/>
  <c r="AB1081" i="5"/>
  <c r="H1087" i="5"/>
  <c r="H1089" i="5"/>
  <c r="J1089" i="5"/>
  <c r="E1089" i="5"/>
  <c r="X1089" i="5" s="1"/>
  <c r="T1094" i="5"/>
  <c r="AB1094" i="5"/>
  <c r="V1096" i="5"/>
  <c r="G1096" i="5" s="1"/>
  <c r="E1114" i="5"/>
  <c r="X1114" i="5" s="1"/>
  <c r="F1114" i="5"/>
  <c r="R1114" i="5"/>
  <c r="I1114" i="5"/>
  <c r="V1118" i="5"/>
  <c r="G1118" i="5" s="1"/>
  <c r="AB1124" i="5"/>
  <c r="T1124" i="5"/>
  <c r="R1129" i="5"/>
  <c r="I1129" i="5"/>
  <c r="E1129" i="5"/>
  <c r="X1129" i="5" s="1"/>
  <c r="F1129" i="5"/>
  <c r="V1131" i="5"/>
  <c r="G1131" i="5" s="1"/>
  <c r="AB1135" i="5"/>
  <c r="T1135" i="5"/>
  <c r="G1156" i="5"/>
  <c r="R1168" i="5"/>
  <c r="I1168" i="5"/>
  <c r="H1168" i="5"/>
  <c r="J1168" i="5"/>
  <c r="F1168" i="5"/>
  <c r="E1168" i="5"/>
  <c r="D5" i="6"/>
  <c r="H1081" i="5"/>
  <c r="E1081" i="5"/>
  <c r="X1081" i="5" s="1"/>
  <c r="J1081" i="5"/>
  <c r="G1085" i="5"/>
  <c r="X1085" i="5"/>
  <c r="T1091" i="5"/>
  <c r="AB1091" i="5"/>
  <c r="S1091" i="5"/>
  <c r="V1094" i="5"/>
  <c r="G1094" i="5" s="1"/>
  <c r="R1101" i="5"/>
  <c r="H1101" i="5"/>
  <c r="J1101" i="5"/>
  <c r="F1101" i="5"/>
  <c r="AB1103" i="5"/>
  <c r="T1103" i="5"/>
  <c r="V1104" i="5"/>
  <c r="V1112" i="5"/>
  <c r="T1138" i="5"/>
  <c r="AB1138" i="5"/>
  <c r="AB1147" i="5"/>
  <c r="T1147" i="5"/>
  <c r="S1147" i="5"/>
  <c r="I1155" i="5"/>
  <c r="H1155" i="5"/>
  <c r="E1155" i="5"/>
  <c r="X1155" i="5" s="1"/>
  <c r="R1155" i="5"/>
  <c r="F1155" i="5"/>
  <c r="V1162" i="5"/>
  <c r="G1162" i="5" s="1"/>
  <c r="AB1077" i="5"/>
  <c r="S1077" i="5"/>
  <c r="S1086" i="5"/>
  <c r="AB1098" i="5"/>
  <c r="AB1101" i="5"/>
  <c r="G1101" i="5"/>
  <c r="V1102" i="5"/>
  <c r="V1105" i="5"/>
  <c r="AB1112" i="5"/>
  <c r="I1128" i="5"/>
  <c r="F1128" i="5"/>
  <c r="H1128" i="5"/>
  <c r="G1128" i="5"/>
  <c r="V1157" i="5"/>
  <c r="G1157" i="5" s="1"/>
  <c r="R1158" i="5"/>
  <c r="J1158" i="5"/>
  <c r="H1158" i="5"/>
  <c r="F1158" i="5"/>
  <c r="E1158" i="5"/>
  <c r="X1158" i="5" s="1"/>
  <c r="D8" i="6"/>
  <c r="F21" i="6"/>
  <c r="B21" i="6"/>
  <c r="F26" i="6"/>
  <c r="G16" i="6"/>
  <c r="H16" i="6" s="1"/>
  <c r="B36" i="6"/>
  <c r="G36" i="6" s="1"/>
  <c r="AB1102" i="5"/>
  <c r="S1107" i="5"/>
  <c r="R1125" i="5"/>
  <c r="I1125" i="5"/>
  <c r="F1125" i="5"/>
  <c r="E1125" i="5"/>
  <c r="X1125" i="5" s="1"/>
  <c r="AB1131" i="5"/>
  <c r="T1131" i="5"/>
  <c r="AB1133" i="5"/>
  <c r="V1133" i="5"/>
  <c r="V1138" i="5"/>
  <c r="G1138" i="5" s="1"/>
  <c r="V1150" i="5"/>
  <c r="G1150" i="5" s="1"/>
  <c r="V1153" i="5"/>
  <c r="G1153" i="5" s="1"/>
  <c r="T1169" i="5"/>
  <c r="S1169" i="5"/>
  <c r="V1169" i="5"/>
  <c r="G1169" i="5" s="1"/>
  <c r="AB1085" i="5"/>
  <c r="S1085" i="5"/>
  <c r="AB1096" i="5"/>
  <c r="X1103" i="5"/>
  <c r="G1103" i="5"/>
  <c r="AB1107" i="5"/>
  <c r="G1109" i="5"/>
  <c r="AB1114" i="5"/>
  <c r="AB1117" i="5"/>
  <c r="G1117" i="5"/>
  <c r="AB1125" i="5"/>
  <c r="E1126" i="5"/>
  <c r="X1126" i="5" s="1"/>
  <c r="G1126" i="5"/>
  <c r="R1126" i="5"/>
  <c r="E1128" i="5"/>
  <c r="X1128" i="5" s="1"/>
  <c r="V1136" i="5"/>
  <c r="G1136" i="5" s="1"/>
  <c r="V1140" i="5"/>
  <c r="G1140" i="5" s="1"/>
  <c r="R1145" i="5"/>
  <c r="I1145" i="5"/>
  <c r="H1145" i="5"/>
  <c r="G1158" i="5"/>
  <c r="R1166" i="5"/>
  <c r="F1166" i="5"/>
  <c r="I1166" i="5"/>
  <c r="H1166" i="5"/>
  <c r="E1166" i="5"/>
  <c r="R1167" i="5"/>
  <c r="J1167" i="5"/>
  <c r="H1167" i="5"/>
  <c r="F1167" i="5"/>
  <c r="E1167" i="5"/>
  <c r="D9" i="6"/>
  <c r="D14" i="6"/>
  <c r="G1091" i="5"/>
  <c r="G1107" i="5"/>
  <c r="AB1129" i="5"/>
  <c r="G1129" i="5"/>
  <c r="R1137" i="5"/>
  <c r="E1137" i="5"/>
  <c r="X1137" i="5" s="1"/>
  <c r="J1139" i="5"/>
  <c r="I1154" i="5"/>
  <c r="H1154" i="5"/>
  <c r="F1154" i="5"/>
  <c r="V1161" i="5"/>
  <c r="R1165" i="5"/>
  <c r="J1165" i="5"/>
  <c r="E1165" i="5"/>
  <c r="S1102" i="5"/>
  <c r="S1118" i="5"/>
  <c r="T1122" i="5"/>
  <c r="AB1122" i="5"/>
  <c r="I1132" i="5"/>
  <c r="R1132" i="5"/>
  <c r="AB1145" i="5"/>
  <c r="G1145" i="5"/>
  <c r="AB1150" i="5"/>
  <c r="T1150" i="5"/>
  <c r="S1150" i="5"/>
  <c r="B34" i="6"/>
  <c r="G34" i="6" s="1"/>
  <c r="G1119" i="5"/>
  <c r="X1135" i="5"/>
  <c r="G1135" i="5"/>
  <c r="V1142" i="5"/>
  <c r="G1142" i="5" s="1"/>
  <c r="S1161" i="5"/>
  <c r="G1171" i="5"/>
  <c r="B29" i="6"/>
  <c r="G29" i="6" s="1"/>
  <c r="S1130" i="5"/>
  <c r="S1132" i="5"/>
  <c r="S1139" i="5"/>
  <c r="S1146" i="5"/>
  <c r="S1148" i="5"/>
  <c r="G1155" i="5"/>
  <c r="V1159" i="5"/>
  <c r="G1165" i="5"/>
  <c r="B24" i="6"/>
  <c r="G24" i="6" s="1"/>
  <c r="B19" i="6"/>
  <c r="B39" i="6"/>
  <c r="G39" i="6" s="1"/>
  <c r="B44" i="6"/>
  <c r="G44" i="6" s="1"/>
  <c r="B49" i="6"/>
  <c r="G49" i="6" s="1"/>
  <c r="G1123" i="5"/>
  <c r="G1139" i="5"/>
  <c r="F1144" i="5"/>
  <c r="G1166" i="5"/>
  <c r="G1154" i="5"/>
  <c r="G1167" i="5"/>
  <c r="B22" i="6"/>
  <c r="B27" i="6" s="1"/>
  <c r="G27" i="6" s="1"/>
  <c r="T580" i="5"/>
  <c r="T651" i="5"/>
  <c r="T597" i="5"/>
  <c r="T616" i="5"/>
  <c r="S608" i="5"/>
  <c r="T547" i="5"/>
  <c r="S612" i="5"/>
  <c r="T546" i="5"/>
  <c r="S642" i="5"/>
  <c r="S662" i="5"/>
  <c r="S503" i="5"/>
  <c r="S513" i="5"/>
  <c r="S635" i="5"/>
  <c r="T634" i="5"/>
  <c r="S536" i="5"/>
  <c r="S599" i="5"/>
  <c r="T581" i="5"/>
  <c r="T505" i="5"/>
  <c r="T528" i="5"/>
  <c r="T632" i="5"/>
  <c r="T557" i="5"/>
  <c r="S615" i="5"/>
  <c r="T633" i="5"/>
  <c r="T551" i="5"/>
  <c r="T612" i="5"/>
  <c r="S666" i="5"/>
  <c r="S631" i="5"/>
  <c r="T533" i="5"/>
  <c r="S517" i="5"/>
  <c r="T635" i="5"/>
  <c r="T631" i="5"/>
  <c r="T569" i="5"/>
  <c r="T627" i="5"/>
  <c r="T535" i="5"/>
  <c r="S625" i="5"/>
  <c r="S670" i="5"/>
  <c r="T587" i="5"/>
  <c r="T629" i="5"/>
  <c r="X630" i="5" l="1"/>
  <c r="X597" i="5"/>
  <c r="X593" i="5"/>
  <c r="X596" i="5"/>
  <c r="X619" i="5"/>
  <c r="X589" i="5"/>
  <c r="X616" i="5"/>
  <c r="X632" i="5"/>
  <c r="X664" i="5"/>
  <c r="X669" i="5"/>
  <c r="X651" i="5"/>
  <c r="X627" i="5"/>
  <c r="X647" i="5"/>
  <c r="X600" i="5"/>
  <c r="X551" i="5"/>
  <c r="C501" i="5"/>
  <c r="B501" i="5"/>
  <c r="C502" i="5"/>
  <c r="B502" i="5"/>
  <c r="C500" i="5"/>
  <c r="B500" i="5"/>
  <c r="B499" i="5"/>
  <c r="C498" i="5"/>
  <c r="B498" i="5"/>
  <c r="C499" i="5"/>
  <c r="B497" i="5"/>
  <c r="C497" i="5"/>
  <c r="C496" i="5"/>
  <c r="B496" i="5"/>
  <c r="C495" i="5"/>
  <c r="B495" i="5"/>
  <c r="C494" i="5"/>
  <c r="B494" i="5"/>
  <c r="B492" i="5"/>
  <c r="C493" i="5"/>
  <c r="B493" i="5"/>
  <c r="C492" i="5"/>
  <c r="C491" i="5"/>
  <c r="B491" i="5"/>
  <c r="C490" i="5"/>
  <c r="B490" i="5"/>
  <c r="R536" i="5"/>
  <c r="C489" i="5"/>
  <c r="B489" i="5"/>
  <c r="C488" i="5"/>
  <c r="C487" i="5"/>
  <c r="B488" i="5"/>
  <c r="B487" i="5"/>
  <c r="C486" i="5"/>
  <c r="B486" i="5"/>
  <c r="C485" i="5"/>
  <c r="B485" i="5"/>
  <c r="C484" i="5"/>
  <c r="B484" i="5"/>
  <c r="B483" i="5"/>
  <c r="C483" i="5"/>
  <c r="J716" i="5"/>
  <c r="C482" i="5"/>
  <c r="B482" i="5"/>
  <c r="C481" i="5"/>
  <c r="B481" i="5"/>
  <c r="B480" i="5"/>
  <c r="C480" i="5"/>
  <c r="C479" i="5"/>
  <c r="B479" i="5"/>
  <c r="C478" i="5"/>
  <c r="B478" i="5"/>
  <c r="C477" i="5"/>
  <c r="B477" i="5"/>
  <c r="B476" i="5"/>
  <c r="C476" i="5"/>
  <c r="C475" i="5"/>
  <c r="B475" i="5"/>
  <c r="C474" i="5"/>
  <c r="B474" i="5"/>
  <c r="C473" i="5"/>
  <c r="B473" i="5"/>
  <c r="B472" i="5"/>
  <c r="C472" i="5"/>
  <c r="C471" i="5"/>
  <c r="B471" i="5"/>
  <c r="C470" i="5"/>
  <c r="B470" i="5"/>
  <c r="C469" i="5"/>
  <c r="B469" i="5"/>
  <c r="C468" i="5"/>
  <c r="B468" i="5"/>
  <c r="C467" i="5"/>
  <c r="B467" i="5"/>
  <c r="C466" i="5"/>
  <c r="B466" i="5"/>
  <c r="B465" i="5"/>
  <c r="C465" i="5"/>
  <c r="C464" i="5"/>
  <c r="B464" i="5"/>
  <c r="C463" i="5"/>
  <c r="B463" i="5"/>
  <c r="C462" i="5"/>
  <c r="B462" i="5"/>
  <c r="B461" i="5"/>
  <c r="C461" i="5"/>
  <c r="C460" i="5"/>
  <c r="B460" i="5"/>
  <c r="C459" i="5"/>
  <c r="B459" i="5"/>
  <c r="C458" i="5"/>
  <c r="B458" i="5"/>
  <c r="B457" i="5"/>
  <c r="C457" i="5"/>
  <c r="C456" i="5"/>
  <c r="B456" i="5"/>
  <c r="B455" i="5"/>
  <c r="C455" i="5"/>
  <c r="C454" i="5"/>
  <c r="B454" i="5"/>
  <c r="C453" i="5"/>
  <c r="B453" i="5"/>
  <c r="I921" i="5"/>
  <c r="J1108" i="5"/>
  <c r="J921" i="5"/>
  <c r="F921" i="5"/>
  <c r="H921" i="5"/>
  <c r="G792" i="5"/>
  <c r="R792" i="5"/>
  <c r="E792" i="5"/>
  <c r="X792" i="5" s="1"/>
  <c r="F1039" i="5"/>
  <c r="H792" i="5"/>
  <c r="J895" i="5"/>
  <c r="I895" i="5"/>
  <c r="H895" i="5"/>
  <c r="R895" i="5"/>
  <c r="F1093" i="5"/>
  <c r="J1035" i="5"/>
  <c r="R531" i="5"/>
  <c r="F792" i="5"/>
  <c r="J792" i="5"/>
  <c r="I1053" i="5"/>
  <c r="B451" i="5"/>
  <c r="B447" i="5"/>
  <c r="B445" i="5"/>
  <c r="B441" i="5"/>
  <c r="B431" i="5"/>
  <c r="B429" i="5"/>
  <c r="B421" i="5"/>
  <c r="B418" i="5"/>
  <c r="B417" i="5"/>
  <c r="B410" i="5"/>
  <c r="B409" i="5"/>
  <c r="B406" i="5"/>
  <c r="B400" i="5"/>
  <c r="C450" i="5"/>
  <c r="C443" i="5"/>
  <c r="C440" i="5"/>
  <c r="C436" i="5"/>
  <c r="C433" i="5"/>
  <c r="C428" i="5"/>
  <c r="C427" i="5"/>
  <c r="C423" i="5"/>
  <c r="C416" i="5"/>
  <c r="C415" i="5"/>
  <c r="C412" i="5"/>
  <c r="C408" i="5"/>
  <c r="C405" i="5"/>
  <c r="C402" i="5"/>
  <c r="C401" i="5"/>
  <c r="C399" i="5"/>
  <c r="B450" i="5"/>
  <c r="B443" i="5"/>
  <c r="B440" i="5"/>
  <c r="B436" i="5"/>
  <c r="B433" i="5"/>
  <c r="B428" i="5"/>
  <c r="B427" i="5"/>
  <c r="B423" i="5"/>
  <c r="B416" i="5"/>
  <c r="B415" i="5"/>
  <c r="B412" i="5"/>
  <c r="B408" i="5"/>
  <c r="B405" i="5"/>
  <c r="B402" i="5"/>
  <c r="B401" i="5"/>
  <c r="B399" i="5"/>
  <c r="C449" i="5"/>
  <c r="C446" i="5"/>
  <c r="C442" i="5"/>
  <c r="C439" i="5"/>
  <c r="C437" i="5"/>
  <c r="C432" i="5"/>
  <c r="C426" i="5"/>
  <c r="C425" i="5"/>
  <c r="C422" i="5"/>
  <c r="C414" i="5"/>
  <c r="C411" i="5"/>
  <c r="C407" i="5"/>
  <c r="C404" i="5"/>
  <c r="B449" i="5"/>
  <c r="B446" i="5"/>
  <c r="B442" i="5"/>
  <c r="B439" i="5"/>
  <c r="B437" i="5"/>
  <c r="B432" i="5"/>
  <c r="B426" i="5"/>
  <c r="B425" i="5"/>
  <c r="B422" i="5"/>
  <c r="B414" i="5"/>
  <c r="B411" i="5"/>
  <c r="B407" i="5"/>
  <c r="B404" i="5"/>
  <c r="C452" i="5"/>
  <c r="C448" i="5"/>
  <c r="C444" i="5"/>
  <c r="C438" i="5"/>
  <c r="C435" i="5"/>
  <c r="C434" i="5"/>
  <c r="C430" i="5"/>
  <c r="C424" i="5"/>
  <c r="C420" i="5"/>
  <c r="C419" i="5"/>
  <c r="C413" i="5"/>
  <c r="C403" i="5"/>
  <c r="B452" i="5"/>
  <c r="B448" i="5"/>
  <c r="B444" i="5"/>
  <c r="B438" i="5"/>
  <c r="B435" i="5"/>
  <c r="B434" i="5"/>
  <c r="B430" i="5"/>
  <c r="B424" i="5"/>
  <c r="B420" i="5"/>
  <c r="B419" i="5"/>
  <c r="B413" i="5"/>
  <c r="B403" i="5"/>
  <c r="C451" i="5"/>
  <c r="C447" i="5"/>
  <c r="C445" i="5"/>
  <c r="C441" i="5"/>
  <c r="C431" i="5"/>
  <c r="C429" i="5"/>
  <c r="C421" i="5"/>
  <c r="C418" i="5"/>
  <c r="C417" i="5"/>
  <c r="C410" i="5"/>
  <c r="C409" i="5"/>
  <c r="C406" i="5"/>
  <c r="C400" i="5"/>
  <c r="C398" i="5"/>
  <c r="B398" i="5"/>
  <c r="C397" i="5"/>
  <c r="B397" i="5"/>
  <c r="C396" i="5"/>
  <c r="B396" i="5"/>
  <c r="B395" i="5"/>
  <c r="C395" i="5"/>
  <c r="C394" i="5"/>
  <c r="B394" i="5"/>
  <c r="C393" i="5"/>
  <c r="B393" i="5"/>
  <c r="C392" i="5"/>
  <c r="B392" i="5"/>
  <c r="B391" i="5"/>
  <c r="C391" i="5"/>
  <c r="C390" i="5"/>
  <c r="B390" i="5"/>
  <c r="C389" i="5"/>
  <c r="B389" i="5"/>
  <c r="C388" i="5"/>
  <c r="B388" i="5"/>
  <c r="I984" i="5"/>
  <c r="E812" i="5"/>
  <c r="X812" i="5" s="1"/>
  <c r="F1015" i="5"/>
  <c r="F812" i="5"/>
  <c r="J812" i="5"/>
  <c r="R1108" i="5"/>
  <c r="E745" i="5"/>
  <c r="X745" i="5" s="1"/>
  <c r="F845" i="5"/>
  <c r="J745" i="5"/>
  <c r="F965" i="5"/>
  <c r="T562" i="5"/>
  <c r="E932" i="5"/>
  <c r="X932" i="5" s="1"/>
  <c r="I913" i="5"/>
  <c r="F913" i="5"/>
  <c r="R613" i="5"/>
  <c r="R534" i="5"/>
  <c r="R562" i="5"/>
  <c r="H833" i="5"/>
  <c r="C387" i="5"/>
  <c r="B387" i="5"/>
  <c r="G721" i="5"/>
  <c r="F914" i="5"/>
  <c r="R535" i="5"/>
  <c r="R672" i="5"/>
  <c r="F1053" i="5"/>
  <c r="H1053" i="5"/>
  <c r="J1053" i="5"/>
  <c r="I1148" i="5"/>
  <c r="H716" i="5"/>
  <c r="H1141" i="5"/>
  <c r="R1141" i="5"/>
  <c r="F783" i="5"/>
  <c r="C386" i="5"/>
  <c r="B386" i="5"/>
  <c r="R1093" i="5"/>
  <c r="I783" i="5"/>
  <c r="I716" i="5"/>
  <c r="F1141" i="5"/>
  <c r="I1141" i="5"/>
  <c r="R716" i="5"/>
  <c r="J1141" i="5"/>
  <c r="J783" i="5"/>
  <c r="E716" i="5"/>
  <c r="X716" i="5" s="1"/>
  <c r="R783" i="5"/>
  <c r="F716" i="5"/>
  <c r="H788" i="5"/>
  <c r="J999" i="5"/>
  <c r="F999" i="5"/>
  <c r="F1097" i="5"/>
  <c r="G788" i="5"/>
  <c r="F1035" i="5"/>
  <c r="J922" i="5"/>
  <c r="J788" i="5"/>
  <c r="C385" i="5"/>
  <c r="B385" i="5"/>
  <c r="T594" i="5"/>
  <c r="J913" i="5"/>
  <c r="E820" i="5"/>
  <c r="X820" i="5" s="1"/>
  <c r="J820" i="5"/>
  <c r="R572" i="5"/>
  <c r="R636" i="5"/>
  <c r="R544" i="5"/>
  <c r="H932" i="5"/>
  <c r="H845" i="5"/>
  <c r="J1046" i="5"/>
  <c r="I932" i="5"/>
  <c r="F922" i="5"/>
  <c r="E914" i="5"/>
  <c r="X914" i="5" s="1"/>
  <c r="R788" i="5"/>
  <c r="H922" i="5"/>
  <c r="R1148" i="5"/>
  <c r="J903" i="5"/>
  <c r="E788" i="5"/>
  <c r="X788" i="5" s="1"/>
  <c r="F1106" i="5"/>
  <c r="F788" i="5"/>
  <c r="E922" i="5"/>
  <c r="X922" i="5" s="1"/>
  <c r="R903" i="5"/>
  <c r="J914" i="5"/>
  <c r="H903" i="5"/>
  <c r="H1148" i="5"/>
  <c r="C384" i="5"/>
  <c r="B384" i="5"/>
  <c r="G1079" i="5"/>
  <c r="T558" i="5"/>
  <c r="R558" i="5"/>
  <c r="H764" i="5"/>
  <c r="J834" i="5"/>
  <c r="E1134" i="5"/>
  <c r="X1134" i="5" s="1"/>
  <c r="R582" i="5"/>
  <c r="E771" i="5"/>
  <c r="X771" i="5" s="1"/>
  <c r="F771" i="5"/>
  <c r="R764" i="5"/>
  <c r="R509" i="5"/>
  <c r="J1020" i="5"/>
  <c r="I771" i="5"/>
  <c r="E764" i="5"/>
  <c r="X764" i="5" s="1"/>
  <c r="H988" i="5"/>
  <c r="H944" i="5"/>
  <c r="F944" i="5"/>
  <c r="J771" i="5"/>
  <c r="H800" i="5"/>
  <c r="I944" i="5"/>
  <c r="I834" i="5"/>
  <c r="G834" i="5"/>
  <c r="R771" i="5"/>
  <c r="J800" i="5"/>
  <c r="J1134" i="5"/>
  <c r="R988" i="5"/>
  <c r="E944" i="5"/>
  <c r="X944" i="5" s="1"/>
  <c r="E800" i="5"/>
  <c r="X800" i="5" s="1"/>
  <c r="I1134" i="5"/>
  <c r="I988" i="5"/>
  <c r="R944" i="5"/>
  <c r="R1134" i="5"/>
  <c r="I764" i="5"/>
  <c r="J764" i="5"/>
  <c r="F764" i="5"/>
  <c r="R721" i="5"/>
  <c r="H840" i="5"/>
  <c r="H965" i="5"/>
  <c r="R639" i="5"/>
  <c r="E965" i="5"/>
  <c r="X965" i="5" s="1"/>
  <c r="I965" i="5"/>
  <c r="J840" i="5"/>
  <c r="E1098" i="5"/>
  <c r="X1098" i="5" s="1"/>
  <c r="F1023" i="5"/>
  <c r="F1003" i="5"/>
  <c r="F840" i="5"/>
  <c r="R561" i="5"/>
  <c r="J965" i="5"/>
  <c r="G965" i="5"/>
  <c r="J1023" i="5"/>
  <c r="E1043" i="5"/>
  <c r="X1043" i="5" s="1"/>
  <c r="E1020" i="5"/>
  <c r="X1020" i="5" s="1"/>
  <c r="F895" i="5"/>
  <c r="I1097" i="5"/>
  <c r="H1106" i="5"/>
  <c r="R1046" i="5"/>
  <c r="E836" i="5"/>
  <c r="X836" i="5" s="1"/>
  <c r="R1097" i="5"/>
  <c r="J1106" i="5"/>
  <c r="R591" i="5"/>
  <c r="J1027" i="5"/>
  <c r="J836" i="5"/>
  <c r="R554" i="5"/>
  <c r="I1106" i="5"/>
  <c r="E1106" i="5"/>
  <c r="X1106" i="5" s="1"/>
  <c r="F1027" i="5"/>
  <c r="F836" i="5"/>
  <c r="R550" i="5"/>
  <c r="J1039" i="5"/>
  <c r="R643" i="5"/>
  <c r="T591" i="5"/>
  <c r="C383" i="5"/>
  <c r="B383" i="5"/>
  <c r="I1108" i="5"/>
  <c r="E1108" i="5"/>
  <c r="X1108" i="5" s="1"/>
  <c r="F817" i="5"/>
  <c r="J817" i="5"/>
  <c r="H817" i="5"/>
  <c r="F1108" i="5"/>
  <c r="J1043" i="5"/>
  <c r="R565" i="5"/>
  <c r="G771" i="5"/>
  <c r="H1108" i="5"/>
  <c r="F1043" i="5"/>
  <c r="T672" i="5"/>
  <c r="J1092" i="5"/>
  <c r="E1079" i="5"/>
  <c r="X1079" i="5" s="1"/>
  <c r="E1062" i="5"/>
  <c r="X1062" i="5" s="1"/>
  <c r="R1079" i="5"/>
  <c r="J833" i="5"/>
  <c r="F780" i="5"/>
  <c r="R1160" i="5"/>
  <c r="E1055" i="5"/>
  <c r="X1055" i="5" s="1"/>
  <c r="J1062" i="5"/>
  <c r="I1092" i="5"/>
  <c r="F1055" i="5"/>
  <c r="R1062" i="5"/>
  <c r="I1098" i="5"/>
  <c r="E768" i="5"/>
  <c r="X768" i="5" s="1"/>
  <c r="E780" i="5"/>
  <c r="X780" i="5" s="1"/>
  <c r="R737" i="5"/>
  <c r="F1098" i="5"/>
  <c r="E1092" i="5"/>
  <c r="X1092" i="5" s="1"/>
  <c r="I922" i="5"/>
  <c r="G1062" i="5"/>
  <c r="R833" i="5"/>
  <c r="J780" i="5"/>
  <c r="G737" i="5"/>
  <c r="G780" i="5"/>
  <c r="E1148" i="5"/>
  <c r="X1148" i="5" s="1"/>
  <c r="J897" i="5"/>
  <c r="E895" i="5"/>
  <c r="X895" i="5" s="1"/>
  <c r="F1092" i="5"/>
  <c r="F1148" i="5"/>
  <c r="H1160" i="5"/>
  <c r="H1098" i="5"/>
  <c r="T586" i="5"/>
  <c r="I1160" i="5"/>
  <c r="H1092" i="5"/>
  <c r="J1079" i="5"/>
  <c r="J1098" i="5"/>
  <c r="J1055" i="5"/>
  <c r="J1148" i="5"/>
  <c r="E833" i="5"/>
  <c r="X833" i="5" s="1"/>
  <c r="H768" i="5"/>
  <c r="H780" i="5"/>
  <c r="F833" i="5"/>
  <c r="F1079" i="5"/>
  <c r="R768" i="5"/>
  <c r="R780" i="5"/>
  <c r="H1079" i="5"/>
  <c r="I833" i="5"/>
  <c r="J988" i="5"/>
  <c r="F988" i="5"/>
  <c r="F897" i="5"/>
  <c r="E897" i="5"/>
  <c r="X897" i="5" s="1"/>
  <c r="R897" i="5"/>
  <c r="I897" i="5"/>
  <c r="R817" i="5"/>
  <c r="I817" i="5"/>
  <c r="E817" i="5"/>
  <c r="X817" i="5" s="1"/>
  <c r="G1141" i="5"/>
  <c r="T536" i="5"/>
  <c r="F1134" i="5"/>
  <c r="H1134" i="5"/>
  <c r="R745" i="5"/>
  <c r="I745" i="5"/>
  <c r="F745" i="5"/>
  <c r="H745" i="5"/>
  <c r="G988" i="5"/>
  <c r="R594" i="5"/>
  <c r="G1106" i="5"/>
  <c r="E921" i="5"/>
  <c r="X921" i="5" s="1"/>
  <c r="R921" i="5"/>
  <c r="G922" i="5"/>
  <c r="G897" i="5"/>
  <c r="H1073" i="5"/>
  <c r="R1073" i="5"/>
  <c r="J1073" i="5"/>
  <c r="F1073" i="5"/>
  <c r="E1073" i="5"/>
  <c r="X1073" i="5" s="1"/>
  <c r="J984" i="5"/>
  <c r="H984" i="5"/>
  <c r="F984" i="5"/>
  <c r="R984" i="5"/>
  <c r="G1092" i="5"/>
  <c r="I999" i="5"/>
  <c r="R999" i="5"/>
  <c r="H999" i="5"/>
  <c r="E999" i="5"/>
  <c r="X999" i="5" s="1"/>
  <c r="R932" i="5"/>
  <c r="F932" i="5"/>
  <c r="J932" i="5"/>
  <c r="I1015" i="5"/>
  <c r="R1015" i="5"/>
  <c r="H1015" i="5"/>
  <c r="E1015" i="5"/>
  <c r="X1015" i="5" s="1"/>
  <c r="R1003" i="5"/>
  <c r="I1003" i="5"/>
  <c r="E1003" i="5"/>
  <c r="X1003" i="5" s="1"/>
  <c r="H1003" i="5"/>
  <c r="I820" i="5"/>
  <c r="H820" i="5"/>
  <c r="R820" i="5"/>
  <c r="E718" i="5"/>
  <c r="X718" i="5" s="1"/>
  <c r="J718" i="5"/>
  <c r="I718" i="5"/>
  <c r="H718" i="5"/>
  <c r="F718" i="5"/>
  <c r="R718" i="5"/>
  <c r="F768" i="5"/>
  <c r="J768" i="5"/>
  <c r="I768" i="5"/>
  <c r="H1083" i="5"/>
  <c r="R1083" i="5"/>
  <c r="J1083" i="5"/>
  <c r="F1083" i="5"/>
  <c r="G1083" i="5"/>
  <c r="E1083" i="5"/>
  <c r="X1083" i="5" s="1"/>
  <c r="I1083" i="5"/>
  <c r="G984" i="5"/>
  <c r="J1160" i="5"/>
  <c r="F1160" i="5"/>
  <c r="E1160" i="5"/>
  <c r="R1164" i="5"/>
  <c r="I1164" i="5"/>
  <c r="H1164" i="5"/>
  <c r="F1164" i="5"/>
  <c r="E1164" i="5"/>
  <c r="J1164" i="5"/>
  <c r="H1020" i="5"/>
  <c r="R1020" i="5"/>
  <c r="I1020" i="5"/>
  <c r="F1020" i="5"/>
  <c r="G944" i="5"/>
  <c r="E726" i="5"/>
  <c r="X726" i="5" s="1"/>
  <c r="G726" i="5"/>
  <c r="F726" i="5"/>
  <c r="R726" i="5"/>
  <c r="I726" i="5"/>
  <c r="J726" i="5"/>
  <c r="H726" i="5"/>
  <c r="H914" i="5"/>
  <c r="R914" i="5"/>
  <c r="I914" i="5"/>
  <c r="R567" i="5"/>
  <c r="T567" i="5"/>
  <c r="F1046" i="5"/>
  <c r="I1046" i="5"/>
  <c r="E1046" i="5"/>
  <c r="X1046" i="5" s="1"/>
  <c r="G1073" i="5"/>
  <c r="I836" i="5"/>
  <c r="R836" i="5"/>
  <c r="H836" i="5"/>
  <c r="I800" i="5"/>
  <c r="F800" i="5"/>
  <c r="G800" i="5"/>
  <c r="T544" i="5"/>
  <c r="G1046" i="5"/>
  <c r="H1097" i="5"/>
  <c r="E1097" i="5"/>
  <c r="X1097" i="5" s="1"/>
  <c r="H1052" i="5"/>
  <c r="J1052" i="5"/>
  <c r="I1052" i="5"/>
  <c r="F1052" i="5"/>
  <c r="E1052" i="5"/>
  <c r="X1052" i="5" s="1"/>
  <c r="R1052" i="5"/>
  <c r="I1039" i="5"/>
  <c r="R1039" i="5"/>
  <c r="H1039" i="5"/>
  <c r="E1039" i="5"/>
  <c r="X1039" i="5" s="1"/>
  <c r="I812" i="5"/>
  <c r="H812" i="5"/>
  <c r="R812" i="5"/>
  <c r="R840" i="5"/>
  <c r="I840" i="5"/>
  <c r="E840" i="5"/>
  <c r="X840" i="5" s="1"/>
  <c r="I1116" i="5"/>
  <c r="H1116" i="5"/>
  <c r="F1116" i="5"/>
  <c r="E1116" i="5"/>
  <c r="X1116" i="5" s="1"/>
  <c r="R1116" i="5"/>
  <c r="J1116" i="5"/>
  <c r="R1053" i="5"/>
  <c r="E1053" i="5"/>
  <c r="X1053" i="5" s="1"/>
  <c r="G1098" i="5"/>
  <c r="G1097" i="5"/>
  <c r="G1052" i="5"/>
  <c r="R913" i="5"/>
  <c r="H913" i="5"/>
  <c r="E913" i="5"/>
  <c r="X913" i="5" s="1"/>
  <c r="E903" i="5"/>
  <c r="X903" i="5" s="1"/>
  <c r="I903" i="5"/>
  <c r="F903" i="5"/>
  <c r="R586" i="5"/>
  <c r="I1062" i="5"/>
  <c r="F1062" i="5"/>
  <c r="H783" i="5"/>
  <c r="E783" i="5"/>
  <c r="X783" i="5" s="1"/>
  <c r="H1093" i="5"/>
  <c r="E1093" i="5"/>
  <c r="X1093" i="5" s="1"/>
  <c r="J1093" i="5"/>
  <c r="I1093" i="5"/>
  <c r="G1164" i="5"/>
  <c r="R1043" i="5"/>
  <c r="I1043" i="5"/>
  <c r="H1043" i="5"/>
  <c r="H905" i="5"/>
  <c r="R905" i="5"/>
  <c r="J905" i="5"/>
  <c r="I905" i="5"/>
  <c r="F905" i="5"/>
  <c r="E905" i="5"/>
  <c r="X905" i="5" s="1"/>
  <c r="I1055" i="5"/>
  <c r="R1055" i="5"/>
  <c r="H1055" i="5"/>
  <c r="R1027" i="5"/>
  <c r="I1027" i="5"/>
  <c r="E1027" i="5"/>
  <c r="X1027" i="5" s="1"/>
  <c r="H1027" i="5"/>
  <c r="G905" i="5"/>
  <c r="R845" i="5"/>
  <c r="E845" i="5"/>
  <c r="X845" i="5" s="1"/>
  <c r="J845" i="5"/>
  <c r="R834" i="5"/>
  <c r="H834" i="5"/>
  <c r="E834" i="5"/>
  <c r="X834" i="5" s="1"/>
  <c r="H809" i="5"/>
  <c r="E809" i="5"/>
  <c r="X809" i="5" s="1"/>
  <c r="R809" i="5"/>
  <c r="I809" i="5"/>
  <c r="J809" i="5"/>
  <c r="F809" i="5"/>
  <c r="I1035" i="5"/>
  <c r="H1035" i="5"/>
  <c r="E1035" i="5"/>
  <c r="X1035" i="5" s="1"/>
  <c r="R1035" i="5"/>
  <c r="H1060" i="5"/>
  <c r="J1060" i="5"/>
  <c r="I1060" i="5"/>
  <c r="F1060" i="5"/>
  <c r="R1060" i="5"/>
  <c r="E1060" i="5"/>
  <c r="X1060" i="5" s="1"/>
  <c r="G1015" i="5"/>
  <c r="G1003" i="5"/>
  <c r="I1023" i="5"/>
  <c r="R1023" i="5"/>
  <c r="E1023" i="5"/>
  <c r="X1023" i="5" s="1"/>
  <c r="H1023" i="5"/>
  <c r="G845" i="5"/>
  <c r="G820" i="5"/>
  <c r="I721" i="5"/>
  <c r="F721" i="5"/>
  <c r="E721" i="5"/>
  <c r="X721" i="5" s="1"/>
  <c r="H721" i="5"/>
  <c r="H1064" i="5"/>
  <c r="I1064" i="5"/>
  <c r="F1064" i="5"/>
  <c r="E1064" i="5"/>
  <c r="X1064" i="5" s="1"/>
  <c r="R1064" i="5"/>
  <c r="J1064" i="5"/>
  <c r="H737" i="5"/>
  <c r="I737" i="5"/>
  <c r="E737" i="5"/>
  <c r="X737" i="5" s="1"/>
  <c r="F737" i="5"/>
  <c r="E738" i="5"/>
  <c r="X738" i="5" s="1"/>
  <c r="R738" i="5"/>
  <c r="J738" i="5"/>
  <c r="I738" i="5"/>
  <c r="H738" i="5"/>
  <c r="F738" i="5"/>
  <c r="H1077" i="5"/>
  <c r="R1077" i="5"/>
  <c r="J1077" i="5"/>
  <c r="I1077" i="5"/>
  <c r="F1077" i="5"/>
  <c r="E1077" i="5"/>
  <c r="X1077" i="5" s="1"/>
  <c r="T648" i="5"/>
  <c r="R648" i="5"/>
  <c r="I1159" i="5"/>
  <c r="F1159" i="5"/>
  <c r="E1159" i="5"/>
  <c r="X1159" i="5" s="1"/>
  <c r="G1159" i="5"/>
  <c r="H1159" i="5"/>
  <c r="J1159" i="5"/>
  <c r="R1159" i="5"/>
  <c r="I1140" i="5"/>
  <c r="H1140" i="5"/>
  <c r="F1140" i="5"/>
  <c r="J1140" i="5"/>
  <c r="R1140" i="5"/>
  <c r="E1140" i="5"/>
  <c r="X1140" i="5" s="1"/>
  <c r="R923" i="5"/>
  <c r="J923" i="5"/>
  <c r="F923" i="5"/>
  <c r="I923" i="5"/>
  <c r="H923" i="5"/>
  <c r="E923" i="5"/>
  <c r="X923" i="5" s="1"/>
  <c r="R898" i="5"/>
  <c r="J898" i="5"/>
  <c r="I898" i="5"/>
  <c r="H898" i="5"/>
  <c r="F898" i="5"/>
  <c r="E898" i="5"/>
  <c r="X898" i="5" s="1"/>
  <c r="F844" i="5"/>
  <c r="J844" i="5"/>
  <c r="G844" i="5"/>
  <c r="E844" i="5"/>
  <c r="X844" i="5" s="1"/>
  <c r="R844" i="5"/>
  <c r="I844" i="5"/>
  <c r="H844" i="5"/>
  <c r="R874" i="5"/>
  <c r="J874" i="5"/>
  <c r="I874" i="5"/>
  <c r="H874" i="5"/>
  <c r="F874" i="5"/>
  <c r="G874" i="5"/>
  <c r="E874" i="5"/>
  <c r="X874" i="5" s="1"/>
  <c r="G923" i="5"/>
  <c r="F856" i="5"/>
  <c r="E856" i="5"/>
  <c r="X856" i="5" s="1"/>
  <c r="J856" i="5"/>
  <c r="R856" i="5"/>
  <c r="I856" i="5"/>
  <c r="H856" i="5"/>
  <c r="R795" i="5"/>
  <c r="J795" i="5"/>
  <c r="I795" i="5"/>
  <c r="H795" i="5"/>
  <c r="F795" i="5"/>
  <c r="E795" i="5"/>
  <c r="X795" i="5" s="1"/>
  <c r="G795" i="5"/>
  <c r="F769" i="5"/>
  <c r="E769" i="5"/>
  <c r="X769" i="5" s="1"/>
  <c r="J769" i="5"/>
  <c r="H769" i="5"/>
  <c r="R769" i="5"/>
  <c r="I769" i="5"/>
  <c r="G769" i="5"/>
  <c r="R787" i="5"/>
  <c r="J787" i="5"/>
  <c r="I787" i="5"/>
  <c r="H787" i="5"/>
  <c r="F787" i="5"/>
  <c r="G787" i="5"/>
  <c r="E787" i="5"/>
  <c r="X787" i="5" s="1"/>
  <c r="F695" i="5"/>
  <c r="R695" i="5"/>
  <c r="J695" i="5"/>
  <c r="I695" i="5"/>
  <c r="H695" i="5"/>
  <c r="E695" i="5"/>
  <c r="X695" i="5" s="1"/>
  <c r="R650" i="5"/>
  <c r="R543" i="5"/>
  <c r="T543" i="5"/>
  <c r="R508" i="5"/>
  <c r="T508" i="5"/>
  <c r="F981" i="5"/>
  <c r="R981" i="5"/>
  <c r="J981" i="5"/>
  <c r="I981" i="5"/>
  <c r="H981" i="5"/>
  <c r="E981" i="5"/>
  <c r="X981" i="5" s="1"/>
  <c r="G981" i="5"/>
  <c r="F793" i="5"/>
  <c r="E793" i="5"/>
  <c r="X793" i="5" s="1"/>
  <c r="J793" i="5"/>
  <c r="R793" i="5"/>
  <c r="I793" i="5"/>
  <c r="H793" i="5"/>
  <c r="F765" i="5"/>
  <c r="E765" i="5"/>
  <c r="X765" i="5" s="1"/>
  <c r="J765" i="5"/>
  <c r="R765" i="5"/>
  <c r="I765" i="5"/>
  <c r="H765" i="5"/>
  <c r="R525" i="5"/>
  <c r="T525" i="5"/>
  <c r="D16" i="6"/>
  <c r="C16" i="6"/>
  <c r="J1099" i="5"/>
  <c r="I1099" i="5"/>
  <c r="F1099" i="5"/>
  <c r="E1099" i="5"/>
  <c r="X1099" i="5" s="1"/>
  <c r="R1099" i="5"/>
  <c r="H1099" i="5"/>
  <c r="G1099" i="5"/>
  <c r="J1082" i="5"/>
  <c r="I1082" i="5"/>
  <c r="E1082" i="5"/>
  <c r="X1082" i="5" s="1"/>
  <c r="R1082" i="5"/>
  <c r="H1082" i="5"/>
  <c r="F1082" i="5"/>
  <c r="I964" i="5"/>
  <c r="R964" i="5"/>
  <c r="J964" i="5"/>
  <c r="H964" i="5"/>
  <c r="F964" i="5"/>
  <c r="E964" i="5"/>
  <c r="X964" i="5" s="1"/>
  <c r="G964" i="5"/>
  <c r="F781" i="5"/>
  <c r="E781" i="5"/>
  <c r="X781" i="5" s="1"/>
  <c r="J781" i="5"/>
  <c r="R781" i="5"/>
  <c r="I781" i="5"/>
  <c r="H781" i="5"/>
  <c r="F675" i="5"/>
  <c r="J675" i="5"/>
  <c r="I675" i="5"/>
  <c r="H675" i="5"/>
  <c r="E675" i="5"/>
  <c r="X675" i="5" s="1"/>
  <c r="R675" i="5"/>
  <c r="R646" i="5"/>
  <c r="R604" i="5"/>
  <c r="T604" i="5"/>
  <c r="D15" i="6"/>
  <c r="K66" i="6"/>
  <c r="C15" i="6"/>
  <c r="R971" i="5"/>
  <c r="J971" i="5"/>
  <c r="I971" i="5"/>
  <c r="H971" i="5"/>
  <c r="F971" i="5"/>
  <c r="E971" i="5"/>
  <c r="X971" i="5" s="1"/>
  <c r="R870" i="5"/>
  <c r="J870" i="5"/>
  <c r="I870" i="5"/>
  <c r="H870" i="5"/>
  <c r="F870" i="5"/>
  <c r="E870" i="5"/>
  <c r="X870" i="5" s="1"/>
  <c r="G870" i="5"/>
  <c r="R791" i="5"/>
  <c r="J791" i="5"/>
  <c r="I791" i="5"/>
  <c r="H791" i="5"/>
  <c r="F791" i="5"/>
  <c r="G791" i="5"/>
  <c r="E791" i="5"/>
  <c r="X791" i="5" s="1"/>
  <c r="G1077" i="5"/>
  <c r="F963" i="5"/>
  <c r="E963" i="5"/>
  <c r="X963" i="5" s="1"/>
  <c r="R963" i="5"/>
  <c r="J963" i="5"/>
  <c r="H963" i="5"/>
  <c r="I963" i="5"/>
  <c r="G963" i="5"/>
  <c r="G675" i="5"/>
  <c r="I712" i="5"/>
  <c r="H712" i="5"/>
  <c r="R712" i="5"/>
  <c r="J712" i="5"/>
  <c r="F712" i="5"/>
  <c r="E712" i="5"/>
  <c r="X712" i="5" s="1"/>
  <c r="G712" i="5"/>
  <c r="T617" i="5"/>
  <c r="R617" i="5"/>
  <c r="R518" i="5"/>
  <c r="T518" i="5"/>
  <c r="R523" i="5"/>
  <c r="F1161" i="5"/>
  <c r="E1161" i="5"/>
  <c r="H1161" i="5"/>
  <c r="J1161" i="5"/>
  <c r="I1161" i="5"/>
  <c r="R1161" i="5"/>
  <c r="G1161" i="5"/>
  <c r="F1169" i="5"/>
  <c r="E1169" i="5"/>
  <c r="R1169" i="5"/>
  <c r="J1169" i="5"/>
  <c r="I1169" i="5"/>
  <c r="H1169" i="5"/>
  <c r="E1138" i="5"/>
  <c r="X1138" i="5" s="1"/>
  <c r="I1138" i="5"/>
  <c r="H1138" i="5"/>
  <c r="J1138" i="5"/>
  <c r="R1138" i="5"/>
  <c r="F1138" i="5"/>
  <c r="G21" i="6"/>
  <c r="B46" i="6"/>
  <c r="G46" i="6" s="1"/>
  <c r="B31" i="6"/>
  <c r="G31" i="6" s="1"/>
  <c r="B41" i="6"/>
  <c r="G41" i="6" s="1"/>
  <c r="B51" i="6"/>
  <c r="G51" i="6" s="1"/>
  <c r="B26" i="6"/>
  <c r="G26" i="6" s="1"/>
  <c r="E1094" i="5"/>
  <c r="X1094" i="5" s="1"/>
  <c r="H1094" i="5"/>
  <c r="I1094" i="5"/>
  <c r="R1094" i="5"/>
  <c r="J1094" i="5"/>
  <c r="F1094" i="5"/>
  <c r="R1127" i="5"/>
  <c r="I1127" i="5"/>
  <c r="J1127" i="5"/>
  <c r="E1127" i="5"/>
  <c r="X1127" i="5" s="1"/>
  <c r="H1127" i="5"/>
  <c r="F1127" i="5"/>
  <c r="G971" i="5"/>
  <c r="J1013" i="5"/>
  <c r="F1013" i="5"/>
  <c r="R1013" i="5"/>
  <c r="I1013" i="5"/>
  <c r="H1013" i="5"/>
  <c r="E1013" i="5"/>
  <c r="X1013" i="5" s="1"/>
  <c r="R939" i="5"/>
  <c r="J939" i="5"/>
  <c r="I939" i="5"/>
  <c r="F939" i="5"/>
  <c r="E939" i="5"/>
  <c r="X939" i="5" s="1"/>
  <c r="H939" i="5"/>
  <c r="R931" i="5"/>
  <c r="J931" i="5"/>
  <c r="F931" i="5"/>
  <c r="I931" i="5"/>
  <c r="H931" i="5"/>
  <c r="E931" i="5"/>
  <c r="X931" i="5" s="1"/>
  <c r="F852" i="5"/>
  <c r="E852" i="5"/>
  <c r="X852" i="5" s="1"/>
  <c r="J852" i="5"/>
  <c r="R852" i="5"/>
  <c r="I852" i="5"/>
  <c r="H852" i="5"/>
  <c r="G852" i="5"/>
  <c r="R739" i="5"/>
  <c r="H739" i="5"/>
  <c r="F739" i="5"/>
  <c r="J739" i="5"/>
  <c r="I739" i="5"/>
  <c r="E739" i="5"/>
  <c r="X739" i="5" s="1"/>
  <c r="G739" i="5"/>
  <c r="H723" i="5"/>
  <c r="F723" i="5"/>
  <c r="R723" i="5"/>
  <c r="J723" i="5"/>
  <c r="I723" i="5"/>
  <c r="E723" i="5"/>
  <c r="X723" i="5" s="1"/>
  <c r="G723" i="5"/>
  <c r="R521" i="5"/>
  <c r="T521" i="5"/>
  <c r="R511" i="5"/>
  <c r="R1121" i="5"/>
  <c r="H1121" i="5"/>
  <c r="E1121" i="5"/>
  <c r="X1121" i="5" s="1"/>
  <c r="J1121" i="5"/>
  <c r="I1121" i="5"/>
  <c r="F1121" i="5"/>
  <c r="J1021" i="5"/>
  <c r="F1021" i="5"/>
  <c r="R1021" i="5"/>
  <c r="I1021" i="5"/>
  <c r="H1021" i="5"/>
  <c r="E1021" i="5"/>
  <c r="X1021" i="5" s="1"/>
  <c r="I982" i="5"/>
  <c r="H982" i="5"/>
  <c r="E982" i="5"/>
  <c r="X982" i="5" s="1"/>
  <c r="R982" i="5"/>
  <c r="J982" i="5"/>
  <c r="F982" i="5"/>
  <c r="R654" i="5"/>
  <c r="T654" i="5"/>
  <c r="I747" i="5"/>
  <c r="F747" i="5"/>
  <c r="J747" i="5"/>
  <c r="H747" i="5"/>
  <c r="E747" i="5"/>
  <c r="X747" i="5" s="1"/>
  <c r="R747" i="5"/>
  <c r="G747" i="5"/>
  <c r="F67" i="6"/>
  <c r="F51" i="6"/>
  <c r="H51" i="6" s="1"/>
  <c r="H26" i="6"/>
  <c r="F36" i="6"/>
  <c r="H36" i="6" s="1"/>
  <c r="F31" i="6"/>
  <c r="H31" i="6" s="1"/>
  <c r="F41" i="6"/>
  <c r="H41" i="6" s="1"/>
  <c r="F46" i="6"/>
  <c r="H46" i="6" s="1"/>
  <c r="F977" i="5"/>
  <c r="R977" i="5"/>
  <c r="J977" i="5"/>
  <c r="I977" i="5"/>
  <c r="H977" i="5"/>
  <c r="E977" i="5"/>
  <c r="X977" i="5" s="1"/>
  <c r="R927" i="5"/>
  <c r="J927" i="5"/>
  <c r="F927" i="5"/>
  <c r="I927" i="5"/>
  <c r="H927" i="5"/>
  <c r="E927" i="5"/>
  <c r="X927" i="5" s="1"/>
  <c r="G781" i="5"/>
  <c r="E1102" i="5"/>
  <c r="X1102" i="5" s="1"/>
  <c r="R1102" i="5"/>
  <c r="J1102" i="5"/>
  <c r="I1102" i="5"/>
  <c r="H1102" i="5"/>
  <c r="F1102" i="5"/>
  <c r="G1102" i="5"/>
  <c r="R1162" i="5"/>
  <c r="J1162" i="5"/>
  <c r="I1162" i="5"/>
  <c r="F1162" i="5"/>
  <c r="E1162" i="5"/>
  <c r="H1162" i="5"/>
  <c r="G939" i="5"/>
  <c r="F880" i="5"/>
  <c r="E880" i="5"/>
  <c r="X880" i="5" s="1"/>
  <c r="J880" i="5"/>
  <c r="H880" i="5"/>
  <c r="R880" i="5"/>
  <c r="I880" i="5"/>
  <c r="R902" i="5"/>
  <c r="J902" i="5"/>
  <c r="I902" i="5"/>
  <c r="H902" i="5"/>
  <c r="F902" i="5"/>
  <c r="E902" i="5"/>
  <c r="X902" i="5" s="1"/>
  <c r="G902" i="5"/>
  <c r="G931" i="5"/>
  <c r="G793" i="5"/>
  <c r="R667" i="5"/>
  <c r="T667" i="5"/>
  <c r="F707" i="5"/>
  <c r="J707" i="5"/>
  <c r="I707" i="5"/>
  <c r="H707" i="5"/>
  <c r="E707" i="5"/>
  <c r="X707" i="5" s="1"/>
  <c r="R707" i="5"/>
  <c r="H727" i="5"/>
  <c r="F727" i="5"/>
  <c r="R727" i="5"/>
  <c r="J727" i="5"/>
  <c r="I727" i="5"/>
  <c r="E727" i="5"/>
  <c r="X727" i="5" s="1"/>
  <c r="G727" i="5"/>
  <c r="J724" i="5"/>
  <c r="I724" i="5"/>
  <c r="H724" i="5"/>
  <c r="R724" i="5"/>
  <c r="F724" i="5"/>
  <c r="E724" i="5"/>
  <c r="X724" i="5" s="1"/>
  <c r="G724" i="5"/>
  <c r="R514" i="5"/>
  <c r="T514" i="5"/>
  <c r="I1112" i="5"/>
  <c r="F1112" i="5"/>
  <c r="J1112" i="5"/>
  <c r="E1112" i="5"/>
  <c r="X1112" i="5" s="1"/>
  <c r="R1112" i="5"/>
  <c r="H1112" i="5"/>
  <c r="G1112" i="5"/>
  <c r="R878" i="5"/>
  <c r="J878" i="5"/>
  <c r="I878" i="5"/>
  <c r="H878" i="5"/>
  <c r="F878" i="5"/>
  <c r="E878" i="5"/>
  <c r="X878" i="5" s="1"/>
  <c r="I755" i="5"/>
  <c r="F755" i="5"/>
  <c r="R755" i="5"/>
  <c r="J755" i="5"/>
  <c r="H755" i="5"/>
  <c r="E755" i="5"/>
  <c r="X755" i="5" s="1"/>
  <c r="I1104" i="5"/>
  <c r="R1104" i="5"/>
  <c r="J1104" i="5"/>
  <c r="H1104" i="5"/>
  <c r="F1104" i="5"/>
  <c r="E1104" i="5"/>
  <c r="X1104" i="5" s="1"/>
  <c r="G1104" i="5"/>
  <c r="F66" i="6"/>
  <c r="F45" i="6"/>
  <c r="H45" i="6" s="1"/>
  <c r="F50" i="6"/>
  <c r="H50" i="6" s="1"/>
  <c r="H25" i="6"/>
  <c r="F40" i="6"/>
  <c r="F35" i="6"/>
  <c r="H35" i="6" s="1"/>
  <c r="F30" i="6"/>
  <c r="G1121" i="5"/>
  <c r="G765" i="5"/>
  <c r="R516" i="5"/>
  <c r="T516" i="5"/>
  <c r="J997" i="5"/>
  <c r="F997" i="5"/>
  <c r="R997" i="5"/>
  <c r="I997" i="5"/>
  <c r="H997" i="5"/>
  <c r="E997" i="5"/>
  <c r="X997" i="5" s="1"/>
  <c r="R951" i="5"/>
  <c r="J951" i="5"/>
  <c r="I951" i="5"/>
  <c r="F951" i="5"/>
  <c r="H951" i="5"/>
  <c r="E951" i="5"/>
  <c r="X951" i="5" s="1"/>
  <c r="G951" i="5"/>
  <c r="I1096" i="5"/>
  <c r="F1096" i="5"/>
  <c r="J1096" i="5"/>
  <c r="E1096" i="5"/>
  <c r="X1096" i="5" s="1"/>
  <c r="R1096" i="5"/>
  <c r="H1096" i="5"/>
  <c r="J1037" i="5"/>
  <c r="F1037" i="5"/>
  <c r="R1037" i="5"/>
  <c r="I1037" i="5"/>
  <c r="H1037" i="5"/>
  <c r="E1037" i="5"/>
  <c r="X1037" i="5" s="1"/>
  <c r="F868" i="5"/>
  <c r="E868" i="5"/>
  <c r="X868" i="5" s="1"/>
  <c r="J868" i="5"/>
  <c r="R868" i="5"/>
  <c r="I868" i="5"/>
  <c r="H868" i="5"/>
  <c r="G868" i="5"/>
  <c r="F848" i="5"/>
  <c r="E848" i="5"/>
  <c r="X848" i="5" s="1"/>
  <c r="J848" i="5"/>
  <c r="R848" i="5"/>
  <c r="I848" i="5"/>
  <c r="H848" i="5"/>
  <c r="R862" i="5"/>
  <c r="J862" i="5"/>
  <c r="I862" i="5"/>
  <c r="H862" i="5"/>
  <c r="F862" i="5"/>
  <c r="E862" i="5"/>
  <c r="X862" i="5" s="1"/>
  <c r="G862" i="5"/>
  <c r="R677" i="5"/>
  <c r="J677" i="5"/>
  <c r="I677" i="5"/>
  <c r="H677" i="5"/>
  <c r="F677" i="5"/>
  <c r="E677" i="5"/>
  <c r="X677" i="5" s="1"/>
  <c r="R618" i="5"/>
  <c r="T618" i="5"/>
  <c r="R530" i="5"/>
  <c r="D20" i="6"/>
  <c r="C20" i="6"/>
  <c r="I974" i="5"/>
  <c r="H974" i="5"/>
  <c r="E974" i="5"/>
  <c r="X974" i="5" s="1"/>
  <c r="J974" i="5"/>
  <c r="F974" i="5"/>
  <c r="R974" i="5"/>
  <c r="G974" i="5"/>
  <c r="F864" i="5"/>
  <c r="E864" i="5"/>
  <c r="X864" i="5" s="1"/>
  <c r="J864" i="5"/>
  <c r="H864" i="5"/>
  <c r="R864" i="5"/>
  <c r="I864" i="5"/>
  <c r="G864" i="5"/>
  <c r="E966" i="5"/>
  <c r="X966" i="5" s="1"/>
  <c r="I966" i="5"/>
  <c r="H966" i="5"/>
  <c r="G966" i="5"/>
  <c r="J966" i="5"/>
  <c r="F966" i="5"/>
  <c r="R966" i="5"/>
  <c r="F953" i="5"/>
  <c r="E953" i="5"/>
  <c r="X953" i="5" s="1"/>
  <c r="R953" i="5"/>
  <c r="J953" i="5"/>
  <c r="I953" i="5"/>
  <c r="H953" i="5"/>
  <c r="G953" i="5"/>
  <c r="E1122" i="5"/>
  <c r="X1122" i="5" s="1"/>
  <c r="I1122" i="5"/>
  <c r="J1122" i="5"/>
  <c r="R1122" i="5"/>
  <c r="H1122" i="5"/>
  <c r="F1122" i="5"/>
  <c r="I1151" i="5"/>
  <c r="R1151" i="5"/>
  <c r="J1151" i="5"/>
  <c r="H1151" i="5"/>
  <c r="F1151" i="5"/>
  <c r="E1151" i="5"/>
  <c r="X1151" i="5" s="1"/>
  <c r="G1151" i="5"/>
  <c r="R1095" i="5"/>
  <c r="E1095" i="5"/>
  <c r="X1095" i="5" s="1"/>
  <c r="J1095" i="5"/>
  <c r="F1095" i="5"/>
  <c r="I1095" i="5"/>
  <c r="H1095" i="5"/>
  <c r="R1057" i="5"/>
  <c r="J1057" i="5"/>
  <c r="I1057" i="5"/>
  <c r="H1057" i="5"/>
  <c r="F1057" i="5"/>
  <c r="E1057" i="5"/>
  <c r="X1057" i="5" s="1"/>
  <c r="G1057" i="5"/>
  <c r="R955" i="5"/>
  <c r="J955" i="5"/>
  <c r="I955" i="5"/>
  <c r="F955" i="5"/>
  <c r="H955" i="5"/>
  <c r="E955" i="5"/>
  <c r="X955" i="5" s="1"/>
  <c r="G848" i="5"/>
  <c r="G878" i="5"/>
  <c r="F761" i="5"/>
  <c r="E761" i="5"/>
  <c r="X761" i="5" s="1"/>
  <c r="J761" i="5"/>
  <c r="R761" i="5"/>
  <c r="I761" i="5"/>
  <c r="H761" i="5"/>
  <c r="R510" i="5"/>
  <c r="R592" i="5"/>
  <c r="R526" i="5"/>
  <c r="T526" i="5"/>
  <c r="R583" i="5"/>
  <c r="T583" i="5"/>
  <c r="T602" i="5"/>
  <c r="R602" i="5"/>
  <c r="R575" i="5"/>
  <c r="T575" i="5"/>
  <c r="R560" i="5"/>
  <c r="R524" i="5"/>
  <c r="T524" i="5"/>
  <c r="F876" i="5"/>
  <c r="E876" i="5"/>
  <c r="X876" i="5" s="1"/>
  <c r="J876" i="5"/>
  <c r="R876" i="5"/>
  <c r="I876" i="5"/>
  <c r="H876" i="5"/>
  <c r="R961" i="5"/>
  <c r="F961" i="5"/>
  <c r="E961" i="5"/>
  <c r="X961" i="5" s="1"/>
  <c r="J961" i="5"/>
  <c r="I961" i="5"/>
  <c r="H961" i="5"/>
  <c r="F925" i="5"/>
  <c r="R925" i="5"/>
  <c r="J925" i="5"/>
  <c r="I925" i="5"/>
  <c r="H925" i="5"/>
  <c r="E925" i="5"/>
  <c r="X925" i="5" s="1"/>
  <c r="R890" i="5"/>
  <c r="J890" i="5"/>
  <c r="I890" i="5"/>
  <c r="H890" i="5"/>
  <c r="F890" i="5"/>
  <c r="E890" i="5"/>
  <c r="X890" i="5" s="1"/>
  <c r="F805" i="5"/>
  <c r="E805" i="5"/>
  <c r="X805" i="5" s="1"/>
  <c r="J805" i="5"/>
  <c r="R805" i="5"/>
  <c r="I805" i="5"/>
  <c r="H805" i="5"/>
  <c r="F789" i="5"/>
  <c r="E789" i="5"/>
  <c r="X789" i="5" s="1"/>
  <c r="J789" i="5"/>
  <c r="R789" i="5"/>
  <c r="I789" i="5"/>
  <c r="H789" i="5"/>
  <c r="R866" i="5"/>
  <c r="J866" i="5"/>
  <c r="I866" i="5"/>
  <c r="H866" i="5"/>
  <c r="F866" i="5"/>
  <c r="G866" i="5"/>
  <c r="E866" i="5"/>
  <c r="X866" i="5" s="1"/>
  <c r="F937" i="5"/>
  <c r="R937" i="5"/>
  <c r="J937" i="5"/>
  <c r="I937" i="5"/>
  <c r="H937" i="5"/>
  <c r="E937" i="5"/>
  <c r="X937" i="5" s="1"/>
  <c r="E753" i="5"/>
  <c r="X753" i="5" s="1"/>
  <c r="J753" i="5"/>
  <c r="R753" i="5"/>
  <c r="I753" i="5"/>
  <c r="H753" i="5"/>
  <c r="G753" i="5"/>
  <c r="F753" i="5"/>
  <c r="F703" i="5"/>
  <c r="R703" i="5"/>
  <c r="J703" i="5"/>
  <c r="I703" i="5"/>
  <c r="H703" i="5"/>
  <c r="E703" i="5"/>
  <c r="X703" i="5" s="1"/>
  <c r="F773" i="5"/>
  <c r="E773" i="5"/>
  <c r="X773" i="5" s="1"/>
  <c r="J773" i="5"/>
  <c r="R773" i="5"/>
  <c r="I773" i="5"/>
  <c r="H773" i="5"/>
  <c r="J720" i="5"/>
  <c r="I720" i="5"/>
  <c r="H720" i="5"/>
  <c r="R720" i="5"/>
  <c r="F720" i="5"/>
  <c r="E720" i="5"/>
  <c r="X720" i="5" s="1"/>
  <c r="R660" i="5"/>
  <c r="T660" i="5"/>
  <c r="T644" i="5"/>
  <c r="R644" i="5"/>
  <c r="H735" i="5"/>
  <c r="F735" i="5"/>
  <c r="R735" i="5"/>
  <c r="J735" i="5"/>
  <c r="I735" i="5"/>
  <c r="E735" i="5"/>
  <c r="X735" i="5" s="1"/>
  <c r="F715" i="5"/>
  <c r="J715" i="5"/>
  <c r="I715" i="5"/>
  <c r="H715" i="5"/>
  <c r="E715" i="5"/>
  <c r="X715" i="5" s="1"/>
  <c r="R715" i="5"/>
  <c r="F683" i="5"/>
  <c r="J683" i="5"/>
  <c r="I683" i="5"/>
  <c r="H683" i="5"/>
  <c r="E683" i="5"/>
  <c r="X683" i="5" s="1"/>
  <c r="R683" i="5"/>
  <c r="G720" i="5"/>
  <c r="R606" i="5"/>
  <c r="R579" i="5"/>
  <c r="R564" i="5"/>
  <c r="R549" i="5"/>
  <c r="T549" i="5"/>
  <c r="R527" i="5"/>
  <c r="T527" i="5"/>
  <c r="T507" i="5"/>
  <c r="R507" i="5"/>
  <c r="R504" i="5"/>
  <c r="T504" i="5"/>
  <c r="F24" i="6"/>
  <c r="G19" i="6"/>
  <c r="H19" i="6" s="1"/>
  <c r="E1142" i="5"/>
  <c r="X1142" i="5" s="1"/>
  <c r="F1142" i="5"/>
  <c r="I1142" i="5"/>
  <c r="H1142" i="5"/>
  <c r="R1142" i="5"/>
  <c r="J1142" i="5"/>
  <c r="I1136" i="5"/>
  <c r="R1136" i="5"/>
  <c r="J1136" i="5"/>
  <c r="H1136" i="5"/>
  <c r="F1136" i="5"/>
  <c r="E1136" i="5"/>
  <c r="X1136" i="5" s="1"/>
  <c r="R1133" i="5"/>
  <c r="F1133" i="5"/>
  <c r="E1133" i="5"/>
  <c r="X1133" i="5" s="1"/>
  <c r="J1133" i="5"/>
  <c r="I1133" i="5"/>
  <c r="H1133" i="5"/>
  <c r="I1131" i="5"/>
  <c r="H1131" i="5"/>
  <c r="F1131" i="5"/>
  <c r="E1131" i="5"/>
  <c r="X1131" i="5" s="1"/>
  <c r="J1131" i="5"/>
  <c r="R1131" i="5"/>
  <c r="F1088" i="5"/>
  <c r="E1088" i="5"/>
  <c r="X1088" i="5" s="1"/>
  <c r="J1088" i="5"/>
  <c r="H1088" i="5"/>
  <c r="G1088" i="5"/>
  <c r="R1088" i="5"/>
  <c r="I1088" i="5"/>
  <c r="R1170" i="5"/>
  <c r="J1170" i="5"/>
  <c r="H1170" i="5"/>
  <c r="F1170" i="5"/>
  <c r="I1170" i="5"/>
  <c r="E1170" i="5"/>
  <c r="F1074" i="5"/>
  <c r="J1074" i="5"/>
  <c r="R1074" i="5"/>
  <c r="I1074" i="5"/>
  <c r="H1074" i="5"/>
  <c r="E1074" i="5"/>
  <c r="X1074" i="5" s="1"/>
  <c r="R1111" i="5"/>
  <c r="J1111" i="5"/>
  <c r="H1111" i="5"/>
  <c r="E1111" i="5"/>
  <c r="X1111" i="5" s="1"/>
  <c r="I1111" i="5"/>
  <c r="F1111" i="5"/>
  <c r="I990" i="5"/>
  <c r="H990" i="5"/>
  <c r="E990" i="5"/>
  <c r="X990" i="5" s="1"/>
  <c r="R990" i="5"/>
  <c r="J990" i="5"/>
  <c r="F990" i="5"/>
  <c r="J1029" i="5"/>
  <c r="F1029" i="5"/>
  <c r="R1029" i="5"/>
  <c r="I1029" i="5"/>
  <c r="H1029" i="5"/>
  <c r="E1029" i="5"/>
  <c r="X1029" i="5" s="1"/>
  <c r="F945" i="5"/>
  <c r="E945" i="5"/>
  <c r="X945" i="5" s="1"/>
  <c r="R945" i="5"/>
  <c r="J945" i="5"/>
  <c r="I945" i="5"/>
  <c r="H945" i="5"/>
  <c r="R959" i="5"/>
  <c r="J959" i="5"/>
  <c r="I959" i="5"/>
  <c r="F959" i="5"/>
  <c r="H959" i="5"/>
  <c r="E959" i="5"/>
  <c r="X959" i="5" s="1"/>
  <c r="F884" i="5"/>
  <c r="E884" i="5"/>
  <c r="X884" i="5" s="1"/>
  <c r="J884" i="5"/>
  <c r="R884" i="5"/>
  <c r="I884" i="5"/>
  <c r="H884" i="5"/>
  <c r="R947" i="5"/>
  <c r="J947" i="5"/>
  <c r="I947" i="5"/>
  <c r="F947" i="5"/>
  <c r="H947" i="5"/>
  <c r="E947" i="5"/>
  <c r="X947" i="5" s="1"/>
  <c r="F941" i="5"/>
  <c r="E941" i="5"/>
  <c r="X941" i="5" s="1"/>
  <c r="R941" i="5"/>
  <c r="J941" i="5"/>
  <c r="I941" i="5"/>
  <c r="H941" i="5"/>
  <c r="G961" i="5"/>
  <c r="R943" i="5"/>
  <c r="J943" i="5"/>
  <c r="I943" i="5"/>
  <c r="F943" i="5"/>
  <c r="H943" i="5"/>
  <c r="E943" i="5"/>
  <c r="X943" i="5" s="1"/>
  <c r="G805" i="5"/>
  <c r="F801" i="5"/>
  <c r="E801" i="5"/>
  <c r="X801" i="5" s="1"/>
  <c r="J801" i="5"/>
  <c r="I801" i="5"/>
  <c r="H801" i="5"/>
  <c r="R801" i="5"/>
  <c r="F785" i="5"/>
  <c r="E785" i="5"/>
  <c r="X785" i="5" s="1"/>
  <c r="J785" i="5"/>
  <c r="I785" i="5"/>
  <c r="H785" i="5"/>
  <c r="R785" i="5"/>
  <c r="F957" i="5"/>
  <c r="E957" i="5"/>
  <c r="X957" i="5" s="1"/>
  <c r="R957" i="5"/>
  <c r="J957" i="5"/>
  <c r="I957" i="5"/>
  <c r="H957" i="5"/>
  <c r="R803" i="5"/>
  <c r="J803" i="5"/>
  <c r="I803" i="5"/>
  <c r="H803" i="5"/>
  <c r="F803" i="5"/>
  <c r="G803" i="5"/>
  <c r="E803" i="5"/>
  <c r="X803" i="5" s="1"/>
  <c r="F711" i="5"/>
  <c r="R711" i="5"/>
  <c r="J711" i="5"/>
  <c r="I711" i="5"/>
  <c r="H711" i="5"/>
  <c r="E711" i="5"/>
  <c r="X711" i="5" s="1"/>
  <c r="F679" i="5"/>
  <c r="R679" i="5"/>
  <c r="J679" i="5"/>
  <c r="I679" i="5"/>
  <c r="H679" i="5"/>
  <c r="E679" i="5"/>
  <c r="X679" i="5" s="1"/>
  <c r="T656" i="5"/>
  <c r="R656" i="5"/>
  <c r="F691" i="5"/>
  <c r="J691" i="5"/>
  <c r="I691" i="5"/>
  <c r="H691" i="5"/>
  <c r="E691" i="5"/>
  <c r="X691" i="5" s="1"/>
  <c r="R691" i="5"/>
  <c r="R663" i="5"/>
  <c r="T663" i="5"/>
  <c r="I704" i="5"/>
  <c r="H704" i="5"/>
  <c r="R704" i="5"/>
  <c r="J704" i="5"/>
  <c r="F704" i="5"/>
  <c r="E704" i="5"/>
  <c r="X704" i="5" s="1"/>
  <c r="T610" i="5"/>
  <c r="R610" i="5"/>
  <c r="R568" i="5"/>
  <c r="R553" i="5"/>
  <c r="T553" i="5"/>
  <c r="T515" i="5"/>
  <c r="R515" i="5"/>
  <c r="R512" i="5"/>
  <c r="T512" i="5"/>
  <c r="R641" i="5"/>
  <c r="B42" i="6"/>
  <c r="G42" i="6" s="1"/>
  <c r="B37" i="6"/>
  <c r="G37" i="6" s="1"/>
  <c r="B47" i="6"/>
  <c r="G47" i="6" s="1"/>
  <c r="F27" i="6"/>
  <c r="G22" i="6"/>
  <c r="H22" i="6" s="1"/>
  <c r="B52" i="6"/>
  <c r="G52" i="6" s="1"/>
  <c r="E1153" i="5"/>
  <c r="X1153" i="5" s="1"/>
  <c r="I1153" i="5"/>
  <c r="H1153" i="5"/>
  <c r="R1153" i="5"/>
  <c r="F1153" i="5"/>
  <c r="J1153" i="5"/>
  <c r="H21" i="6"/>
  <c r="K67" i="6" s="1"/>
  <c r="E1157" i="5"/>
  <c r="X1157" i="5" s="1"/>
  <c r="F1157" i="5"/>
  <c r="J1157" i="5"/>
  <c r="I1157" i="5"/>
  <c r="H1157" i="5"/>
  <c r="R1157" i="5"/>
  <c r="R1105" i="5"/>
  <c r="F1105" i="5"/>
  <c r="E1105" i="5"/>
  <c r="X1105" i="5" s="1"/>
  <c r="J1105" i="5"/>
  <c r="H1105" i="5"/>
  <c r="I1105" i="5"/>
  <c r="G1105" i="5"/>
  <c r="F1080" i="5"/>
  <c r="J1080" i="5"/>
  <c r="E1080" i="5"/>
  <c r="X1080" i="5" s="1"/>
  <c r="G1080" i="5"/>
  <c r="R1080" i="5"/>
  <c r="I1080" i="5"/>
  <c r="H1080" i="5"/>
  <c r="I1163" i="5"/>
  <c r="H1163" i="5"/>
  <c r="R1163" i="5"/>
  <c r="J1163" i="5"/>
  <c r="F1163" i="5"/>
  <c r="E1163" i="5"/>
  <c r="J1005" i="5"/>
  <c r="F1005" i="5"/>
  <c r="R1005" i="5"/>
  <c r="I1005" i="5"/>
  <c r="H1005" i="5"/>
  <c r="E1005" i="5"/>
  <c r="X1005" i="5" s="1"/>
  <c r="F872" i="5"/>
  <c r="E872" i="5"/>
  <c r="X872" i="5" s="1"/>
  <c r="J872" i="5"/>
  <c r="H872" i="5"/>
  <c r="R872" i="5"/>
  <c r="I872" i="5"/>
  <c r="I970" i="5"/>
  <c r="E970" i="5"/>
  <c r="X970" i="5" s="1"/>
  <c r="H970" i="5"/>
  <c r="F970" i="5"/>
  <c r="R970" i="5"/>
  <c r="J970" i="5"/>
  <c r="R935" i="5"/>
  <c r="J935" i="5"/>
  <c r="F935" i="5"/>
  <c r="I935" i="5"/>
  <c r="H935" i="5"/>
  <c r="E935" i="5"/>
  <c r="X935" i="5" s="1"/>
  <c r="R799" i="5"/>
  <c r="J799" i="5"/>
  <c r="I799" i="5"/>
  <c r="H799" i="5"/>
  <c r="F799" i="5"/>
  <c r="G799" i="5"/>
  <c r="E799" i="5"/>
  <c r="X799" i="5" s="1"/>
  <c r="J810" i="5"/>
  <c r="F810" i="5"/>
  <c r="R810" i="5"/>
  <c r="I810" i="5"/>
  <c r="H810" i="5"/>
  <c r="E810" i="5"/>
  <c r="X810" i="5" s="1"/>
  <c r="H731" i="5"/>
  <c r="F731" i="5"/>
  <c r="R731" i="5"/>
  <c r="J731" i="5"/>
  <c r="I731" i="5"/>
  <c r="E731" i="5"/>
  <c r="X731" i="5" s="1"/>
  <c r="J732" i="5"/>
  <c r="I732" i="5"/>
  <c r="H732" i="5"/>
  <c r="R732" i="5"/>
  <c r="F732" i="5"/>
  <c r="E732" i="5"/>
  <c r="X732" i="5" s="1"/>
  <c r="T620" i="5"/>
  <c r="R620" i="5"/>
  <c r="T588" i="5"/>
  <c r="R588" i="5"/>
  <c r="T614" i="5"/>
  <c r="R614" i="5"/>
  <c r="T598" i="5"/>
  <c r="R598" i="5"/>
  <c r="R506" i="5"/>
  <c r="T506" i="5"/>
  <c r="R529" i="5"/>
  <c r="G43" i="4"/>
  <c r="G49" i="4"/>
  <c r="G55" i="4"/>
  <c r="G74" i="4"/>
  <c r="G61" i="4"/>
  <c r="G37" i="4"/>
  <c r="G31" i="4"/>
  <c r="G67" i="4"/>
  <c r="B32" i="6"/>
  <c r="G32" i="6" s="1"/>
  <c r="F1150" i="5"/>
  <c r="E1150" i="5"/>
  <c r="X1150" i="5" s="1"/>
  <c r="R1150" i="5"/>
  <c r="I1150" i="5"/>
  <c r="H1150" i="5"/>
  <c r="J1150" i="5"/>
  <c r="G1133" i="5"/>
  <c r="E1118" i="5"/>
  <c r="X1118" i="5" s="1"/>
  <c r="R1118" i="5"/>
  <c r="I1118" i="5"/>
  <c r="F1118" i="5"/>
  <c r="J1118" i="5"/>
  <c r="H1118" i="5"/>
  <c r="G1163" i="5"/>
  <c r="B30" i="6"/>
  <c r="G30" i="6" s="1"/>
  <c r="B40" i="6"/>
  <c r="G40" i="6" s="1"/>
  <c r="E1110" i="5"/>
  <c r="X1110" i="5" s="1"/>
  <c r="H1110" i="5"/>
  <c r="R1110" i="5"/>
  <c r="I1110" i="5"/>
  <c r="J1110" i="5"/>
  <c r="F1110" i="5"/>
  <c r="G1111" i="5"/>
  <c r="F989" i="5"/>
  <c r="E989" i="5"/>
  <c r="X989" i="5" s="1"/>
  <c r="R989" i="5"/>
  <c r="J989" i="5"/>
  <c r="I989" i="5"/>
  <c r="H989" i="5"/>
  <c r="F985" i="5"/>
  <c r="R985" i="5"/>
  <c r="H985" i="5"/>
  <c r="E985" i="5"/>
  <c r="X985" i="5" s="1"/>
  <c r="J985" i="5"/>
  <c r="I985" i="5"/>
  <c r="F973" i="5"/>
  <c r="R973" i="5"/>
  <c r="J973" i="5"/>
  <c r="I973" i="5"/>
  <c r="H973" i="5"/>
  <c r="E973" i="5"/>
  <c r="X973" i="5" s="1"/>
  <c r="F860" i="5"/>
  <c r="E860" i="5"/>
  <c r="X860" i="5" s="1"/>
  <c r="J860" i="5"/>
  <c r="R860" i="5"/>
  <c r="I860" i="5"/>
  <c r="H860" i="5"/>
  <c r="F949" i="5"/>
  <c r="E949" i="5"/>
  <c r="X949" i="5" s="1"/>
  <c r="R949" i="5"/>
  <c r="J949" i="5"/>
  <c r="I949" i="5"/>
  <c r="H949" i="5"/>
  <c r="I1147" i="5"/>
  <c r="H1147" i="5"/>
  <c r="F1147" i="5"/>
  <c r="J1147" i="5"/>
  <c r="R1147" i="5"/>
  <c r="E1147" i="5"/>
  <c r="X1147" i="5" s="1"/>
  <c r="R894" i="5"/>
  <c r="J894" i="5"/>
  <c r="I894" i="5"/>
  <c r="H894" i="5"/>
  <c r="F894" i="5"/>
  <c r="E894" i="5"/>
  <c r="X894" i="5" s="1"/>
  <c r="G935" i="5"/>
  <c r="F797" i="5"/>
  <c r="E797" i="5"/>
  <c r="X797" i="5" s="1"/>
  <c r="J797" i="5"/>
  <c r="R797" i="5"/>
  <c r="I797" i="5"/>
  <c r="H797" i="5"/>
  <c r="F929" i="5"/>
  <c r="R929" i="5"/>
  <c r="J929" i="5"/>
  <c r="I929" i="5"/>
  <c r="H929" i="5"/>
  <c r="E929" i="5"/>
  <c r="X929" i="5" s="1"/>
  <c r="F933" i="5"/>
  <c r="R933" i="5"/>
  <c r="J933" i="5"/>
  <c r="I933" i="5"/>
  <c r="H933" i="5"/>
  <c r="E933" i="5"/>
  <c r="X933" i="5" s="1"/>
  <c r="F777" i="5"/>
  <c r="E777" i="5"/>
  <c r="X777" i="5" s="1"/>
  <c r="J777" i="5"/>
  <c r="R777" i="5"/>
  <c r="I777" i="5"/>
  <c r="H777" i="5"/>
  <c r="H719" i="5"/>
  <c r="F719" i="5"/>
  <c r="R719" i="5"/>
  <c r="J719" i="5"/>
  <c r="I719" i="5"/>
  <c r="E719" i="5"/>
  <c r="X719" i="5" s="1"/>
  <c r="F687" i="5"/>
  <c r="R687" i="5"/>
  <c r="J687" i="5"/>
  <c r="I687" i="5"/>
  <c r="H687" i="5"/>
  <c r="E687" i="5"/>
  <c r="X687" i="5" s="1"/>
  <c r="T652" i="5"/>
  <c r="R652" i="5"/>
  <c r="F699" i="5"/>
  <c r="J699" i="5"/>
  <c r="I699" i="5"/>
  <c r="H699" i="5"/>
  <c r="E699" i="5"/>
  <c r="X699" i="5" s="1"/>
  <c r="R699" i="5"/>
  <c r="T671" i="5"/>
  <c r="R671" i="5"/>
  <c r="G731" i="5"/>
  <c r="R658" i="5"/>
  <c r="T658" i="5"/>
  <c r="R637" i="5"/>
  <c r="T624" i="5"/>
  <c r="R624" i="5"/>
  <c r="R709" i="5"/>
  <c r="J709" i="5"/>
  <c r="I709" i="5"/>
  <c r="H709" i="5"/>
  <c r="F709" i="5"/>
  <c r="E709" i="5"/>
  <c r="X709" i="5" s="1"/>
  <c r="R571" i="5"/>
  <c r="T571" i="5"/>
  <c r="R556" i="5"/>
  <c r="T556" i="5"/>
  <c r="T584" i="5"/>
  <c r="R584" i="5"/>
  <c r="R519" i="5"/>
  <c r="T519" i="5"/>
  <c r="T628" i="5"/>
  <c r="R628" i="5"/>
  <c r="D64" i="6"/>
  <c r="C64" i="6"/>
  <c r="T523" i="5"/>
  <c r="S576" i="5"/>
  <c r="S668" i="5"/>
  <c r="S541" i="5"/>
  <c r="S578" i="5"/>
  <c r="S522" i="5"/>
  <c r="T579" i="5"/>
  <c r="S539" i="5"/>
  <c r="S542" i="5"/>
  <c r="S633" i="5"/>
  <c r="S593" i="5"/>
  <c r="S580" i="5"/>
  <c r="T531" i="5"/>
  <c r="S601" i="5"/>
  <c r="S647" i="5"/>
  <c r="T643" i="5"/>
  <c r="S638" i="5"/>
  <c r="S607" i="5"/>
  <c r="S570" i="5"/>
  <c r="S566" i="5"/>
  <c r="S597" i="5"/>
  <c r="S596" i="5"/>
  <c r="S559" i="5"/>
  <c r="S651" i="5"/>
  <c r="T511" i="5"/>
  <c r="T564" i="5"/>
  <c r="S669" i="5"/>
  <c r="S557" i="5"/>
  <c r="S605" i="5"/>
  <c r="S659" i="5"/>
  <c r="S632" i="5"/>
  <c r="S665" i="5"/>
  <c r="S657" i="5"/>
  <c r="T510" i="5"/>
  <c r="S555" i="5"/>
  <c r="S645" i="5"/>
  <c r="T639" i="5"/>
  <c r="S590" i="5"/>
  <c r="S603" i="5"/>
  <c r="S532" i="5"/>
  <c r="T592" i="5"/>
  <c r="T529" i="5"/>
  <c r="T568" i="5"/>
  <c r="S581" i="5"/>
  <c r="S552" i="5"/>
  <c r="T641" i="5"/>
  <c r="S563" i="5"/>
  <c r="S653" i="5"/>
  <c r="S616" i="5"/>
  <c r="S505" i="5"/>
  <c r="T650" i="5"/>
  <c r="T637" i="5"/>
  <c r="T530" i="5"/>
  <c r="S664" i="5"/>
  <c r="T646" i="5"/>
  <c r="S546" i="5"/>
  <c r="S630" i="5"/>
  <c r="S595" i="5"/>
  <c r="S533" i="5"/>
  <c r="S627" i="5"/>
  <c r="S520" i="5"/>
  <c r="S548" i="5"/>
  <c r="S611" i="5"/>
  <c r="S600" i="5"/>
  <c r="S623" i="5"/>
  <c r="S621" i="5"/>
  <c r="T560" i="5"/>
  <c r="S569" i="5"/>
  <c r="S547" i="5"/>
  <c r="S573" i="5"/>
  <c r="S577" i="5"/>
  <c r="T606" i="5"/>
  <c r="S655" i="5"/>
  <c r="S587" i="5"/>
  <c r="T509" i="5"/>
  <c r="S540" i="5"/>
  <c r="S629" i="5"/>
  <c r="S609" i="5"/>
  <c r="S589" i="5"/>
  <c r="S661" i="5"/>
  <c r="S640" i="5"/>
  <c r="S528" i="5"/>
  <c r="S585" i="5"/>
  <c r="S619" i="5"/>
  <c r="S551" i="5"/>
  <c r="S574" i="5"/>
  <c r="S622" i="5"/>
  <c r="S634" i="5"/>
  <c r="S537" i="5"/>
  <c r="S649" i="5"/>
  <c r="S545" i="5"/>
  <c r="S626" i="5"/>
  <c r="X544" i="5" l="1"/>
  <c r="X550" i="5"/>
  <c r="X554" i="5"/>
  <c r="X562" i="5"/>
  <c r="X628" i="5"/>
  <c r="X560" i="5"/>
  <c r="X508" i="5"/>
  <c r="X648" i="5"/>
  <c r="X624" i="5"/>
  <c r="X504" i="5"/>
  <c r="X507" i="5"/>
  <c r="X579" i="5"/>
  <c r="X606" i="5"/>
  <c r="S606" i="5"/>
  <c r="X530" i="5"/>
  <c r="X591" i="5"/>
  <c r="X613" i="5"/>
  <c r="X584" i="5"/>
  <c r="X515" i="5"/>
  <c r="X671" i="5"/>
  <c r="X556" i="5"/>
  <c r="X519" i="5"/>
  <c r="X614" i="5"/>
  <c r="X588" i="5"/>
  <c r="X644" i="5"/>
  <c r="X654" i="5"/>
  <c r="X509" i="5"/>
  <c r="X586" i="5"/>
  <c r="X582" i="5"/>
  <c r="X558" i="5"/>
  <c r="X636" i="5"/>
  <c r="X572" i="5"/>
  <c r="X534" i="5"/>
  <c r="X506" i="5"/>
  <c r="X658" i="5"/>
  <c r="X527" i="5"/>
  <c r="X564" i="5"/>
  <c r="X514" i="5"/>
  <c r="X667" i="5"/>
  <c r="X511" i="5"/>
  <c r="X521" i="5"/>
  <c r="X565" i="5"/>
  <c r="X672" i="5"/>
  <c r="X594" i="5"/>
  <c r="X512" i="5"/>
  <c r="X663" i="5"/>
  <c r="X602" i="5"/>
  <c r="X660" i="5"/>
  <c r="X510" i="5"/>
  <c r="X598" i="5"/>
  <c r="S598" i="5"/>
  <c r="X568" i="5"/>
  <c r="X524" i="5"/>
  <c r="X583" i="5"/>
  <c r="X592" i="5"/>
  <c r="X525" i="5"/>
  <c r="X543" i="5"/>
  <c r="X561" i="5"/>
  <c r="X567" i="5"/>
  <c r="X641" i="5"/>
  <c r="X610" i="5"/>
  <c r="X656" i="5"/>
  <c r="X549" i="5"/>
  <c r="X523" i="5"/>
  <c r="X646" i="5"/>
  <c r="X650" i="5"/>
  <c r="X643" i="5"/>
  <c r="X571" i="5"/>
  <c r="X652" i="5"/>
  <c r="X620" i="5"/>
  <c r="X604" i="5"/>
  <c r="X526" i="5"/>
  <c r="X637" i="5"/>
  <c r="X529" i="5"/>
  <c r="X553" i="5"/>
  <c r="X575" i="5"/>
  <c r="X618" i="5"/>
  <c r="X516" i="5"/>
  <c r="X518" i="5"/>
  <c r="X617" i="5"/>
  <c r="X639" i="5"/>
  <c r="X535" i="5"/>
  <c r="X531" i="5"/>
  <c r="V499" i="5"/>
  <c r="V500" i="5"/>
  <c r="V497" i="5"/>
  <c r="AB502" i="5"/>
  <c r="V502" i="5"/>
  <c r="G502" i="5" s="1"/>
  <c r="AB501" i="5"/>
  <c r="V501" i="5"/>
  <c r="G501" i="5" s="1"/>
  <c r="AB500" i="5"/>
  <c r="AB498" i="5"/>
  <c r="V498" i="5"/>
  <c r="G498" i="5" s="1"/>
  <c r="AB499" i="5"/>
  <c r="AB497" i="5"/>
  <c r="V492" i="5"/>
  <c r="J492" i="5" s="1"/>
  <c r="V495" i="5"/>
  <c r="V496" i="5"/>
  <c r="AB496" i="5"/>
  <c r="AB495" i="5"/>
  <c r="AB494" i="5"/>
  <c r="V494" i="5"/>
  <c r="G494" i="5" s="1"/>
  <c r="AB493" i="5"/>
  <c r="V493" i="5"/>
  <c r="G493" i="5" s="1"/>
  <c r="AB492" i="5"/>
  <c r="AB490" i="5"/>
  <c r="V490" i="5"/>
  <c r="G490" i="5" s="1"/>
  <c r="AB491" i="5"/>
  <c r="V491" i="5"/>
  <c r="V487" i="5"/>
  <c r="V488" i="5"/>
  <c r="V489" i="5"/>
  <c r="AB487" i="5"/>
  <c r="AB488" i="5"/>
  <c r="AB489" i="5"/>
  <c r="V486" i="5"/>
  <c r="AB486" i="5"/>
  <c r="AB485" i="5"/>
  <c r="V485" i="5"/>
  <c r="G485" i="5" s="1"/>
  <c r="V484" i="5"/>
  <c r="AB484" i="5"/>
  <c r="V483" i="5"/>
  <c r="AB483" i="5"/>
  <c r="V481" i="5"/>
  <c r="AB482" i="5"/>
  <c r="V482" i="5"/>
  <c r="G482" i="5" s="1"/>
  <c r="AB481" i="5"/>
  <c r="V480" i="5"/>
  <c r="G480" i="5" s="1"/>
  <c r="AB480" i="5"/>
  <c r="V479" i="5"/>
  <c r="AB479" i="5"/>
  <c r="AB478" i="5"/>
  <c r="V478" i="5"/>
  <c r="G478" i="5" s="1"/>
  <c r="V477" i="5"/>
  <c r="AB477" i="5"/>
  <c r="V476" i="5"/>
  <c r="G476" i="5" s="1"/>
  <c r="AB476" i="5"/>
  <c r="V475" i="5"/>
  <c r="AB475" i="5"/>
  <c r="AB474" i="5"/>
  <c r="V474" i="5"/>
  <c r="G474" i="5" s="1"/>
  <c r="V473" i="5"/>
  <c r="AB473" i="5"/>
  <c r="V472" i="5"/>
  <c r="AB472" i="5"/>
  <c r="V471" i="5"/>
  <c r="AB471" i="5"/>
  <c r="AB470" i="5"/>
  <c r="V470" i="5"/>
  <c r="G470" i="5" s="1"/>
  <c r="V468" i="5"/>
  <c r="V469" i="5"/>
  <c r="AB469" i="5"/>
  <c r="V466" i="5"/>
  <c r="AB468" i="5"/>
  <c r="AB467" i="5"/>
  <c r="V467" i="5"/>
  <c r="G467" i="5" s="1"/>
  <c r="AB466" i="5"/>
  <c r="V465" i="5"/>
  <c r="G465" i="5" s="1"/>
  <c r="AB465" i="5"/>
  <c r="V464" i="5"/>
  <c r="AB464" i="5"/>
  <c r="AB463" i="5"/>
  <c r="V463" i="5"/>
  <c r="G463" i="5" s="1"/>
  <c r="V462" i="5"/>
  <c r="AB462" i="5"/>
  <c r="V461" i="5"/>
  <c r="H461" i="5" s="1"/>
  <c r="V460" i="5"/>
  <c r="AB461" i="5"/>
  <c r="AB460" i="5"/>
  <c r="V458" i="5"/>
  <c r="AB459" i="5"/>
  <c r="V459" i="5"/>
  <c r="G459" i="5" s="1"/>
  <c r="AB458" i="5"/>
  <c r="V457" i="5"/>
  <c r="G457" i="5" s="1"/>
  <c r="AB457" i="5"/>
  <c r="V455" i="5"/>
  <c r="G455" i="5" s="1"/>
  <c r="V456" i="5"/>
  <c r="AB456" i="5"/>
  <c r="AB455" i="5"/>
  <c r="V454" i="5"/>
  <c r="AB454" i="5"/>
  <c r="V453" i="5"/>
  <c r="V409" i="5"/>
  <c r="I409" i="5" s="1"/>
  <c r="AB453" i="5"/>
  <c r="V448" i="5"/>
  <c r="R448" i="5" s="1"/>
  <c r="V398" i="5"/>
  <c r="H398" i="5" s="1"/>
  <c r="V444" i="5"/>
  <c r="V404" i="5"/>
  <c r="E404" i="5" s="1"/>
  <c r="X404" i="5" s="1"/>
  <c r="V414" i="5"/>
  <c r="F414" i="5" s="1"/>
  <c r="V434" i="5"/>
  <c r="H434" i="5" s="1"/>
  <c r="V438" i="5"/>
  <c r="E438" i="5" s="1"/>
  <c r="X438" i="5" s="1"/>
  <c r="V417" i="5"/>
  <c r="G417" i="5" s="1"/>
  <c r="AB419" i="5"/>
  <c r="AB435" i="5"/>
  <c r="V420" i="5"/>
  <c r="G420" i="5" s="1"/>
  <c r="AB411" i="5"/>
  <c r="V446" i="5"/>
  <c r="G446" i="5" s="1"/>
  <c r="AB405" i="5"/>
  <c r="AB415" i="5"/>
  <c r="AB423" i="5"/>
  <c r="V416" i="5"/>
  <c r="V433" i="5"/>
  <c r="G433" i="5" s="1"/>
  <c r="AB409" i="5"/>
  <c r="AB418" i="5"/>
  <c r="V418" i="5"/>
  <c r="G418" i="5" s="1"/>
  <c r="AB420" i="5"/>
  <c r="AB446" i="5"/>
  <c r="V422" i="5"/>
  <c r="G422" i="5" s="1"/>
  <c r="V449" i="5"/>
  <c r="G449" i="5" s="1"/>
  <c r="AB450" i="5"/>
  <c r="V408" i="5"/>
  <c r="AB441" i="5"/>
  <c r="V441" i="5"/>
  <c r="G441" i="5" s="1"/>
  <c r="AB444" i="5"/>
  <c r="V413" i="5"/>
  <c r="G413" i="5" s="1"/>
  <c r="AB404" i="5"/>
  <c r="AB414" i="5"/>
  <c r="AB422" i="5"/>
  <c r="AB449" i="5"/>
  <c r="V407" i="5"/>
  <c r="AB416" i="5"/>
  <c r="AB433" i="5"/>
  <c r="V440" i="5"/>
  <c r="AB400" i="5"/>
  <c r="AB410" i="5"/>
  <c r="V399" i="5"/>
  <c r="V427" i="5"/>
  <c r="G427" i="5" s="1"/>
  <c r="V436" i="5"/>
  <c r="V443" i="5"/>
  <c r="AB445" i="5"/>
  <c r="V400" i="5"/>
  <c r="G400" i="5" s="1"/>
  <c r="V410" i="5"/>
  <c r="G410" i="5" s="1"/>
  <c r="AB413" i="5"/>
  <c r="V403" i="5"/>
  <c r="G403" i="5" s="1"/>
  <c r="AB407" i="5"/>
  <c r="V432" i="5"/>
  <c r="G432" i="5" s="1"/>
  <c r="V437" i="5"/>
  <c r="G437" i="5" s="1"/>
  <c r="AB408" i="5"/>
  <c r="V445" i="5"/>
  <c r="G445" i="5" s="1"/>
  <c r="AB403" i="5"/>
  <c r="AB448" i="5"/>
  <c r="V430" i="5"/>
  <c r="AB432" i="5"/>
  <c r="AB437" i="5"/>
  <c r="AB440" i="5"/>
  <c r="V401" i="5"/>
  <c r="V412" i="5"/>
  <c r="AB421" i="5"/>
  <c r="AB429" i="5"/>
  <c r="AB447" i="5"/>
  <c r="V421" i="5"/>
  <c r="G421" i="5" s="1"/>
  <c r="V429" i="5"/>
  <c r="G429" i="5" s="1"/>
  <c r="V447" i="5"/>
  <c r="G447" i="5" s="1"/>
  <c r="AB430" i="5"/>
  <c r="V424" i="5"/>
  <c r="V452" i="5"/>
  <c r="V425" i="5"/>
  <c r="G425" i="5" s="1"/>
  <c r="V439" i="5"/>
  <c r="G439" i="5" s="1"/>
  <c r="AB399" i="5"/>
  <c r="AB427" i="5"/>
  <c r="AB436" i="5"/>
  <c r="AB443" i="5"/>
  <c r="V402" i="5"/>
  <c r="V428" i="5"/>
  <c r="AB406" i="5"/>
  <c r="V405" i="5"/>
  <c r="V415" i="5"/>
  <c r="V423" i="5"/>
  <c r="G423" i="5" s="1"/>
  <c r="AB431" i="5"/>
  <c r="AB451" i="5"/>
  <c r="V406" i="5"/>
  <c r="AB424" i="5"/>
  <c r="AB452" i="5"/>
  <c r="AB425" i="5"/>
  <c r="AB439" i="5"/>
  <c r="V426" i="5"/>
  <c r="G426" i="5" s="1"/>
  <c r="V442" i="5"/>
  <c r="G442" i="5" s="1"/>
  <c r="AB401" i="5"/>
  <c r="AB412" i="5"/>
  <c r="V397" i="5"/>
  <c r="V431" i="5"/>
  <c r="V451" i="5"/>
  <c r="G451" i="5" s="1"/>
  <c r="AB434" i="5"/>
  <c r="AB438" i="5"/>
  <c r="V419" i="5"/>
  <c r="G419" i="5" s="1"/>
  <c r="V435" i="5"/>
  <c r="AB426" i="5"/>
  <c r="AB442" i="5"/>
  <c r="V411" i="5"/>
  <c r="AB402" i="5"/>
  <c r="AB428" i="5"/>
  <c r="V450" i="5"/>
  <c r="AB417" i="5"/>
  <c r="AB398" i="5"/>
  <c r="AB397" i="5"/>
  <c r="AB396" i="5"/>
  <c r="V396" i="5"/>
  <c r="G396" i="5" s="1"/>
  <c r="V394" i="5"/>
  <c r="V393" i="5"/>
  <c r="V395" i="5"/>
  <c r="G395" i="5" s="1"/>
  <c r="AB395" i="5"/>
  <c r="AB394" i="5"/>
  <c r="AB393" i="5"/>
  <c r="V392" i="5"/>
  <c r="AB392" i="5"/>
  <c r="V391" i="5"/>
  <c r="AB391" i="5"/>
  <c r="V390" i="5"/>
  <c r="AB390" i="5"/>
  <c r="V389" i="5"/>
  <c r="AB389" i="5"/>
  <c r="V388" i="5"/>
  <c r="AB388" i="5"/>
  <c r="V387" i="5"/>
  <c r="R387" i="5" s="1"/>
  <c r="AB387" i="5"/>
  <c r="V386" i="5"/>
  <c r="G386" i="5" s="1"/>
  <c r="AB386" i="5"/>
  <c r="AB385" i="5"/>
  <c r="V385" i="5"/>
  <c r="V384" i="5"/>
  <c r="AB384" i="5"/>
  <c r="AB383" i="5"/>
  <c r="V383" i="5"/>
  <c r="G383" i="5" s="1"/>
  <c r="F69" i="6"/>
  <c r="D26" i="6"/>
  <c r="C26" i="6"/>
  <c r="D21" i="6"/>
  <c r="C21" i="6"/>
  <c r="D22" i="6"/>
  <c r="C22" i="6"/>
  <c r="K68" i="6"/>
  <c r="D51" i="6"/>
  <c r="C51" i="6"/>
  <c r="F37" i="6"/>
  <c r="H37" i="6" s="1"/>
  <c r="H27" i="6"/>
  <c r="F68" i="6"/>
  <c r="F52" i="6"/>
  <c r="H52" i="6" s="1"/>
  <c r="F47" i="6"/>
  <c r="H47" i="6" s="1"/>
  <c r="F42" i="6"/>
  <c r="H42" i="6" s="1"/>
  <c r="F32" i="6"/>
  <c r="H32" i="6" s="1"/>
  <c r="D19" i="6"/>
  <c r="C19" i="6"/>
  <c r="K65" i="6"/>
  <c r="H30" i="6"/>
  <c r="D36" i="6"/>
  <c r="C36" i="6"/>
  <c r="F65" i="6"/>
  <c r="F29" i="6"/>
  <c r="H29" i="6" s="1"/>
  <c r="F34" i="6"/>
  <c r="H34" i="6" s="1"/>
  <c r="F54" i="6"/>
  <c r="F44" i="6"/>
  <c r="H44" i="6" s="1"/>
  <c r="F39" i="6"/>
  <c r="H39" i="6" s="1"/>
  <c r="H24" i="6"/>
  <c r="F49" i="6"/>
  <c r="H49" i="6" s="1"/>
  <c r="D35" i="6"/>
  <c r="C35" i="6"/>
  <c r="H40" i="6"/>
  <c r="D46" i="6"/>
  <c r="C46" i="6"/>
  <c r="D45" i="6"/>
  <c r="C45" i="6"/>
  <c r="D25" i="6"/>
  <c r="C25" i="6"/>
  <c r="D41" i="6"/>
  <c r="C41" i="6"/>
  <c r="D50" i="6"/>
  <c r="C50" i="6"/>
  <c r="C31" i="6"/>
  <c r="D31" i="6"/>
  <c r="S553" i="5"/>
  <c r="S575" i="5"/>
  <c r="S644" i="5"/>
  <c r="S549" i="5"/>
  <c r="S582" i="5"/>
  <c r="S524" i="5"/>
  <c r="S509" i="5"/>
  <c r="S583" i="5"/>
  <c r="S568" i="5"/>
  <c r="T492" i="5"/>
  <c r="S508" i="5"/>
  <c r="S521" i="5"/>
  <c r="S637" i="5"/>
  <c r="S515" i="5"/>
  <c r="S550" i="5"/>
  <c r="S567" i="5"/>
  <c r="S646" i="5"/>
  <c r="S565" i="5"/>
  <c r="S614" i="5"/>
  <c r="S586" i="5"/>
  <c r="S610" i="5"/>
  <c r="S514" i="5"/>
  <c r="S512" i="5"/>
  <c r="S671" i="5"/>
  <c r="S643" i="5"/>
  <c r="S530" i="5"/>
  <c r="S506" i="5"/>
  <c r="S529" i="5"/>
  <c r="S556" i="5"/>
  <c r="S560" i="5"/>
  <c r="S543" i="5"/>
  <c r="S571" i="5"/>
  <c r="S511" i="5"/>
  <c r="S652" i="5"/>
  <c r="S554" i="5"/>
  <c r="S504" i="5"/>
  <c r="S654" i="5"/>
  <c r="S648" i="5"/>
  <c r="S507" i="5"/>
  <c r="S561" i="5"/>
  <c r="S639" i="5"/>
  <c r="S525" i="5"/>
  <c r="S523" i="5"/>
  <c r="S636" i="5"/>
  <c r="S544" i="5"/>
  <c r="S516" i="5"/>
  <c r="S658" i="5"/>
  <c r="S602" i="5"/>
  <c r="S526" i="5"/>
  <c r="S531" i="5"/>
  <c r="S564" i="5"/>
  <c r="S519" i="5"/>
  <c r="S656" i="5"/>
  <c r="S562" i="5"/>
  <c r="S604" i="5"/>
  <c r="S510" i="5"/>
  <c r="S641" i="5"/>
  <c r="S624" i="5"/>
  <c r="S617" i="5"/>
  <c r="S572" i="5"/>
  <c r="S620" i="5"/>
  <c r="S663" i="5"/>
  <c r="S650" i="5"/>
  <c r="S660" i="5"/>
  <c r="S527" i="5"/>
  <c r="S618" i="5"/>
  <c r="S667" i="5"/>
  <c r="S672" i="5"/>
  <c r="S613" i="5"/>
  <c r="S558" i="5"/>
  <c r="S534" i="5"/>
  <c r="S579" i="5"/>
  <c r="S628" i="5"/>
  <c r="S592" i="5"/>
  <c r="S584" i="5"/>
  <c r="S535" i="5"/>
  <c r="S518" i="5"/>
  <c r="S594" i="5"/>
  <c r="S591" i="5"/>
  <c r="S588" i="5"/>
  <c r="G499" i="5" l="1"/>
  <c r="F499" i="5"/>
  <c r="E499" i="5"/>
  <c r="J499" i="5"/>
  <c r="I499" i="5"/>
  <c r="R499" i="5"/>
  <c r="H499" i="5"/>
  <c r="J500" i="5"/>
  <c r="R500" i="5"/>
  <c r="F500" i="5"/>
  <c r="H500" i="5"/>
  <c r="G500" i="5"/>
  <c r="I500" i="5"/>
  <c r="E500" i="5"/>
  <c r="G497" i="5"/>
  <c r="R497" i="5"/>
  <c r="E497" i="5"/>
  <c r="J497" i="5"/>
  <c r="F497" i="5"/>
  <c r="H497" i="5"/>
  <c r="I497" i="5"/>
  <c r="J502" i="5"/>
  <c r="E502" i="5"/>
  <c r="I502" i="5"/>
  <c r="H502" i="5"/>
  <c r="F502" i="5"/>
  <c r="R502" i="5"/>
  <c r="J501" i="5"/>
  <c r="F501" i="5"/>
  <c r="I501" i="5"/>
  <c r="E501" i="5"/>
  <c r="H501" i="5"/>
  <c r="R501" i="5"/>
  <c r="J498" i="5"/>
  <c r="I498" i="5"/>
  <c r="R498" i="5"/>
  <c r="H498" i="5"/>
  <c r="E498" i="5"/>
  <c r="F498" i="5"/>
  <c r="I492" i="5"/>
  <c r="G492" i="5"/>
  <c r="H492" i="5"/>
  <c r="R492" i="5"/>
  <c r="F492" i="5"/>
  <c r="E492" i="5"/>
  <c r="G496" i="5"/>
  <c r="E496" i="5"/>
  <c r="I496" i="5"/>
  <c r="H496" i="5"/>
  <c r="R496" i="5"/>
  <c r="J496" i="5"/>
  <c r="F496" i="5"/>
  <c r="G495" i="5"/>
  <c r="F495" i="5"/>
  <c r="H495" i="5"/>
  <c r="E495" i="5"/>
  <c r="I495" i="5"/>
  <c r="R495" i="5"/>
  <c r="J495" i="5"/>
  <c r="F494" i="5"/>
  <c r="E494" i="5"/>
  <c r="I494" i="5"/>
  <c r="R494" i="5"/>
  <c r="J494" i="5"/>
  <c r="H494" i="5"/>
  <c r="H493" i="5"/>
  <c r="J493" i="5"/>
  <c r="E493" i="5"/>
  <c r="F493" i="5"/>
  <c r="R493" i="5"/>
  <c r="I493" i="5"/>
  <c r="F491" i="5"/>
  <c r="R491" i="5"/>
  <c r="J491" i="5"/>
  <c r="I491" i="5"/>
  <c r="E491" i="5"/>
  <c r="H491" i="5"/>
  <c r="R490" i="5"/>
  <c r="J490" i="5"/>
  <c r="E490" i="5"/>
  <c r="I490" i="5"/>
  <c r="H490" i="5"/>
  <c r="F490" i="5"/>
  <c r="G491" i="5"/>
  <c r="H487" i="5"/>
  <c r="R487" i="5"/>
  <c r="I487" i="5"/>
  <c r="G487" i="5"/>
  <c r="E487" i="5"/>
  <c r="F487" i="5"/>
  <c r="J487" i="5"/>
  <c r="G489" i="5"/>
  <c r="J489" i="5"/>
  <c r="I489" i="5"/>
  <c r="H489" i="5"/>
  <c r="F489" i="5"/>
  <c r="E489" i="5"/>
  <c r="R489" i="5"/>
  <c r="F488" i="5"/>
  <c r="G488" i="5"/>
  <c r="E488" i="5"/>
  <c r="H488" i="5"/>
  <c r="R488" i="5"/>
  <c r="I488" i="5"/>
  <c r="J488" i="5"/>
  <c r="G486" i="5"/>
  <c r="R486" i="5"/>
  <c r="I486" i="5"/>
  <c r="E486" i="5"/>
  <c r="H486" i="5"/>
  <c r="J486" i="5"/>
  <c r="F486" i="5"/>
  <c r="H485" i="5"/>
  <c r="I485" i="5"/>
  <c r="R485" i="5"/>
  <c r="J485" i="5"/>
  <c r="F485" i="5"/>
  <c r="E485" i="5"/>
  <c r="G484" i="5"/>
  <c r="E484" i="5"/>
  <c r="R484" i="5"/>
  <c r="J484" i="5"/>
  <c r="I484" i="5"/>
  <c r="H484" i="5"/>
  <c r="F484" i="5"/>
  <c r="G483" i="5"/>
  <c r="H483" i="5"/>
  <c r="F483" i="5"/>
  <c r="R483" i="5"/>
  <c r="J483" i="5"/>
  <c r="E483" i="5"/>
  <c r="I483" i="5"/>
  <c r="H481" i="5"/>
  <c r="E481" i="5"/>
  <c r="F481" i="5"/>
  <c r="G481" i="5"/>
  <c r="R481" i="5"/>
  <c r="J481" i="5"/>
  <c r="I481" i="5"/>
  <c r="F482" i="5"/>
  <c r="H482" i="5"/>
  <c r="J482" i="5"/>
  <c r="I482" i="5"/>
  <c r="E482" i="5"/>
  <c r="R482" i="5"/>
  <c r="H480" i="5"/>
  <c r="J480" i="5"/>
  <c r="R480" i="5"/>
  <c r="E480" i="5"/>
  <c r="I480" i="5"/>
  <c r="F480" i="5"/>
  <c r="G479" i="5"/>
  <c r="I479" i="5"/>
  <c r="H479" i="5"/>
  <c r="E479" i="5"/>
  <c r="F479" i="5"/>
  <c r="R479" i="5"/>
  <c r="J479" i="5"/>
  <c r="J478" i="5"/>
  <c r="F478" i="5"/>
  <c r="E478" i="5"/>
  <c r="I478" i="5"/>
  <c r="H478" i="5"/>
  <c r="R478" i="5"/>
  <c r="G477" i="5"/>
  <c r="J477" i="5"/>
  <c r="I477" i="5"/>
  <c r="H477" i="5"/>
  <c r="F477" i="5"/>
  <c r="E477" i="5"/>
  <c r="R477" i="5"/>
  <c r="F476" i="5"/>
  <c r="H476" i="5"/>
  <c r="R476" i="5"/>
  <c r="E476" i="5"/>
  <c r="J476" i="5"/>
  <c r="I476" i="5"/>
  <c r="R475" i="5"/>
  <c r="J475" i="5"/>
  <c r="I475" i="5"/>
  <c r="H475" i="5"/>
  <c r="F475" i="5"/>
  <c r="E475" i="5"/>
  <c r="G475" i="5"/>
  <c r="E474" i="5"/>
  <c r="I474" i="5"/>
  <c r="R474" i="5"/>
  <c r="H474" i="5"/>
  <c r="J474" i="5"/>
  <c r="F474" i="5"/>
  <c r="G473" i="5"/>
  <c r="H473" i="5"/>
  <c r="F473" i="5"/>
  <c r="E473" i="5"/>
  <c r="J473" i="5"/>
  <c r="I473" i="5"/>
  <c r="R473" i="5"/>
  <c r="G472" i="5"/>
  <c r="R472" i="5"/>
  <c r="J472" i="5"/>
  <c r="I472" i="5"/>
  <c r="E472" i="5"/>
  <c r="H472" i="5"/>
  <c r="F472" i="5"/>
  <c r="G471" i="5"/>
  <c r="F471" i="5"/>
  <c r="E471" i="5"/>
  <c r="R471" i="5"/>
  <c r="J471" i="5"/>
  <c r="T471" i="5" s="1"/>
  <c r="I471" i="5"/>
  <c r="H471" i="5"/>
  <c r="I470" i="5"/>
  <c r="J470" i="5"/>
  <c r="E470" i="5"/>
  <c r="R470" i="5"/>
  <c r="H470" i="5"/>
  <c r="F470" i="5"/>
  <c r="G469" i="5"/>
  <c r="J469" i="5"/>
  <c r="I469" i="5"/>
  <c r="H469" i="5"/>
  <c r="F469" i="5"/>
  <c r="E469" i="5"/>
  <c r="R469" i="5"/>
  <c r="G468" i="5"/>
  <c r="R468" i="5"/>
  <c r="J468" i="5"/>
  <c r="E468" i="5"/>
  <c r="F468" i="5"/>
  <c r="I468" i="5"/>
  <c r="H468" i="5"/>
  <c r="G466" i="5"/>
  <c r="J466" i="5"/>
  <c r="H466" i="5"/>
  <c r="R466" i="5"/>
  <c r="E466" i="5"/>
  <c r="I466" i="5"/>
  <c r="F466" i="5"/>
  <c r="I467" i="5"/>
  <c r="H467" i="5"/>
  <c r="R467" i="5"/>
  <c r="J467" i="5"/>
  <c r="F467" i="5"/>
  <c r="E467" i="5"/>
  <c r="E465" i="5"/>
  <c r="I465" i="5"/>
  <c r="J465" i="5"/>
  <c r="F465" i="5"/>
  <c r="R465" i="5"/>
  <c r="H465" i="5"/>
  <c r="J464" i="5"/>
  <c r="I464" i="5"/>
  <c r="H464" i="5"/>
  <c r="F464" i="5"/>
  <c r="E464" i="5"/>
  <c r="R464" i="5"/>
  <c r="G464" i="5"/>
  <c r="F463" i="5"/>
  <c r="H463" i="5"/>
  <c r="I463" i="5"/>
  <c r="J463" i="5"/>
  <c r="T463" i="5" s="1"/>
  <c r="E463" i="5"/>
  <c r="R463" i="5"/>
  <c r="H462" i="5"/>
  <c r="F462" i="5"/>
  <c r="G462" i="5"/>
  <c r="E462" i="5"/>
  <c r="R462" i="5"/>
  <c r="J462" i="5"/>
  <c r="I462" i="5"/>
  <c r="R461" i="5"/>
  <c r="J461" i="5"/>
  <c r="E461" i="5"/>
  <c r="I461" i="5"/>
  <c r="F461" i="5"/>
  <c r="G461" i="5"/>
  <c r="G460" i="5"/>
  <c r="R460" i="5"/>
  <c r="J460" i="5"/>
  <c r="T460" i="5" s="1"/>
  <c r="I460" i="5"/>
  <c r="H460" i="5"/>
  <c r="F460" i="5"/>
  <c r="E460" i="5"/>
  <c r="H458" i="5"/>
  <c r="F458" i="5"/>
  <c r="E458" i="5"/>
  <c r="R458" i="5"/>
  <c r="G458" i="5"/>
  <c r="J458" i="5"/>
  <c r="I458" i="5"/>
  <c r="R459" i="5"/>
  <c r="E459" i="5"/>
  <c r="I459" i="5"/>
  <c r="J459" i="5"/>
  <c r="F459" i="5"/>
  <c r="H459" i="5"/>
  <c r="E457" i="5"/>
  <c r="I457" i="5"/>
  <c r="H457" i="5"/>
  <c r="J457" i="5"/>
  <c r="F457" i="5"/>
  <c r="R457" i="5"/>
  <c r="I455" i="5"/>
  <c r="G456" i="5"/>
  <c r="E456" i="5"/>
  <c r="I456" i="5"/>
  <c r="R456" i="5"/>
  <c r="H456" i="5"/>
  <c r="J456" i="5"/>
  <c r="F456" i="5"/>
  <c r="J455" i="5"/>
  <c r="R455" i="5"/>
  <c r="E455" i="5"/>
  <c r="F455" i="5"/>
  <c r="H455" i="5"/>
  <c r="H454" i="5"/>
  <c r="F454" i="5"/>
  <c r="E454" i="5"/>
  <c r="G454" i="5"/>
  <c r="R454" i="5"/>
  <c r="J454" i="5"/>
  <c r="I454" i="5"/>
  <c r="R409" i="5"/>
  <c r="H409" i="5"/>
  <c r="J409" i="5"/>
  <c r="H453" i="5"/>
  <c r="F453" i="5"/>
  <c r="E453" i="5"/>
  <c r="G453" i="5"/>
  <c r="R453" i="5"/>
  <c r="J453" i="5"/>
  <c r="I453" i="5"/>
  <c r="F409" i="5"/>
  <c r="E409" i="5"/>
  <c r="G409" i="5"/>
  <c r="I438" i="5"/>
  <c r="H438" i="5"/>
  <c r="G438" i="5"/>
  <c r="F448" i="5"/>
  <c r="J448" i="5"/>
  <c r="E448" i="5"/>
  <c r="I448" i="5"/>
  <c r="G448" i="5"/>
  <c r="H448" i="5"/>
  <c r="F438" i="5"/>
  <c r="G414" i="5"/>
  <c r="E414" i="5"/>
  <c r="R414" i="5"/>
  <c r="J414" i="5"/>
  <c r="I414" i="5"/>
  <c r="H414" i="5"/>
  <c r="G404" i="5"/>
  <c r="H404" i="5"/>
  <c r="F404" i="5"/>
  <c r="R404" i="5"/>
  <c r="I404" i="5"/>
  <c r="J404" i="5"/>
  <c r="G434" i="5"/>
  <c r="R434" i="5"/>
  <c r="I434" i="5"/>
  <c r="E434" i="5"/>
  <c r="G444" i="5"/>
  <c r="F444" i="5"/>
  <c r="R444" i="5"/>
  <c r="E444" i="5"/>
  <c r="J444" i="5"/>
  <c r="I444" i="5"/>
  <c r="H444" i="5"/>
  <c r="J434" i="5"/>
  <c r="G398" i="5"/>
  <c r="F398" i="5"/>
  <c r="E398" i="5"/>
  <c r="R398" i="5"/>
  <c r="I398" i="5"/>
  <c r="J398" i="5"/>
  <c r="F434" i="5"/>
  <c r="R438" i="5"/>
  <c r="J438" i="5"/>
  <c r="G411" i="5"/>
  <c r="E411" i="5"/>
  <c r="J411" i="5"/>
  <c r="I411" i="5"/>
  <c r="H411" i="5"/>
  <c r="R411" i="5"/>
  <c r="F411" i="5"/>
  <c r="I442" i="5"/>
  <c r="R442" i="5"/>
  <c r="J442" i="5"/>
  <c r="T442" i="5" s="1"/>
  <c r="F442" i="5"/>
  <c r="E442" i="5"/>
  <c r="H442" i="5"/>
  <c r="G412" i="5"/>
  <c r="I412" i="5"/>
  <c r="R412" i="5"/>
  <c r="J412" i="5"/>
  <c r="H412" i="5"/>
  <c r="F412" i="5"/>
  <c r="E412" i="5"/>
  <c r="E433" i="5"/>
  <c r="J433" i="5"/>
  <c r="F433" i="5"/>
  <c r="I433" i="5"/>
  <c r="H433" i="5"/>
  <c r="R433" i="5"/>
  <c r="J431" i="5"/>
  <c r="F431" i="5"/>
  <c r="E431" i="5"/>
  <c r="R431" i="5"/>
  <c r="H431" i="5"/>
  <c r="I431" i="5"/>
  <c r="G405" i="5"/>
  <c r="E405" i="5"/>
  <c r="R405" i="5"/>
  <c r="I405" i="5"/>
  <c r="H405" i="5"/>
  <c r="F405" i="5"/>
  <c r="J405" i="5"/>
  <c r="G401" i="5"/>
  <c r="R401" i="5"/>
  <c r="J401" i="5"/>
  <c r="H401" i="5"/>
  <c r="I401" i="5"/>
  <c r="F401" i="5"/>
  <c r="E401" i="5"/>
  <c r="E443" i="5"/>
  <c r="R443" i="5"/>
  <c r="J443" i="5"/>
  <c r="I443" i="5"/>
  <c r="H443" i="5"/>
  <c r="F443" i="5"/>
  <c r="G443" i="5"/>
  <c r="G407" i="5"/>
  <c r="H407" i="5"/>
  <c r="E407" i="5"/>
  <c r="R407" i="5"/>
  <c r="F407" i="5"/>
  <c r="I407" i="5"/>
  <c r="J407" i="5"/>
  <c r="H441" i="5"/>
  <c r="E441" i="5"/>
  <c r="I441" i="5"/>
  <c r="R441" i="5"/>
  <c r="J441" i="5"/>
  <c r="T441" i="5" s="1"/>
  <c r="F441" i="5"/>
  <c r="R422" i="5"/>
  <c r="J422" i="5"/>
  <c r="E422" i="5"/>
  <c r="I422" i="5"/>
  <c r="H422" i="5"/>
  <c r="F422" i="5"/>
  <c r="R420" i="5"/>
  <c r="F420" i="5"/>
  <c r="E420" i="5"/>
  <c r="J420" i="5"/>
  <c r="I420" i="5"/>
  <c r="H420" i="5"/>
  <c r="F406" i="5"/>
  <c r="E406" i="5"/>
  <c r="J406" i="5"/>
  <c r="H406" i="5"/>
  <c r="I406" i="5"/>
  <c r="R406" i="5"/>
  <c r="R402" i="5"/>
  <c r="I402" i="5"/>
  <c r="H402" i="5"/>
  <c r="F402" i="5"/>
  <c r="E402" i="5"/>
  <c r="G402" i="5"/>
  <c r="J402" i="5"/>
  <c r="J452" i="5"/>
  <c r="I452" i="5"/>
  <c r="H452" i="5"/>
  <c r="F452" i="5"/>
  <c r="G452" i="5"/>
  <c r="E452" i="5"/>
  <c r="R452" i="5"/>
  <c r="F445" i="5"/>
  <c r="J445" i="5"/>
  <c r="I445" i="5"/>
  <c r="H445" i="5"/>
  <c r="R445" i="5"/>
  <c r="E445" i="5"/>
  <c r="I436" i="5"/>
  <c r="F436" i="5"/>
  <c r="G436" i="5"/>
  <c r="R436" i="5"/>
  <c r="J436" i="5"/>
  <c r="T436" i="5" s="1"/>
  <c r="H436" i="5"/>
  <c r="E436" i="5"/>
  <c r="G450" i="5"/>
  <c r="J450" i="5"/>
  <c r="I450" i="5"/>
  <c r="H450" i="5"/>
  <c r="F450" i="5"/>
  <c r="E450" i="5"/>
  <c r="R450" i="5"/>
  <c r="I435" i="5"/>
  <c r="G435" i="5"/>
  <c r="F435" i="5"/>
  <c r="E435" i="5"/>
  <c r="J435" i="5"/>
  <c r="T435" i="5" s="1"/>
  <c r="H435" i="5"/>
  <c r="R435" i="5"/>
  <c r="E451" i="5"/>
  <c r="J451" i="5"/>
  <c r="H451" i="5"/>
  <c r="R451" i="5"/>
  <c r="I451" i="5"/>
  <c r="F451" i="5"/>
  <c r="F439" i="5"/>
  <c r="E439" i="5"/>
  <c r="I439" i="5"/>
  <c r="R439" i="5"/>
  <c r="J439" i="5"/>
  <c r="H439" i="5"/>
  <c r="E424" i="5"/>
  <c r="J424" i="5"/>
  <c r="R424" i="5"/>
  <c r="I424" i="5"/>
  <c r="H424" i="5"/>
  <c r="F424" i="5"/>
  <c r="J429" i="5"/>
  <c r="F429" i="5"/>
  <c r="I429" i="5"/>
  <c r="R429" i="5"/>
  <c r="H429" i="5"/>
  <c r="E429" i="5"/>
  <c r="F410" i="5"/>
  <c r="I410" i="5"/>
  <c r="E410" i="5"/>
  <c r="J410" i="5"/>
  <c r="R410" i="5"/>
  <c r="H410" i="5"/>
  <c r="E449" i="5"/>
  <c r="I449" i="5"/>
  <c r="R449" i="5"/>
  <c r="J449" i="5"/>
  <c r="F449" i="5"/>
  <c r="H449" i="5"/>
  <c r="G416" i="5"/>
  <c r="R416" i="5"/>
  <c r="I416" i="5"/>
  <c r="J416" i="5"/>
  <c r="H416" i="5"/>
  <c r="F416" i="5"/>
  <c r="E416" i="5"/>
  <c r="G431" i="5"/>
  <c r="E430" i="5"/>
  <c r="R430" i="5"/>
  <c r="I430" i="5"/>
  <c r="G430" i="5"/>
  <c r="J430" i="5"/>
  <c r="F430" i="5"/>
  <c r="H430" i="5"/>
  <c r="R437" i="5"/>
  <c r="I437" i="5"/>
  <c r="J437" i="5"/>
  <c r="F437" i="5"/>
  <c r="E437" i="5"/>
  <c r="H437" i="5"/>
  <c r="E427" i="5"/>
  <c r="J427" i="5"/>
  <c r="H427" i="5"/>
  <c r="R427" i="5"/>
  <c r="I427" i="5"/>
  <c r="F427" i="5"/>
  <c r="G440" i="5"/>
  <c r="E440" i="5"/>
  <c r="J440" i="5"/>
  <c r="R440" i="5"/>
  <c r="I440" i="5"/>
  <c r="H440" i="5"/>
  <c r="F440" i="5"/>
  <c r="R419" i="5"/>
  <c r="E419" i="5"/>
  <c r="I419" i="5"/>
  <c r="F419" i="5"/>
  <c r="H419" i="5"/>
  <c r="J419" i="5"/>
  <c r="E426" i="5"/>
  <c r="R426" i="5"/>
  <c r="I426" i="5"/>
  <c r="H426" i="5"/>
  <c r="F426" i="5"/>
  <c r="J426" i="5"/>
  <c r="E423" i="5"/>
  <c r="J423" i="5"/>
  <c r="R423" i="5"/>
  <c r="I423" i="5"/>
  <c r="F423" i="5"/>
  <c r="H423" i="5"/>
  <c r="J421" i="5"/>
  <c r="F421" i="5"/>
  <c r="I421" i="5"/>
  <c r="R421" i="5"/>
  <c r="H421" i="5"/>
  <c r="E421" i="5"/>
  <c r="F400" i="5"/>
  <c r="J400" i="5"/>
  <c r="H400" i="5"/>
  <c r="E400" i="5"/>
  <c r="I400" i="5"/>
  <c r="R400" i="5"/>
  <c r="G399" i="5"/>
  <c r="H399" i="5"/>
  <c r="E399" i="5"/>
  <c r="R399" i="5"/>
  <c r="J399" i="5"/>
  <c r="F399" i="5"/>
  <c r="I399" i="5"/>
  <c r="R413" i="5"/>
  <c r="I413" i="5"/>
  <c r="F413" i="5"/>
  <c r="H413" i="5"/>
  <c r="J413" i="5"/>
  <c r="E413" i="5"/>
  <c r="G397" i="5"/>
  <c r="J397" i="5"/>
  <c r="I397" i="5"/>
  <c r="H397" i="5"/>
  <c r="F397" i="5"/>
  <c r="E397" i="5"/>
  <c r="R397" i="5"/>
  <c r="G406" i="5"/>
  <c r="E415" i="5"/>
  <c r="R415" i="5"/>
  <c r="G415" i="5"/>
  <c r="J415" i="5"/>
  <c r="I415" i="5"/>
  <c r="H415" i="5"/>
  <c r="F415" i="5"/>
  <c r="E428" i="5"/>
  <c r="R428" i="5"/>
  <c r="G428" i="5"/>
  <c r="J428" i="5"/>
  <c r="I428" i="5"/>
  <c r="H428" i="5"/>
  <c r="F428" i="5"/>
  <c r="R432" i="5"/>
  <c r="E432" i="5"/>
  <c r="F432" i="5"/>
  <c r="H432" i="5"/>
  <c r="J432" i="5"/>
  <c r="I432" i="5"/>
  <c r="J408" i="5"/>
  <c r="E408" i="5"/>
  <c r="H408" i="5"/>
  <c r="G408" i="5"/>
  <c r="F408" i="5"/>
  <c r="I408" i="5"/>
  <c r="R408" i="5"/>
  <c r="R425" i="5"/>
  <c r="E425" i="5"/>
  <c r="F425" i="5"/>
  <c r="J425" i="5"/>
  <c r="I425" i="5"/>
  <c r="H425" i="5"/>
  <c r="F447" i="5"/>
  <c r="R447" i="5"/>
  <c r="H447" i="5"/>
  <c r="E447" i="5"/>
  <c r="J447" i="5"/>
  <c r="I447" i="5"/>
  <c r="F403" i="5"/>
  <c r="E403" i="5"/>
  <c r="J403" i="5"/>
  <c r="H403" i="5"/>
  <c r="I403" i="5"/>
  <c r="R403" i="5"/>
  <c r="F418" i="5"/>
  <c r="H418" i="5"/>
  <c r="R418" i="5"/>
  <c r="J418" i="5"/>
  <c r="I418" i="5"/>
  <c r="E418" i="5"/>
  <c r="I446" i="5"/>
  <c r="E446" i="5"/>
  <c r="R446" i="5"/>
  <c r="F446" i="5"/>
  <c r="J446" i="5"/>
  <c r="H446" i="5"/>
  <c r="F417" i="5"/>
  <c r="I417" i="5"/>
  <c r="E417" i="5"/>
  <c r="R417" i="5"/>
  <c r="J417" i="5"/>
  <c r="H417" i="5"/>
  <c r="G424" i="5"/>
  <c r="J396" i="5"/>
  <c r="I396" i="5"/>
  <c r="F396" i="5"/>
  <c r="E396" i="5"/>
  <c r="H396" i="5"/>
  <c r="R396" i="5"/>
  <c r="G394" i="5"/>
  <c r="H394" i="5"/>
  <c r="F394" i="5"/>
  <c r="R394" i="5"/>
  <c r="E394" i="5"/>
  <c r="I394" i="5"/>
  <c r="J394" i="5"/>
  <c r="J395" i="5"/>
  <c r="I395" i="5"/>
  <c r="R395" i="5"/>
  <c r="H395" i="5"/>
  <c r="F395" i="5"/>
  <c r="E395" i="5"/>
  <c r="G393" i="5"/>
  <c r="R393" i="5"/>
  <c r="I393" i="5"/>
  <c r="J393" i="5"/>
  <c r="H393" i="5"/>
  <c r="F393" i="5"/>
  <c r="E393" i="5"/>
  <c r="G392" i="5"/>
  <c r="R392" i="5"/>
  <c r="E392" i="5"/>
  <c r="J392" i="5"/>
  <c r="H392" i="5"/>
  <c r="F392" i="5"/>
  <c r="I392" i="5"/>
  <c r="J391" i="5"/>
  <c r="F391" i="5"/>
  <c r="H391" i="5"/>
  <c r="I391" i="5"/>
  <c r="E391" i="5"/>
  <c r="R391" i="5"/>
  <c r="G391" i="5"/>
  <c r="G390" i="5"/>
  <c r="J390" i="5"/>
  <c r="I390" i="5"/>
  <c r="H390" i="5"/>
  <c r="F390" i="5"/>
  <c r="E390" i="5"/>
  <c r="R390" i="5"/>
  <c r="G389" i="5"/>
  <c r="J389" i="5"/>
  <c r="I389" i="5"/>
  <c r="H389" i="5"/>
  <c r="F389" i="5"/>
  <c r="R389" i="5"/>
  <c r="E389" i="5"/>
  <c r="R388" i="5"/>
  <c r="H388" i="5"/>
  <c r="F388" i="5"/>
  <c r="J388" i="5"/>
  <c r="I388" i="5"/>
  <c r="G388" i="5"/>
  <c r="E388" i="5"/>
  <c r="I387" i="5"/>
  <c r="H387" i="5"/>
  <c r="F387" i="5"/>
  <c r="E387" i="5"/>
  <c r="G387" i="5"/>
  <c r="J387" i="5"/>
  <c r="E386" i="5"/>
  <c r="J386" i="5"/>
  <c r="H386" i="5"/>
  <c r="F386" i="5"/>
  <c r="I386" i="5"/>
  <c r="R386" i="5"/>
  <c r="G385" i="5"/>
  <c r="F385" i="5"/>
  <c r="E385" i="5"/>
  <c r="R385" i="5"/>
  <c r="J385" i="5"/>
  <c r="I385" i="5"/>
  <c r="H385" i="5"/>
  <c r="E384" i="5"/>
  <c r="R384" i="5"/>
  <c r="J384" i="5"/>
  <c r="F384" i="5"/>
  <c r="I384" i="5"/>
  <c r="H384" i="5"/>
  <c r="G384" i="5"/>
  <c r="J383" i="5"/>
  <c r="E383" i="5"/>
  <c r="R383" i="5"/>
  <c r="I383" i="5"/>
  <c r="F383" i="5"/>
  <c r="H383" i="5"/>
  <c r="G67" i="6"/>
  <c r="H67" i="6" s="1"/>
  <c r="G66" i="6"/>
  <c r="H66" i="6" s="1"/>
  <c r="D66" i="6" s="1"/>
  <c r="G68" i="6"/>
  <c r="H68" i="6" s="1"/>
  <c r="G65" i="6"/>
  <c r="H65" i="6" s="1"/>
  <c r="C32" i="6"/>
  <c r="D32" i="6"/>
  <c r="F63" i="6"/>
  <c r="H63" i="6" s="1"/>
  <c r="H54" i="6"/>
  <c r="F59" i="6"/>
  <c r="H59" i="6" s="1"/>
  <c r="F55" i="6"/>
  <c r="F60" i="6"/>
  <c r="H60" i="6" s="1"/>
  <c r="F57" i="6"/>
  <c r="H57" i="6" s="1"/>
  <c r="F58" i="6"/>
  <c r="H58" i="6" s="1"/>
  <c r="F62" i="6"/>
  <c r="H62" i="6" s="1"/>
  <c r="C47" i="6"/>
  <c r="D47" i="6"/>
  <c r="D42" i="6"/>
  <c r="C42" i="6"/>
  <c r="D34" i="6"/>
  <c r="C34" i="6"/>
  <c r="D29" i="6"/>
  <c r="C29" i="6"/>
  <c r="C2" i="6"/>
  <c r="B2" i="6"/>
  <c r="C27" i="6"/>
  <c r="D27" i="6"/>
  <c r="C49" i="6"/>
  <c r="D49" i="6"/>
  <c r="C37" i="6"/>
  <c r="D37" i="6"/>
  <c r="C39" i="6"/>
  <c r="D39" i="6"/>
  <c r="C44" i="6"/>
  <c r="D44" i="6"/>
  <c r="D40" i="6"/>
  <c r="C40" i="6"/>
  <c r="D52" i="6"/>
  <c r="C52" i="6"/>
  <c r="D30" i="6"/>
  <c r="C30" i="6"/>
  <c r="D24" i="6"/>
  <c r="C24" i="6"/>
  <c r="S393" i="5"/>
  <c r="S496" i="5"/>
  <c r="T478" i="5"/>
  <c r="S483" i="5"/>
  <c r="T410" i="5"/>
  <c r="T415" i="5"/>
  <c r="T434" i="5"/>
  <c r="S404" i="5"/>
  <c r="T390" i="5"/>
  <c r="T397" i="5"/>
  <c r="T454" i="5"/>
  <c r="T427" i="5"/>
  <c r="T403" i="5"/>
  <c r="S456" i="5"/>
  <c r="S499" i="5"/>
  <c r="T394" i="5"/>
  <c r="S448" i="5"/>
  <c r="T447" i="5"/>
  <c r="T428" i="5"/>
  <c r="T440" i="5"/>
  <c r="T495" i="5"/>
  <c r="T487" i="5"/>
  <c r="T482" i="5"/>
  <c r="T414" i="5"/>
  <c r="S481" i="5"/>
  <c r="S389" i="5"/>
  <c r="S471" i="5"/>
  <c r="S414" i="5"/>
  <c r="T420" i="5"/>
  <c r="T481" i="5"/>
  <c r="S468" i="5"/>
  <c r="T486" i="5"/>
  <c r="T484" i="5"/>
  <c r="S475" i="5"/>
  <c r="S460" i="5"/>
  <c r="T386" i="5"/>
  <c r="T496" i="5"/>
  <c r="T400" i="5"/>
  <c r="S392" i="5"/>
  <c r="T431" i="5"/>
  <c r="T444" i="5"/>
  <c r="T401" i="5"/>
  <c r="T490" i="5"/>
  <c r="T411" i="5"/>
  <c r="T438" i="5"/>
  <c r="S438" i="5"/>
  <c r="S390" i="5"/>
  <c r="T384" i="5"/>
  <c r="S486" i="5"/>
  <c r="S434" i="5"/>
  <c r="T448" i="5"/>
  <c r="T445" i="5"/>
  <c r="T409" i="5"/>
  <c r="T468" i="5"/>
  <c r="S388" i="5"/>
  <c r="S464" i="5"/>
  <c r="T462" i="5"/>
  <c r="T470" i="5"/>
  <c r="S384" i="5"/>
  <c r="T502" i="5"/>
  <c r="T467" i="5"/>
  <c r="S444" i="5"/>
  <c r="S500" i="5"/>
  <c r="T432" i="5"/>
  <c r="T475" i="5"/>
  <c r="T437" i="5"/>
  <c r="T493" i="5"/>
  <c r="T469" i="5"/>
  <c r="S477" i="5"/>
  <c r="T393" i="5"/>
  <c r="T402" i="5"/>
  <c r="S479" i="5"/>
  <c r="T455" i="5"/>
  <c r="T416" i="5"/>
  <c r="T385" i="5"/>
  <c r="T395" i="5"/>
  <c r="T443" i="5"/>
  <c r="T488" i="5"/>
  <c r="S394" i="5"/>
  <c r="S489" i="5"/>
  <c r="T451" i="5"/>
  <c r="S409" i="5"/>
  <c r="T480" i="5"/>
  <c r="S497" i="5"/>
  <c r="T424" i="5"/>
  <c r="S398" i="5"/>
  <c r="T491" i="5"/>
  <c r="T479" i="5"/>
  <c r="T417" i="5"/>
  <c r="T419" i="5"/>
  <c r="T497" i="5"/>
  <c r="T405" i="5"/>
  <c r="T398" i="5"/>
  <c r="S387" i="5"/>
  <c r="T466" i="5"/>
  <c r="T423" i="5"/>
  <c r="T389" i="5"/>
  <c r="T426" i="5"/>
  <c r="T392" i="5"/>
  <c r="S492" i="5"/>
  <c r="S473" i="5"/>
  <c r="T439" i="5"/>
  <c r="T489" i="5"/>
  <c r="T412" i="5"/>
  <c r="T388" i="5"/>
  <c r="T473" i="5"/>
  <c r="S469" i="5"/>
  <c r="S455" i="5"/>
  <c r="T474" i="5"/>
  <c r="S458" i="5"/>
  <c r="T413" i="5"/>
  <c r="T456" i="5"/>
  <c r="T465" i="5"/>
  <c r="S480" i="5"/>
  <c r="T408" i="5"/>
  <c r="T449" i="5"/>
  <c r="T422" i="5"/>
  <c r="T396" i="5"/>
  <c r="T457" i="5"/>
  <c r="T404" i="5"/>
  <c r="T485" i="5"/>
  <c r="T429" i="5"/>
  <c r="T418" i="5"/>
  <c r="T498" i="5"/>
  <c r="T458" i="5"/>
  <c r="T499" i="5"/>
  <c r="T464" i="5"/>
  <c r="T459" i="5"/>
  <c r="T452" i="5"/>
  <c r="S454" i="5"/>
  <c r="T450" i="5"/>
  <c r="T425" i="5"/>
  <c r="S397" i="5"/>
  <c r="T453" i="5"/>
  <c r="T472" i="5"/>
  <c r="T501" i="5"/>
  <c r="S487" i="5"/>
  <c r="T406" i="5"/>
  <c r="T483" i="5"/>
  <c r="T430" i="5"/>
  <c r="T387" i="5"/>
  <c r="S386" i="5"/>
  <c r="T477" i="5"/>
  <c r="T407" i="5"/>
  <c r="S488" i="5"/>
  <c r="S466" i="5"/>
  <c r="T391" i="5"/>
  <c r="S462" i="5"/>
  <c r="T461" i="5"/>
  <c r="T399" i="5"/>
  <c r="S484" i="5"/>
  <c r="S495" i="5"/>
  <c r="T476" i="5"/>
  <c r="T421" i="5"/>
  <c r="T494" i="5"/>
  <c r="S453" i="5"/>
  <c r="T433" i="5"/>
  <c r="T383" i="5"/>
  <c r="T500" i="5"/>
  <c r="T446" i="5"/>
  <c r="X499" i="5" l="1"/>
  <c r="X500" i="5"/>
  <c r="X497" i="5"/>
  <c r="X501" i="5"/>
  <c r="X502" i="5"/>
  <c r="X498" i="5"/>
  <c r="X492" i="5"/>
  <c r="X495" i="5"/>
  <c r="X496" i="5"/>
  <c r="X494" i="5"/>
  <c r="X493" i="5"/>
  <c r="X490" i="5"/>
  <c r="X491" i="5"/>
  <c r="X487" i="5"/>
  <c r="X489" i="5"/>
  <c r="X488" i="5"/>
  <c r="X486" i="5"/>
  <c r="X485" i="5"/>
  <c r="X484" i="5"/>
  <c r="X483" i="5"/>
  <c r="X482" i="5"/>
  <c r="X481" i="5"/>
  <c r="X480" i="5"/>
  <c r="X479" i="5"/>
  <c r="X478" i="5"/>
  <c r="X477" i="5"/>
  <c r="X476" i="5"/>
  <c r="X475" i="5"/>
  <c r="X474" i="5"/>
  <c r="X473" i="5"/>
  <c r="X472" i="5"/>
  <c r="X471" i="5"/>
  <c r="X470" i="5"/>
  <c r="X469" i="5"/>
  <c r="X468" i="5"/>
  <c r="X466" i="5"/>
  <c r="X467" i="5"/>
  <c r="X465" i="5"/>
  <c r="X464" i="5"/>
  <c r="X463" i="5"/>
  <c r="X462" i="5"/>
  <c r="X461" i="5"/>
  <c r="X460" i="5"/>
  <c r="X458" i="5"/>
  <c r="X459" i="5"/>
  <c r="X457" i="5"/>
  <c r="X455" i="5"/>
  <c r="X456" i="5"/>
  <c r="X454" i="5"/>
  <c r="X453" i="5"/>
  <c r="X409" i="5"/>
  <c r="X448" i="5"/>
  <c r="X398" i="5"/>
  <c r="X434" i="5"/>
  <c r="X444" i="5"/>
  <c r="X414" i="5"/>
  <c r="X415" i="5"/>
  <c r="X401" i="5"/>
  <c r="X422" i="5"/>
  <c r="X403" i="5"/>
  <c r="X424" i="5"/>
  <c r="X435" i="5"/>
  <c r="X405" i="5"/>
  <c r="X408" i="5"/>
  <c r="X399" i="5"/>
  <c r="X426" i="5"/>
  <c r="X402" i="5"/>
  <c r="X400" i="5"/>
  <c r="X449" i="5"/>
  <c r="X446" i="5"/>
  <c r="X419" i="5"/>
  <c r="X427" i="5"/>
  <c r="X406" i="5"/>
  <c r="X407" i="5"/>
  <c r="X412" i="5"/>
  <c r="X442" i="5"/>
  <c r="X425" i="5"/>
  <c r="X410" i="5"/>
  <c r="X417" i="5"/>
  <c r="X432" i="5"/>
  <c r="X440" i="5"/>
  <c r="X430" i="5"/>
  <c r="X450" i="5"/>
  <c r="X436" i="5"/>
  <c r="X443" i="5"/>
  <c r="X447" i="5"/>
  <c r="X445" i="5"/>
  <c r="X428" i="5"/>
  <c r="X413" i="5"/>
  <c r="X418" i="5"/>
  <c r="X421" i="5"/>
  <c r="X437" i="5"/>
  <c r="X451" i="5"/>
  <c r="X441" i="5"/>
  <c r="X411" i="5"/>
  <c r="X397" i="5"/>
  <c r="X423" i="5"/>
  <c r="X416" i="5"/>
  <c r="X429" i="5"/>
  <c r="X439" i="5"/>
  <c r="X452" i="5"/>
  <c r="X420" i="5"/>
  <c r="X431" i="5"/>
  <c r="X433" i="5"/>
  <c r="X396" i="5"/>
  <c r="X394" i="5"/>
  <c r="X393" i="5"/>
  <c r="X395" i="5"/>
  <c r="X392" i="5"/>
  <c r="X391" i="5"/>
  <c r="X390" i="5"/>
  <c r="X389" i="5"/>
  <c r="X388" i="5"/>
  <c r="X387" i="5"/>
  <c r="X386" i="5"/>
  <c r="X385" i="5"/>
  <c r="X384" i="5"/>
  <c r="G69" i="6" a="1"/>
  <c r="G69" i="6" s="1"/>
  <c r="C68" i="6"/>
  <c r="D68" i="6"/>
  <c r="C67" i="6"/>
  <c r="D67" i="6"/>
  <c r="C66" i="6"/>
  <c r="X383" i="5"/>
  <c r="D57" i="6"/>
  <c r="C57" i="6"/>
  <c r="D60" i="6"/>
  <c r="C60" i="6"/>
  <c r="D59" i="6"/>
  <c r="C59" i="6"/>
  <c r="D54" i="6"/>
  <c r="C54" i="6"/>
  <c r="C63" i="6"/>
  <c r="D63" i="6"/>
  <c r="D65" i="6"/>
  <c r="C65" i="6"/>
  <c r="D62" i="6"/>
  <c r="C62" i="6"/>
  <c r="H55" i="6"/>
  <c r="F56" i="6"/>
  <c r="H56" i="6" s="1"/>
  <c r="C58" i="6"/>
  <c r="D58" i="6"/>
  <c r="S451" i="5"/>
  <c r="S502" i="5"/>
  <c r="S446" i="5"/>
  <c r="S436" i="5"/>
  <c r="S442" i="5"/>
  <c r="S467" i="5"/>
  <c r="S435" i="5"/>
  <c r="S443" i="5"/>
  <c r="S465" i="5"/>
  <c r="S424" i="5"/>
  <c r="S408" i="5"/>
  <c r="S494" i="5"/>
  <c r="S426" i="5"/>
  <c r="S421" i="5"/>
  <c r="S402" i="5"/>
  <c r="S428" i="5"/>
  <c r="S449" i="5"/>
  <c r="S439" i="5"/>
  <c r="S411" i="5"/>
  <c r="S493" i="5"/>
  <c r="S400" i="5"/>
  <c r="S437" i="5"/>
  <c r="S412" i="5"/>
  <c r="S413" i="5"/>
  <c r="S407" i="5"/>
  <c r="S430" i="5"/>
  <c r="S422" i="5"/>
  <c r="S498" i="5"/>
  <c r="S491" i="5"/>
  <c r="S416" i="5"/>
  <c r="S447" i="5"/>
  <c r="S399" i="5"/>
  <c r="S476" i="5"/>
  <c r="S395" i="5"/>
  <c r="S445" i="5"/>
  <c r="S470" i="5"/>
  <c r="S459" i="5"/>
  <c r="S457" i="5"/>
  <c r="S391" i="5"/>
  <c r="S432" i="5"/>
  <c r="S440" i="5"/>
  <c r="S472" i="5"/>
  <c r="S383" i="5"/>
  <c r="S415" i="5"/>
  <c r="S433" i="5"/>
  <c r="S420" i="5"/>
  <c r="S485" i="5"/>
  <c r="S450" i="5"/>
  <c r="S427" i="5"/>
  <c r="S461" i="5"/>
  <c r="S419" i="5"/>
  <c r="S490" i="5"/>
  <c r="S425" i="5"/>
  <c r="S474" i="5"/>
  <c r="S452" i="5"/>
  <c r="S410" i="5"/>
  <c r="S396" i="5"/>
  <c r="S423" i="5"/>
  <c r="S501" i="5"/>
  <c r="S482" i="5"/>
  <c r="S406" i="5"/>
  <c r="S405" i="5"/>
  <c r="S418" i="5"/>
  <c r="S478" i="5"/>
  <c r="S429" i="5"/>
  <c r="S441" i="5"/>
  <c r="S385" i="5"/>
  <c r="S401" i="5"/>
  <c r="S403" i="5"/>
  <c r="S431" i="5"/>
  <c r="S417" i="5"/>
  <c r="S463" i="5"/>
  <c r="C69" i="6" l="1"/>
  <c r="H69" i="6"/>
  <c r="H70" i="6" s="1"/>
  <c r="D2" i="6" s="1"/>
  <c r="C55" i="6"/>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<sst xmlns="http://schemas.openxmlformats.org/spreadsheetml/2006/main" count="29885" uniqueCount="18050">
  <si>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</si>
  <si>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</si>
  <si>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</si>
  <si>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</si>
  <si>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</si>
  <si>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</si>
  <si>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</si>
  <si>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</si>
  <si>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</si>
  <si>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</si>
  <si>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</si>
  <si>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</si>
  <si>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</si>
  <si>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</si>
  <si>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</si>
  <si>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</si>
  <si>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</si>
  <si>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</si>
  <si>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</si>
  <si>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</si>
  <si>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</si>
  <si>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</si>
  <si>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</si>
  <si>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</si>
  <si>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</si>
  <si>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</si>
  <si>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</si>
  <si>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</si>
  <si>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</si>
  <si>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</si>
  <si>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</si>
  <si>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</si>
  <si>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</si>
  <si>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</si>
  <si>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</si>
  <si>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</si>
  <si>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</si>
  <si>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</si>
  <si>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</si>
  <si>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</si>
  <si>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</si>
  <si>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</si>
  <si>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</si>
  <si>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</si>
  <si>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</si>
  <si>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</si>
  <si>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</si>
  <si>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</si>
  <si>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</si>
  <si>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</si>
  <si>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</si>
  <si>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</si>
  <si>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</si>
  <si>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</si>
  <si>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</si>
  <si>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</si>
  <si>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</si>
  <si>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</si>
  <si>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</si>
  <si>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</si>
  <si>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</si>
  <si>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</si>
  <si>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</si>
  <si>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</si>
  <si>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</si>
  <si>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</si>
  <si>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</si>
  <si>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</si>
  <si>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</si>
  <si>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</si>
  <si>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</si>
  <si>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</si>
  <si>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</si>
  <si>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</si>
  <si>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</si>
  <si>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</si>
  <si>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</si>
  <si>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</si>
  <si>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</si>
  <si>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</si>
  <si>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</si>
  <si>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</si>
  <si>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</si>
  <si>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</si>
  <si>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</si>
  <si>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</si>
  <si>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</si>
  <si>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</si>
  <si>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</si>
  <si>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</si>
  <si>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</si>
  <si>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</si>
  <si>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</si>
  <si>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</si>
  <si>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</si>
  <si>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</si>
  <si>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</si>
  <si>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</si>
  <si>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</si>
  <si>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</si>
  <si>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</si>
  <si>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</si>
  <si>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</si>
  <si>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</si>
  <si>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</si>
  <si>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</si>
  <si>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</si>
  <si>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</si>
  <si>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</si>
  <si>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</si>
  <si>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</si>
  <si>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</si>
  <si>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</si>
  <si>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</si>
  <si>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
  </si>
  <si>
    <t>05-May-2023</t>
  </si>
  <si>
    <t>Yes</t>
  </si>
  <si>
    <t>No</t>
  </si>
  <si>
    <t>Greater than 50%</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</si>
  <si>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</si>
  <si>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</si>
  <si>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</si>
  <si>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</si>
  <si>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</si>
  <si>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</si>
  <si>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</si>
  <si>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</si>
  <si>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</si>
  <si>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</si>
  <si>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</si>
  <si>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</si>
  <si>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</si>
  <si>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</si>
  <si>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</si>
  <si>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</si>
  <si>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</si>
  <si>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</si>
  <si>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</si>
  <si>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</si>
  <si>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CID000015</t>
  </si>
  <si>
    <t>Advanced Chemical Company</t>
  </si>
  <si>
    <t>United States of America</t>
  </si>
  <si>
    <t>RMI</t>
  </si>
  <si>
    <t>105 Bellows St, Warwick, RI 02888</t>
  </si>
  <si>
    <t>Warwick</t>
  </si>
  <si>
    <t>Rhode Island</t>
  </si>
  <si>
    <t>Gold, Lauren Faella, Lauren Faella, Shaun Galligan, Shaun Galligan</t>
  </si>
  <si>
    <t>Advanced Chemical Company, lfaella@adchem.com, lfaella@adchem.com, sgalligan@adchem.com, sgalligan@advchem.com</t>
  </si>
  <si>
    <t>Advanced Chemical Company, Conformant- Reaudit In Progress, Conformant-Reaudit In Progress, no action need, No Action Required as company is RMAP conformant, Reaudit In Progress, Supplier contacts: hyeju.lee@amkor.com; Infineon Customer Contact @infineon.com; lisa.bjornson@sanmina.com; yushin@harvatek.com</t>
  </si>
  <si>
    <t>0, INDONESIA | Recycled, Scrap | Recycled/Scrap | INDONESIA | Recycled, Scrap | Recycled/Scrap, LR, R/S, No information, RCOI confirmed per RMI, Recycled and mining not disclosed by supplier, Recycled and scrap, and mines not disclosed by supplier, Recycled, Scrap, Recycled, Scrap | Recycled/Scrap, Some are recycled or scrap sourced but not all, Some are recycled or scrap sourced but not all. , Some are recyled/scrap sourced but not all., Sourced from Mines/Recyale/Scrap | Recycled and mining not disclosed by supplier, UNITED STATES OF AMERICA, Unknown, but some recycled/scrap</t>
  </si>
  <si>
    <t>Argentina, Australia, Austria, Brazil, Canada, Chile, China, Eritrea, Ethiopia, Germany, Ghana, Guinea, Guyana, India, Indonesia, Japan, Malaysia, Mexico, Mongolia, Mozambique, Namibia, Niger, Nigeria, Peru, Portugal, Recycled/Scrap, United States, Brazil, Chile, China, Indonesia, Peru, USA, recycled/scrap, CAHRA, Argentina, Australia, Austria, Brazil, Canada, Chile, China, Eritrea, Ethiopia, Germany, Ghana, Guinea, Guyana, India, Indonesia, Japan, Malaysia, Mexico, Mongolia, Mozambique, Namibia, Niger, Nigeria, Peru, Portugal, Russia, Sierra Leone, Spain, Thailand, USA, Zimbabwe, Recycled/Scrap, CID000015, Excludes Covered Countries, Excludes Covered Countries and CAHRA, Excludes Covered Countries and CAHRA | Mineral sourcing LR,R/S based on RMAP-RMI's RCOI data
USA, Peru, Indonesia, Brazil, China, Recycled/Scrap, Chile | Mineral sourcing LR, R/S based on RMAP-RMI's RCOI data, LR, R/S, Mineral sourcing LR, R/S based on RMAP-RMI's RCOI data, Mineral sourcing LR,R/S, No information, R/S | LR, R/S | Recycled/Scrap | 105 Bellows St, Warwick, RI 02888 | Excludes Covered Countries, RCOI confirmed per RMI, Recycled, Recycled/Scrap Only | INDONESIA | R/S | United States, Peru, Indonesia | Recycled/Scrap | Recycled/Scrap Only | INDONESIA | R/S | Recycled/Scrap | United States, Peru, Indonesia | Recycled, Scrap | Does not source from DRC or covered countries | Mineral sourcing R/S | 105 Bellows St, Warwick, RI 02888 | LR, R/S | Mineral sourcing R/S | Excludes Covered Countries, Recycled/Scrap, United States, Indonesia, Peru, Brazil, China, Chile, Recycled/Scrap, United States, Indonesia, Peru, Brazil, China, Chile, Eritrea, India, Japan, Argentina, Australia, Austria, Canada, Ethiopia, Germany, Ghana, Guinea, Guyana, Malaysia, Mexico, Mongolia, Mozambique, Namibia, Niger, Nigeria, Portugal, Russian Federation, Sierra Leone, Spain, Thailand, Zimbabwe, Some are recycled or scrap sourced but not all, Some are recycled or scrap sourced but not all. , Some are recyled/scrap sourced but not all., United States, Peru, Indonesia, USA, Peru, Indonesia, Brazil, China, Recycled/Scrap, Chile</t>
  </si>
  <si>
    <t>No, No information, RMI, Unknown</t>
  </si>
  <si>
    <t>Compliant, Compliant Conformant, Conformant, Conformant Smelter, Conformant smelter according to RMI, audit valid until 2020, reassessment in progress, Conformant Smelter according to RMI, last cycle in 15.02.2019 with a cycle of 1 Year, One of many on the Kemet CFSI page, RCOI confirmed per RMI, RMAP Conformant</t>
  </si>
  <si>
    <t>CID000090</t>
  </si>
  <si>
    <t>Asaka Riken Co., Ltd.</t>
  </si>
  <si>
    <t>Japan</t>
  </si>
  <si>
    <t>47 Aza Maseguchi, Kanaya Tamura-machi, Koriyama-shi, Fukushima, 963-0725, JAPAN</t>
  </si>
  <si>
    <t>Tamura</t>
  </si>
  <si>
    <t>Fukushima</t>
  </si>
  <si>
    <t>Gold, Mr. Masahiko Endo, Satoshi Kuromori, Yoshimasa Uozumi, Yoshimasa Uozumi, Satoshi Kuromori</t>
  </si>
  <si>
    <t>Asaka Riken Co., Ltd., cyuozumi@asaka.co.jp, cyuozumi@asaka.co.jp, suishin-ml@asaka.co.jp, smendo@asaka.co.jp, suishin-ml@asaka.co.jp</t>
  </si>
  <si>
    <t>Asaka Riken Co., Ltd., Conformant- Reaudit In Progress, Conformant-audited by RMI (members / partners)- valid until 04/12/2025, Conformant-audited by RMI- valid until 03/18/2022, NA, no action need, No Action Required as company is RMAP conformant, None, CFS Certified, RCOI validated by RMI Protocols , Supplier contacts: hyeju.lee@amkor.com; catherine.pelissonnier@st.com; (Phiron) nancy.joy@materion.com; Infineon Customer Contact @infineon.com;  nadine.jahn@aim-micro-systems.de; lisa.bjornson@sanmina.com; theodore.knudson@materion.com; t.gruber@ats.net; soralee@asekr.com, Validated by RMI until 03/19/2022</t>
  </si>
  <si>
    <t>0, JAPAN, No information, R/S, RCOI confirmed per RMI, Recycled, Recycled, Scrap, Recycled, Scrap | recycled | Some are recycled or scrap sourced but not all. | Not disclosed | Recycled/Scrap | Recycled, Scrap | Recycled/Scrap | recycled | Some are recycled or scrap sourced but not all. | Not disclosed | Recycled | Asaka Riken Co., Ltd. | RCOI Confirmed as per CSFI | Recycled, Recycled, Scrap | Recycled/Scrap, Recycled, Scrap | Sourced from Mines/Recyale/Scrap | RCOI confirmed per RMI | Recycled, Recyled/Scrap, scrap, Unknown, but some recycled/scrap</t>
  </si>
  <si>
    <t>Angola, Argentina, Armenia, Austria, Belgium, Brazil, Burundi, Cambodia, Chile, Colombia, Ecuador, Guyana, Hungary, India, Japan, Kazakhstan, Korea, Luxembourg, Malaysia, Mexico, Mongolia, Mozambique, Myanmar, Niger, Nigeria, Portugal, Recycled/Scrap, Rwanda, Burundi, Rwanda, Armenia, Japan, Mexico, Mozambique, Niger, Nigeria, USA, recycled/scrap, CID000090, DRC, Angola, Burundi, Central African Republic, Rwanda, South Sudan, Tanzania, Uganda, Zambia, Argentina, Armenia, Australia, Austria, Belgium, Bolivia, Brazil, Cambodia, Canada, Chile, China, Colombia, Djibouti, Ecuador, Egypt, Eritrea, Estonia, Ethiopia, France, Germany, Guyana, Hungary, India, Indonesia, Ireland, Israel, Ivory Coast, Japan, Kazakhstan, Kenya,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Excludes Covered Countries, L1, R/S, L1, R/S | Recycled/Scrap | Recycle/Scrap, Armenia, Burundi, Mozambique, Niger, Japan, Rwanda, Mexico, Nigeria | Excludes Covered Countries | 47 Aza Maseguchi, Kanaya Tamura-machi, Koriyama-shi, Fukushima, 963-0725, JAPAN, Mineral sourcing R/S, Mineral sourcing R/S based on RMAP-RMI's RCOI data, No information, Not disclosed | Excludes Covered Countries | Recycled or Scrap | Scrap | R/S | L1, R/S | Recycle/Scrap, Armenia, Burundi, Mozambique, Niger, Japan, Rwanda, Mexico, Nigeria | Some are recycled or scrap sourced but not all. | Recycled/Scrap | Mineral sourcing R/S | Not disclosed | R/S | Excludes Covered Countries | Recycled or Scrap | L1, R/S | Recycled/Scrap | Recycle/Scrap, Armenia, Burundi, Mozambique, Niger, Japan, Rwanda, Mexico, Nigeria | Some are recycled or scrap sourced but not all. | Recycled | Mineral sou | scrap | RCOI Confirmed as per CSFI | 47 Aza Maseguchi, Kanaya Tamura-machi, Koriyama-shi, Fukushima, 963-0725, JAPAN | RCOI confirmed as per RMI | Recycled | recycled, R/S, RCOI confirmed per RMI, Recycle/Scrap, Armenia, Burundi, Mozambique, Niger, Japan, Rwanda, Mexico, Nigeria, Recycled, Recycled, Scrap, Recycled/Scrap Only, Recycled/Scrap Only | Mineral sourcing R/S | Recycled/Scrap, Japan, DRC or an adjoining country (Covered Countries), Myanmar, Angola, Cambodia, Malaysia, Kazakhstan, Portugal, Mongolia, Austria, Mozambique, Luxembourg, Brazil, Guyana, Republic Of Korea, Chile, Laos, Ecuador, Colombia, Argentina, Hun | RCOI confirmed per RMI | Recycled, 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 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 Recycled/Scrap, Japan, Mozambique, Niger, Nigeria, Burundi, Armenia, Mexico, Rwanda, Argentina, Austria, Brazil, Cambodia, Chile, Colombia, Ecuador, Guyana, Kazakhstan, Korea, Luxembourg, Malaysia, Mongolia, Myanmar, Portugal, Hungary, India, Belgium, Canada, Ethiopia, Namibia, Peru, United States, Angola, Indonesia, Germany, China, Egypt, Madagascar, Sierra Leone, Singapore, Thailand, Australia, Djibouti, Estonia, France, Ireland, Israel, Netherlands, Slovakia, Spain, Suriname, Switzerland, United Kingdom, Zimbabwe, Central African Republic, South Africa, South Sudan, Sudan, Tanzania, Zambia, Kenya, Uganda, Panama, Democratic Republic of Congo, Taiwan, Eritrea, Viet Nam, Russian Federation, Bolivia (Plurinational State of), Recyled/Scrap, scrap</t>
  </si>
  <si>
    <t>No, No information, RMI, Unknown, Yes</t>
  </si>
  <si>
    <t>Compliant, COMPLIANT 09/22/2015, Compliant Conformant, Conformant, Conformant Smelter, Conformant smelter according to RMI, audit valid until 2022, reassessment in progress, Conformant Smelter according to RMI, last cycle in 19.03.2019 with a cycle of 3 Years, http://www.asaka.co.jp/english/company/07.html, LBMA approved, RCOI confirmed as per RMAP (LBMA Good Delivery List Refiners Source - Mined  Material, LBMA Good Delivery List Refiners Source - Recycled Material, and/or RJC Refiners Source - Mined  Material), RMAP Conformant, RMAP Conformant Smelter, RMAP Conformant Smelter / RCOI confirmed per RMI, SC, This smelter is RMI Conformant.
http://www.responsiblemineralsinitiative.org/gold-refiners-list/</t>
  </si>
  <si>
    <t>Atasay Kuyumculuk Sanayi Ve Ticaret A.S.</t>
  </si>
  <si>
    <t>ATAkulche</t>
  </si>
  <si>
    <t>Turkey</t>
  </si>
  <si>
    <t>CFSI</t>
  </si>
  <si>
    <t>Istanbul</t>
  </si>
  <si>
    <t>CID000103</t>
  </si>
  <si>
    <t>İstanbul</t>
  </si>
  <si>
    <t>No Reference</t>
  </si>
  <si>
    <t>0, Unknown, but some recycled/scrap</t>
  </si>
  <si>
    <t>No, Unknown</t>
  </si>
  <si>
    <t>CID000362</t>
  </si>
  <si>
    <t>DODUCO GmbH</t>
  </si>
  <si>
    <t>DODUCO Contacts and Refining GmbH</t>
  </si>
  <si>
    <t>Germany</t>
  </si>
  <si>
    <t>Im Altgefall 12 D-75181 Pforzheim Germany</t>
  </si>
  <si>
    <t>Pforzheim</t>
  </si>
  <si>
    <t>Baden-Württemberg</t>
  </si>
  <si>
    <t>0, Fabian Gall, Gold</t>
  </si>
  <si>
    <t>0, DODUCO Contacts and Refining GmbH, FGall@doduco.net</t>
  </si>
  <si>
    <t>DODUCO Contacts and Refining GmbH, No Action Required as company is RMAP conformant, No Action Required as smelter is RMAP conformant, None, CFS Certified, Reaudit In Progress, Supplier contacts: yushin@harvatek.com; t.gruber@ats.net; s.rossi@varioprint.ch</t>
  </si>
  <si>
    <t>0, GERMANY, INDONESIA | Recycled or Scrap | Some are recycled or scrap sourced but not all | INDONESIA | Recycled or Scrap | Some are recycled or scrap sourced but not all | Recycled, Scrap | Recycled, Scrap and mines | Recycled, Scrap | Recycled, Scrap and mines | Not disclosed by supplier | Recycled/Scrap, recycled, Recycled, Scrap, Recycled, Scrap and mines, Recycled, Scrap and mines | Recycled/Scrap, Recyled/Scrap, Unknown, but some recycled/scrap</t>
  </si>
  <si>
    <t>Australia, Benin, Bolivia, Brazil, Burkina Faso, Canada, Chile, China, Colombia, Ecuador, Eritrea, Germany, Ghana, Guatemala, Guinea, Guyana, Honduras, Hong Kong, India, Indonesia, Japan, Kazakhstan, Kyrgyzstan, Malaysia, Mali, Nicaragua, Panama, Peru, Philippines, Republic of Korea, Russia, Senegal, Thailand, Togo, USA, Recycled/Scrap, Australia, Brazil, Canada, Chile, China, Germany, Hong Kong, Indonesia, Japan, Peru, USA, recycled/scrap, CID000362, Known Countries from which LBMA Good Delivery List Refiners Source - Recycled Material (Provided by LBMA), Known Countries from which LBMA Good Delivery List Refiners Source - Recycled Material (Provided by LBMA) | Recycled/Scrap | Recycle/Scrap, Canada, Hong Kong, United States, China, Japan, Chile, Australia, Peru, Germany | Im Altgefall 12 D-75181 Pforzheim Germany, Mineral sourcing R/S based on RMAP-RMI's RCOI data, Not disclosed | INDONESIA | Not disclosed per LBMA (recycled or scrap) | Recycle/Scrap, Canada, Hong Kong, United States, Japan, China, Australia, Chile, Peru, Germany | Some are recycled or scrap sourced but not all | Excludes Covered Countries | Not disclosed | INDONESIA | Not disclosed per LBMA (recycled or scrap) | Some are recycled or scrap sourced but not all | Recycle/Scrap, Canada, Hong Kong, United States, Japan, China, Australia, Chile, Peru, Germany | Recycled, Scrap | Known Countries fr | Known Countries from which LBMA Good Delivery List Refiners Source - Mined  Material (Provided by LBMA) | Im Altgefall 12 D-75181 Pforzheim Germany | Known Countries from which LBMA Good Delivery List Refiners Source - Recycled Material (Provided by LBMA) | Mineral sourcing R/S | Recycled/Scrap, R/S, Recycle/Scrap, Canada, Hong Kong, United States, China, Japan, Australia, Chile, Peru, Germany, Recycle/Scrap, Canada, Hong Kong, United States, China, Japan, Chile, Australia, Peru, Germany, Recycled, Recycled, Scrap, Recycled/Scrap Only, Recycled/Scrap, Canada, China, USA, Japan, Chile, Australia, Peru, Germany, Brazil, Indonesia, Recycled/Scrap, Germany, Canada, Peru, China, Chile, United States, Japan, Australia, Brazil, Indonesia, Hong Kong, Recycled/Scrap, Germany, Canada, Peru, China, Chile, United States, Japan, Australia, Brazil, Indonesia, Hong Kong, Kazakhstan, Kyrgyzstan, Panama, Benin, Bolivia (Plurinational State of), Burkina Faso, Colombia, Ecuador, Eritrea, Ghana, Guatemala, Guinea, Guyana, Honduras, Mali, Nicaragua, Russian Federation, Senegal, Togo, Malaysia, Philippines, Thailand, not disclosed per LBMA (recycled or scrap), India, Korea, Recyled/Scrap, See aggregated data below for LBMA Good Delivery Sourcing, Unknown</t>
  </si>
  <si>
    <t>No, RMI, Unknown, Yes</t>
  </si>
  <si>
    <t>Compliant, Compliant Conformant, Conformant, Conformant Smelter, Conformant smelter according to RMI, audit valid until 2022, Conformant Smelter according to RMI, last cycle in 12.12.2019 with a cycle of 1 Year, RMAP Conformant, RMAP Conformant Smelter</t>
  </si>
  <si>
    <t>CID003663</t>
  </si>
  <si>
    <t>Dongwu Gold Group</t>
  </si>
  <si>
    <t>China</t>
  </si>
  <si>
    <t>Suzhou City</t>
  </si>
  <si>
    <t>Jiangsu Sheng</t>
  </si>
  <si>
    <t>Due diligence results pending, Unknown</t>
  </si>
  <si>
    <t>0</t>
  </si>
  <si>
    <t>CID002560</t>
  </si>
  <si>
    <t>Al Etihad Gold Refinery DMCC</t>
  </si>
  <si>
    <t>United Arab Emirates</t>
  </si>
  <si>
    <t>Unit No: EZ-03-04, Plot No: DMCC-EZ3-04, Jumeirah Lakes Towers, Dubai, United Arab Emirates</t>
  </si>
  <si>
    <t>Dubai</t>
  </si>
  <si>
    <t>Dubayy</t>
  </si>
  <si>
    <t>Gold, Jamie Belino</t>
  </si>
  <si>
    <t>Al Etihad Gold LLC, jamie.belino@aletihadgold.com</t>
  </si>
  <si>
    <t>Al Etihad Gold Refinery DMCC, Conformant- Reaudit In Progress, Conformant-Reaudit In Progress, no action need, No Action Required as company is RMAP conformant, None, CFS cerrtified, Reaudit In Progress, Supplier contacts: hyeju.lee@amkor.com; Infineon Customer Contact @infineon.com;  lisa.bjornson@sanmina.com; yushin@harvatek.com</t>
  </si>
  <si>
    <t>0, HR, R/S, No information, RCOI confirmed per RMI, Recycled and mining not disclosed by supplier, Recycled and scrap, and mines not disclosed by supplier, Some are recycled or scrap sourced but not all, Some are recycled or scrap sourced but not all | Some are recycled or scrap sourced but not all | Some are recycled or scrap sourced but not all. | Recycled, Scrap and mines | Some are recycled or scrap sourced but not all. | Recycled, Scrap and mines | Not disclosed by supplier, Some are recycled or scrap sourced but not all. , Some are recycled/scrap, and high risk sourced but not all., UNITED ARAB EMIRATES, Unknown, but some recycled/scrap</t>
  </si>
  <si>
    <t>Argentina, Austria, Belgium, Brazil, Cambodia, Canada, Chile, China, Colombia, Ecuador, Ethiopia, Germany, Guyana, Hungary, India, Japan, Kazakhstan, Korea, Luxembourg, Malaysia, Mongolia, Myanmar, Namibia, Peru, Portugal, Recycled/Scrap, United Arab Emirates, CID002560, DRC, Burundi, Rwanda, Tanzania, Uganda, Argentina, Australia, Austria, Belgium, Benin, Bolivia, Brazil, Burkina Faso, Cambodia, Canada, Chile, China, Colombia, Djibouti, Ecuador, Egypt, Eritrea, Estonia, Ethiopia, France, Germany, Ghana, Guatemala, Guinea, Guyana, Honduras, Hungary, India, Indonesia, Ireland, Israel, Ivory Coast, Japan, Kazakhstan, Laos, Luxembourg, Madagascar, Malaysia, Mali, Mexico, Mongolia, Mozambique, Myanmar, Namibia, Netherlands, Nicaragua, Niger, Nigeria, Panama, Peru, Portugal, Republic of Korea, Russia, Senegal, Sierra Leone, Singapore, Slovakia, South Africa, Spain, Suriname, Switzerland, Thailand, Togo, Turkey, USA, United Arab Emirates, United Kingdom, Vietnam, Zimbabwe, Recycled/Scrap, Excludes Covered Countries, Excludes Covered Countries | No known country of origin | Some are recycled or scrap sourced but not all | Excludes Covered Countries | Some are recycled or scrap sourced but not all | No known country of origin | L1, L2, R/S | Does not source from DRC or covered countries | Mineral sourcing L1, L2,R/S, not disclosed by supplier | L1, L2, R/S | not available | Mineral sourcing LR, R/S, not disclosed by RMI, Includes CAHRA, Includes CAHRA | Mineral sourcing HR,R/S, based on RMAP-RMI's RCOI data, Includes Covered Countries, Mineral sourcing HR, R/S based on RMAP-RMI's RCOI data, Mineral sourcing HR,R/S, based on RMAP-RMI's RCOI data, No information, No known country of origin, RCOI confirmed per RMI, 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 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 Recycled/Scrap, United Arab Emirates, Guyana, Colombia, Ecuador, Peru, Canada, Chile, China, Brazil, Ethiopia, Myanmar, India, Namibia, Argentina, Austria, Belgium, Cambodia, Germany, Hungary, Japan, Kazakhstan, Korea, Luxembourg, Malaysia, Mongolia, Portugal, United States, Niger, Nigeria, Thailand, Indonesia, Zimbabwe, Djibouti, Egypt, France, Ireland, Israel, Madagascar, Netherlands, Sierra Leone, Singapore, Slovakia, Spain, Suriname, Switzerland, United Kingdom, Australia, Estonia, Turkey, South Africa, Ghana, Guinea, Benin, Eritrea, Bolivia (Plurinational State of), Burkina Faso, Guatemala, Honduras, Mali, Nicaragua, Panama, Russian Federation, Senegal, Togo, Mozambique, Burundi, Democratic Republic of Congo, Mexico, Rwanda, Tanzania, Uganda, Viet Nam, Some are recycled or scrap sourced but not all. , Some are recycled/scrap, and high risk sourced but not all., the DRC or an adjoining country(covered countries), Unspecified covered country,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Turkey, United Arab Emirates, United Kingdom, USA, Vietnam, Zimbabwe, recycled/scrap</t>
  </si>
  <si>
    <t>Compliant, Compliant Conformant, Conformant, Conformant Smelter, Conformant smelter according to RMI, audit valid until 2020, reassessment in progress, Conformant Smelter according to RMI, last cycle in 16.12.2019 with a cycle of 1 Year, RCOI confirmed per RMI, RMAP Conformant</t>
  </si>
  <si>
    <t>Smelter not listed</t>
  </si>
  <si>
    <t>This smelter only relates to TE's Hirschmann Car Communication's (HCC) operation and was disclosed by a supplier in HCC's supply chain.  HCC was acquired by TE Connectivity in 2017 and manufactures antenna solutions primarily for the automotive industry.</t>
  </si>
  <si>
    <t>CID002760</t>
  </si>
  <si>
    <t>Albino Mountinho Lda.</t>
  </si>
  <si>
    <t>Gondomar</t>
  </si>
  <si>
    <t>Porto</t>
  </si>
  <si>
    <t>CID003500</t>
  </si>
  <si>
    <t>Alexy Metals</t>
  </si>
  <si>
    <t>Mentor</t>
  </si>
  <si>
    <t>Ohio</t>
  </si>
  <si>
    <t>Ensure compliance by prescribed timeline.</t>
  </si>
  <si>
    <t>0, Unknown, Unknown, but some recycled/scrap</t>
  </si>
  <si>
    <t>0, On RMAP Active List, RMAP Conformant Smelter</t>
  </si>
  <si>
    <t>CID000034</t>
  </si>
  <si>
    <t>Alldyne Powder Technologies</t>
  </si>
  <si>
    <t>CID003490</t>
  </si>
  <si>
    <t>Emerald Jewel Industry India Limited (Unit 4)</t>
  </si>
  <si>
    <t>India</t>
  </si>
  <si>
    <t>Coimbatore</t>
  </si>
  <si>
    <t>Tamil Nadu</t>
  </si>
  <si>
    <t>0, Unknown</t>
  </si>
  <si>
    <t>Due diligence results pending, Liechtenstein, No known country of origin, Unknown</t>
  </si>
  <si>
    <t>CID003424</t>
  </si>
  <si>
    <t>Eco-System Recycling Co., Ltd. North Plant</t>
  </si>
  <si>
    <t>Sugisawa-96 Kosakakozan, Kosaka-machi, Kazuno-gun, Akita-ken, 017-0202</t>
  </si>
  <si>
    <t>Kazuno</t>
  </si>
  <si>
    <t>Akita</t>
  </si>
  <si>
    <t>Ghyslain Yumba, Gold, Mr. Yoshihiko Hoshikawa, Yoshihiko Hoshikawa</t>
  </si>
  <si>
    <t>Eco-System Recycling Co., Ltd. North Plant, ghyslain.yumba@chemaf.com, hoshikay@dowa.co.jp</t>
  </si>
  <si>
    <t>Conformant-audited by RMI (members / partners)- valid until 10/22/2024, Eco-System Recycling Co., Ltd. North Plant, no action need, No Action Required as company is RMAP conformant, Supplier contacts: hyeju.lee@amkor.com; Infineon Customer Contact @infineon.com;  lisa.bjornson@sanmina.com; yushin@harvatek.com, Validated by RMI until 07/26/2021</t>
  </si>
  <si>
    <t>0, JAPAN, No information, R/S, RCOI confirmed per RMI, Recycled, Scrap, Recycled/scrap only, Recyled/Scrap, Unknown, but some recycled/scrap</t>
  </si>
  <si>
    <t>Brazil, Japan, Liechtenstein, Panama, Recycled/Scrap, Thailand, Brazil, Japan, Liechtenstein, Panama, Thailand, Recycled/Scrap, CID003424, Due diligence results pending, Mineral sourcing R/S, Mineral sourcing R/S based on RMAP-RMI's RCOI data, No information, No known country of origin, R/S, RCOI confirmed per RMI, Recycled, Scrap, Recycled/Scrap, Recycled/Scrap Only, Recycled/Scrap Only | Mineral sourcing R/S, Recycled/Scrap, Brazil, Thailand, Japan, Panama, Liechtenstein, Recyled/Scrap</t>
  </si>
  <si>
    <t>No information, RMI, Unknown, Yes</t>
  </si>
  <si>
    <t>Compliant, Compliant Conformant, Conformant, Conformant Smelter, Conformant smelter according to RMI, audit valid until 2024, Conformant Smelter according to RMI, last cycle in 26.07.2018 with a cycle of 3 Years, RCOI confirmed per RMI, RMAP Conformant</t>
  </si>
  <si>
    <t>CID003425</t>
  </si>
  <si>
    <t>Eco-System Recycling Co., Ltd. West Plant</t>
  </si>
  <si>
    <t>1 Chome-3-1 Kaigandori, Minami-ku, Okayama-shi, Okayama-ken 702-8506 / West Plant is in Okayama</t>
  </si>
  <si>
    <t>Okayama</t>
  </si>
  <si>
    <t>0, Gold, Mr. Yoshihiko Hoshikawa, Yoshihiko Hoshikawa, Yuki Okada</t>
  </si>
  <si>
    <t>0, Eco-System Recycling Co., Ltd. West Plant, hoshikay@dowa.co.jp, okaday3@dowa.co.jp, metalmine@dowa.co.jp, info@dowa-erc.co.jp</t>
  </si>
  <si>
    <t>Conformant-audited by RMI (members / partners)- valid until 10/19/2024, Eco-System Recycling Co., Ltd. West Plant, no action need, No Action Required as company is RMAP conformant, Supplier contacts: hyeju.lee@amkor.com; Infineon Customer Contact @infineon.com;  lisa.bjornson@sanmina.com; yushin@harvatek.com, Validated by RMI until 07/24/2021</t>
  </si>
  <si>
    <t>Brazil, Japan, Liechtenstein, Panama, Recycled/Scrap, Thailand, Brazil, Japan, Liechtenstein, Panama, Thailand, Recycled/Scrap, CID003425, Due diligence results pending, Mineral sourcing R/S, Mineral sourcing R/S based on RMAP-RMI's RCOI data, No information, No known country of origin, R/S, RCOI confirmed per RMI, Recycled, Scrap, Recycled/Scrap, Recycled/Scrap Only, Recycled/Scrap Only | Mineral sourcing R/S, Recycled/Scrap, Japan, Panama, Brazil, Thailand, Liechtenstein, Recyled/Scrap</t>
  </si>
  <si>
    <t>Compliant, Compliant Conformant, Conformant, Conformant Smelter, Conformant smelter according to RMI, audit valid until 2024, Conformant Smelter according to RMI, last cycle in 24.07.2018 with a cycle of 3 Years, RCOI confirmed per RMI, RMAP Conformant</t>
  </si>
  <si>
    <t>Elemetal Refining, LLC</t>
  </si>
  <si>
    <t>Indonesia</t>
  </si>
  <si>
    <t>CID000359</t>
  </si>
  <si>
    <t>DSC (Do Sung Corporation)</t>
  </si>
  <si>
    <t>Korea, Republic Of</t>
  </si>
  <si>
    <t>Gimpo</t>
  </si>
  <si>
    <t>Gyeonggi-do</t>
  </si>
  <si>
    <t>Yichun</t>
  </si>
  <si>
    <t>Jiangxi</t>
  </si>
  <si>
    <t>Jiangxi Nanshan</t>
  </si>
  <si>
    <t>CID000425</t>
  </si>
  <si>
    <t>Eco-System Recycling Co., Ltd. East Plant</t>
  </si>
  <si>
    <t>Honjo</t>
  </si>
  <si>
    <t>Saitama</t>
  </si>
  <si>
    <t>CID000694</t>
  </si>
  <si>
    <t>Heimerle + Meule GmbH</t>
  </si>
  <si>
    <t>Unknown, but no reason to believe sources from covered countries</t>
  </si>
  <si>
    <t>Heraeus Germany GmbH Co. KG</t>
  </si>
  <si>
    <t>Hanau</t>
  </si>
  <si>
    <t>Hessen</t>
  </si>
  <si>
    <t>Heraeus Precious Metals GmbH &amp; Co. KG</t>
  </si>
  <si>
    <t>CID000019</t>
  </si>
  <si>
    <t>Aida Chemical Industries Co., Ltd.</t>
  </si>
  <si>
    <t>6-15-13 Minami-cho, Fuchu-shi, Tokyo, 1830026 Japan</t>
  </si>
  <si>
    <t>Fuchu</t>
  </si>
  <si>
    <t>Tokyo</t>
  </si>
  <si>
    <t>Gold, Mr. Saijyo, Seigo Mukoyama, Toshiaki Dobashi, Toshiaki Dobashi, Seigo Mukoyama</t>
  </si>
  <si>
    <t>Aida Chemical Industries Co., Ltd., jigane@aida-j.jp, nsaijyo@aida-j.jp, smukoyama@aida-j.jp, tdobashi@aida-j.jp, tdobashi@aida-j.jp, smukoyama@aida-j.jp, tdobashi@aida-j.jp; smukoyama@aida-j.jp</t>
  </si>
  <si>
    <t>Aida Chemical Industries Co., Ltd., Conformant, Conformant- Reaudit In Progress, NA, no action need, No Action Required as company is RMAP conformant, None, CFS Certified, None; conformant to RMAP protocol, Supplier contacts: hyeju.lee@amkor.com; catherine.pelissonnier@st.com; (Phiron) nancy.joy@materion.com; Infineon Customer Contact @infineon.com; nadine.jahn@aim-micro-systems.de; lisa.bjornson@sanmina.com; theodore.knudson@materion.com; yushin@harvatek.com; Emily_Hsieh@epistar.com; t.gruber@ats.net; soralee@asekr.com, Validated by RMI until 04/16/2021</t>
  </si>
  <si>
    <t>0, INDONESIA | Recycled | Recycled, Scrap | Some are recycled or scrap sourced but not all. | Not disclosed | Recycled/Scrap | Recycled or Scrap | Recycled, Scrap | INDONESIA | Recycled | Recycled/Scrap | Some are recycled or scrap sourced but not all. | Not disclosed | Recycled or Scrap | RCOI Confirmed as per CSFI | recycled, JAPAN, No information, R/S, RCOI confirmed per RMI, Recycled, Recycled, Scrap, Recycled, Scrap | Recycle or Scrap | RCOI confirmed per RMI | Recycled, Recycled/scrap only, Recyled/Scrap, scrap, Some are recycled or scrap sourced but not all., Some are recycled or scrap sourced but not all. | Recycled/Scrap, Unknown, but some recycled/scrap</t>
  </si>
  <si>
    <t>Australia, Benin, Bolivia (Plurinational State of), Burkina Faso, Canada, Chile, Colombia, Ecuador, Eritrea, Ghana, Guatemala, Guinea, Guyana, Honduras, Indonesia, Japan, Mali, Nicaragua, Panama, Peru, Portugal, Recycled/Scrap, Spain, United States, CID000019, DRC, Australia, Benin, Bolivia, Brazil, Burkina Faso, Canada, Chile, China, Colombia, Ecuador, Eritrea, Ethiopia, Germany, Ghana, Guatemala, Guinea, Guyana, Honduras, India, Indonesia, Japan, Malaysia, Mali, Nicaragua, Panama, Peru, Portugal, Russia, Senegal, South Africa, Spain, Switzerland, Togo, USA, Recycled/Scrap, Mineral sourcing R/S, Mineral sourcing R/S based on RMAP-RMI's RCOI data, No information, R/S, R/S | recycled | Recycled | INDONESIA | L1, R/S | Recycle/Scrap, Canada, Japan, Bolivia, Portugal, Peru, Spain | Mineral sourcing R/S, recycled | Some are recycled or scrap sourced but not all. | Japan | Recycled/Scrap | Recycled/Scrap Only | R/S | Canada, Peru, Spain, Portugal &amp;amp; Bolivia | recycled | INDONESIA | L1, R/S | Recycled/Scrap | Recycle/Scrap, Canada, Japan, Bolivia, Portugal, Peru, Spain | Mineral sourcing R/S, recycled | Some are recycled or scrap sourced but not all. | Japan | Rec | RCOI Confirmed as per CSFI | Recycle/Scrap, Canada, Japan, Bolivia, Peru, Portugal, Spain | 6-15-13 Minami-cho, Fuchu-shi, Tokyo, 1830026 Japan | RCOI confirmed as per RMI | Mineral sourcing R/S | Yes, R/S | Recycled/Scrap | Recycle/Scrap, Canada, Japan, Bolivia, Portugal, Peru, Spain | 6-15-13 Minami-cho, Fuchu-shi, Tokyo, 1830026 Japan | Recycled/Scrap Only, RCOI confirmed per RMI, Recycle/Scrap, Canada, Japan, Bolivia, Peru, Portugal, Spain, Recycle/Scrap, Canada, Japan, Bolivia, Portugal, Peru, Spain, Recycled, Recycled, Scrap, Recycled/Scrap Only, Recycled/Scrap Only | Mineral sourcing R/S | Recycled or Scrap | RCOI confirmed per RMI | recycled | Recycled, Recycled/Scrap, Japan, Canada, Bolivia, Peru, Portugal, Spain, DRC or an adjoining country (Covered Countries), Australia, Indonesia, Recycled/Scrap, Japan, Canada, Peru, Portugal, Spain, Indonesia, Australia, Recycled/Scrap, Japan, Canada, Peru, Portugal, Spain, Indonesia, Australia, Panama, Bolivia (Plurinational State of), Chile, United States, Benin, Burkina Faso, Colombia, Ecuador, Eritrea, Ghana, Guatemala, Guinea, Guyana, Honduras, Mali, Nicaragua, Russian Federation, Senegal, Togo, India, Germany, Brazil, China, Ethiopia, Malaysia, South Africa, Switzerland, Recyled/Scrap, scrap</t>
  </si>
  <si>
    <t>Compliant, COMPLIANT 09/22/2015, Compliant Conformant, Conformant, Conformant Smelter, Conformant smelter according to RMI, audit valid until 2021, reassessment in progress, Conformant Smelter according to RMI, last cycle in 16.04.2018 with a cycle of 3 Years, on "CFS Compliant Smelter List"
jointed "LBMA", RCOI confirmed as per RMAP (LBMA Good Delivery List Refiners Source - Mined  Material, LBMA Good Delivery List Refiners Source - Recycled Material, and/or RJC Refiners Source - Mined  Material), RMAP Conformant, RMAP Conformant Smelter, RMAP Conformant Smelter / RCOI confirmed per RMI, SC, This smelter is RMI Conformant.
http://www.responsiblemineralsinitiative.org/gold-refiners-list/</t>
  </si>
  <si>
    <t>Kobe</t>
  </si>
  <si>
    <t>Hyogo</t>
  </si>
  <si>
    <t>CID000028</t>
  </si>
  <si>
    <t>Aktyubinsk Copper Company TOO</t>
  </si>
  <si>
    <t>Kazakhstan</t>
  </si>
  <si>
    <t>Aktyubinsk</t>
  </si>
  <si>
    <t>Aktobe</t>
  </si>
  <si>
    <t>CID003487</t>
  </si>
  <si>
    <t>Emerald Jewel Industry India Limited (Unit 1)</t>
  </si>
  <si>
    <t>CID003488</t>
  </si>
  <si>
    <t>Emerald Jewel Industry India Limited (Unit 2)</t>
  </si>
  <si>
    <t>CID003489</t>
  </si>
  <si>
    <t>Emerald Jewel Industry India Limited (Unit 3)</t>
  </si>
  <si>
    <t>CID000176</t>
  </si>
  <si>
    <t>C. Hafner GmbH + Co. KG</t>
  </si>
  <si>
    <t>Pforzheim, Baden-Württemberg, Germany</t>
  </si>
  <si>
    <t>Gold, NA, Philipp Reisert, Bruno Steinmetz</t>
  </si>
  <si>
    <t>C. Hafner GmbH + Co. KG, NA, Philipp.Reisert@c-hafner.de, philipp.reisert@c-hafner.de, bruno.steinmetz@c-hafner.de, Philipp.Reisert@c-hafner.de, ph.reisert@c-hafner.de,  Bruno.Steinmetz@c-hafner.de</t>
  </si>
  <si>
    <t>C. Hafner GmbH + Co. KG, Conformant, Conformant-audited by LBMA RG / RJC- valid until 05/20/2023, Conformant-audited by LBMA RG /RJC- valid until 03/18/2022, NA, no action need, No Action Required as company is RMAP conformant, No Action Required as smelter is RMAP conformant, None, CFS Certified, Supplier contacts: hyeju.lee@amkor.com; catherine.pelissonnier@st.com; (Phiron) nancy.joy@materion.com; Infineon Customer Contact @infineon.com; os.materialdeclaration@jenoptik.com; nadine.jahn@aim-micro-systems.de; lisa.bjornson@sanmina.com; theodore.knudson@materion.com; Emily_Hsieh@epistar.com; s.rossi@varioprint.ch; shelly.ding@inari-amertron.com.cn, Validated by LBMA RG / RJC until 03/19/2022</t>
  </si>
  <si>
    <t>0, GERMANY, NA, No information, Not disclosed by supplier, Not disclosed per LBMA, Not disclosed per LBMA/RJC, Not disclosed per RJC/LBMA, RCOI confirmed as per RMI., RCOI confirmed per RMI, RCOI confirmed per RMI | Not disclosed by supplier | Sourced from Mines/Recyale/Scrap, Recycled, Scrap, Recycled, Scrap | RCOI confirmed as per RMI but not disclosed by LBMA, See aggregated data below for LBMA Good Delivery Sourcing and RJC Sourcing, THAILAND | Recycled or Scrap | Not disclosed per RJC | Not disclosed | RCOI confirmed as per RMI but not disclosed by RJC | Some are recycled or scrap sourced but not all. | Not disclosed by supplier | THAILAND | Recycled or Scrap | RCOI confirmed as per CFSI but not disclosed by RJC | Not disclosed per RJC | Some are recycled or scrap sourced but not all. | Not disclosed | Recycled, Scrap | Recycled, Scrap | RCOI confirmed as per RMI but not disclosed by LBMA, Unknown, but some recycled/scrap</t>
  </si>
  <si>
    <t>Andorra, Australia, Brazil, Canada, Chile, China, Finland, Germany, Indonesia, Ireland, Japan, Mexico, Peru, Recycled/Scrap, Sweden, Switzerland, Thailand, Andorra, Australia, Brazil, Canada, Chile, China, Finland, Germany, Indonesia, Ireland, Japan, Mexico, Peru, Russia, Sweden, Switzerland, Thailand, Recycled/Scrap, Australia, Brazil, Canada, Chile, China, Finland, Germany, Indonesia, Ireland, Japan, Mexico, Peru, Russia, Sweden, Thailand, recycled/scrap, Canada, Sweden, Ireland, China, Finland, Indonesia, Recycled/Scrap, Japan, Brazil, Chile, Australia, Peru, Germany, Mexico, Thailand, Russia, China, Japan, Brazil, Australia, Chile, Peru, Germany, CID000176, Japan, China, Brazil, Australia, Chile, Peru, Germany, Known Countries from which LBMA Good Delivery List Refiners Source - Mined  Material (Provided by LBMA), Known Countries from which LBMA Good Delivery List Refiners Source - Mined  Material (Provided by LBMA) | RCOI confirmed as per RMI but not disclosed by LBMA | Japan, China, Brazil, Chile, Australia, Peru, Germany | Pforzheim, Baden-Württemberg, Germany, LBMA Good Delivery Sourcing and RJC Sourcing based on RMAP-RMI's RCOI data, Mineral R/S and mining from Germany, Chile, China, Australia, Japan, Brazil, Peru, Sweden, Canada, Thailand, Finland, Indonesia, Ireland, Mexico, NA, No information, Not disclosed per LBMA, Not disclosed per LBMA | THAILAND | Not disclosed per RJC (recycled or scrap) | Japan, China, Brazil, Chile, Australia, Peru, Germany | Not disclosed per RJC | Not disclosed | RCOI confirmed as per RMI but not disclosed by RJC | Mineral sourcing not disclosed per RJC, Mineral sourcing R/S by smelter | Recycled/Scrap Only | Mineral sourcing L1,R/S, Not disclosed by supplier | Not disclosed per LBMA | THAILAND | Not disclosed per RJC (recycled or scrap) | RCOI confirmed as per CFSI but not disclosed by RJC | Japan, China, Brazil, Chile, Australia, Peru, Germany | Not disclosed per RJC | Brazil | Mineral sourcing L1,R/S, Not dis | Japan, China, Brazil, Australia, Chile, Peru, Germany | Brazil | Pforzheim, Baden-Württemberg, Germany | Known Countries from which LBMA Good Delivery List Refiners Source - Mined  Material (Provided by LBMA) | Mineral sourcing R/S | RCOI confirmed as per RMI but not disclosed by LBMA, Not disclosed per LBMA/RJC, Not disclosed per RJC/LBMA, RCOI confirmed as per RMI., RCOI confirmed per RMI, RCOI confirmed per RMI | Mineral R/S and mining from Germany, Chile, China, Australia, Japan, Brazil, Peru, Sweden, Canada, Thailand, Finland, Indonesia, Ireland, Mexico | Canada, Sweden, Ireland, China, Finland, Indonesia, Recycled/Scrap, Japan, Brazil, Chile, Australia, Peru, Germany, Mexico, Thailand, Russia, Recycled/Scrap Only, Recycled/Scrap, Germany, Chile, China, Australia, Japan, Brazil, Peru, Sweden, Canada, Thailand, Finland, Indonesia, Ireland, Mexico, Recycled/Scrap, Germany, Chile, China, Australia, Japan, Brazil, Peru, Sweden, Canada, Thailand, Finland, Indonesia, Ireland, Mexico, Andorra, Switzerland, Unknown</t>
  </si>
  <si>
    <t>Compliant, COMPLIANT 09/22/2015, Compliant Conformant, Conformant, Conformant Smelter, Conformant smelter according to RMI, audit valid until 2022, Conformant Smelter according to RMI, last cycle in 19.03.2019 with a cycle of 3 Years, PI &amp;amp; SC,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t>
  </si>
  <si>
    <t>C.I Metales Procesados Industriales SAS</t>
  </si>
  <si>
    <t>Cota</t>
  </si>
  <si>
    <t>Cundinamarca</t>
  </si>
  <si>
    <t>CID003421</t>
  </si>
  <si>
    <t>Caridad</t>
  </si>
  <si>
    <t>Mexico</t>
  </si>
  <si>
    <t>Nacozari</t>
  </si>
  <si>
    <t>Sonora</t>
  </si>
  <si>
    <t>CID000264</t>
  </si>
  <si>
    <t>Chugai Mining</t>
  </si>
  <si>
    <t>Chiyoda</t>
  </si>
  <si>
    <t>CID000343</t>
  </si>
  <si>
    <t>Daye Non-Ferrous Metals Mining Ltd.</t>
  </si>
  <si>
    <t>Huangshi City, Huabei, China</t>
  </si>
  <si>
    <t>Huangshi</t>
  </si>
  <si>
    <t>Hubei Sheng</t>
  </si>
  <si>
    <t>Mr. Tianmu Li, Mr. Tianmu Li (李天沐), Tianmu Li</t>
  </si>
  <si>
    <t>452229609@qq.com</t>
  </si>
  <si>
    <t>Australia, Belgium, Canada, Chile, China, Hong Kong, Japan, Korea, Malaysia, Mexico, Recycled/Scrap, Singapore, South Africa, Switzerland, United Kingdom, United States, Uzbekistan, Australia, Belgium, Canada, Chile, China, Hong Kong, Japan, Malaysia, Mexico, Republic of Korea, Singapore, South Africa, Switzerland, USA, United Kingdom, Uzbekistan, Recycled/Scrap, Australia, Belgium, Canada, Chile, China, Hong Kong, Japan, Malaysia, Mexico, Singapore, South Africa, Switzerland, United Kingdom, USA, Uzbekistan, China, Australia, Belgium, Canada, Chile, Japan, Malaysia, Mexico, Singapore, South Africa, Switzerland, United Kingdom, United States, Uzbekistan, Hong Kong, China, Australia, Belgium, Canada, Chile, Japan, Malaysia, Mexico, Singapore, South Africa, Switzerland, United Kingdom, United States, Uzbekistan, Hong Kong, Indonesia, Korea, Recycled/Scrap, Excludes Covered Countries, Singapore, China, USA, Japan, Uzbekistan, United Kingdom, Malaysia, Switzerland, Canada, Belgium, Mexico, South Africa, Australia, Chile, Singapore, Hong Kong, United States, Japan, Uzbekistan, United Kingdom, Malaysia, Switzerland, Canada, Belgium, China, Mexico, South Africa, Australia, Chile, Singapore, Hong Kong, United States, Japan, Uzbekistan, United Kingdom, Malaysia, Switzerland, Canada, Belgium, China, South Africa, Mexico, Australia, Chile, Singapore, Hong Kong, United States, Japan, Uzbekistan, United Kingdom, Malaysia, Switzerland, Canada, Belgium, China, South Africa, Mexico, Chile, Australia, Unknown</t>
  </si>
  <si>
    <t>0, Compliant, Compliant Conformant, RMAP Conformant Smelter, This smelter/refiner is included on the RMI's Standard Smelter list but is not Conformant to the RMAP. Intel has requested suppliers to remove this SOR from the supply chain.</t>
  </si>
  <si>
    <t>CID002867</t>
  </si>
  <si>
    <t>Degussa Sonne / Mond Goldhandel GmbH</t>
  </si>
  <si>
    <t>Freiburger Strasse 12, 75179 Pforzheim</t>
  </si>
  <si>
    <t>Unspecified</t>
  </si>
  <si>
    <t>pforzheim@degussa-goldhandel.de</t>
  </si>
  <si>
    <t>Canada, Germany, Canada, Germany, Recycled/Scrap, Germany, Canada, Germany, Canada, Recycled/Scrap, South Africa, Korea, Australia, China, France, Hong Kong, Japan, Malaysia, Mozambique, Peru, Philippines, Singapore, Switzerland, Taiwan, Thailand, Viet Nam, No known country of origin, Unknown</t>
  </si>
  <si>
    <t>CID003348</t>
  </si>
  <si>
    <t>Dijllah Gold Refinery FZC</t>
  </si>
  <si>
    <t>400 M2 Warehouse Q4,  286&amp;287, JLT, P.O.BOX 120811, Sharjah, U.A.E</t>
  </si>
  <si>
    <t>Sharjah</t>
  </si>
  <si>
    <t>Ash Shāriqah</t>
  </si>
  <si>
    <t>Due diligence results pending, No known country of origin, Recycled/Scrap, United Arab Emirates, United Arab Emirates, Canada, Germany, Recycled/Scrap, Liechtenstein, United Arab Emirates, Recycled/Scrap, Unknown, Unknown with reason to believe may source from covered countries</t>
  </si>
  <si>
    <t>Do Sung Corporation</t>
  </si>
  <si>
    <t>CID000082</t>
  </si>
  <si>
    <t>Asahi Pretec Corp.</t>
  </si>
  <si>
    <t>(+81)78-333-5633, Conflidential, Gold, Nobuyuki Yamanaka, Not disclosed, Shiro Otsuka, Takatsugu Motoki, Takatsugu Motoki (Assistant General Manager), Takatsugu Motoki, Shiro Otsuka</t>
  </si>
  <si>
    <t>Asahi Pretec Corp., Confidential, Inqurities on the home page of the company, n-yamanaka@asahipretec.com, s-otsuka@asahipretec.com, t-motoki@asahipretec.com, t-motoki@asahipretec.com, s-otsuka@asahipretec.com</t>
  </si>
  <si>
    <t>Asahi Pretec Corp., Conformant-audited by LBMA RG  - valid until 11/18/2021, Conformant-audited by LBMA RG- valid until 08/05/2023, Monitoring CFSI certifications., NA, no action need, No Action Required as company is RMAP conformant, None, CFS Certified, Supplier contacts: hyeju.lee@amkor.com; catherine.pelissonnier@st.com; (Phiron) nancy.joy@materion.com; Infineon Customer Contact @infineon.com;  katsunori.hirata@jp.fujikura.com; zhengna@rohm.com.sg; nadine.jahn@aim-micro-systems.de; lisa.bjornson@sanmina.com; theodore.knudson@materion.com; Demi_Lo@arimalasers.com; Emily_Hsieh@epistar.com; t.gruber@ats.net; higuchi.yasunobu.xhfos@showadenko.com; antony@elaser.com.tw; Ravikumar.Ramachandran@fci.com; soralee@asekr.com, Validated by LBMA RG until 11/18/2022</t>
  </si>
  <si>
    <t>0, JAPAN, No information, Not disclosed per LBMA, RCOI confirmed as per RMI., RCOI confirmed per RMI, RCOI confirmed per RMI | Recycled and mining not disclosed by supplier | Recycled or scrp | recycled | Recycled, Recycled, recycled | Recycled or Scrap | CHINA | Recycled, Scrap | RCOI Confirmed as per CSFI | Not disclosed | Recycled/Scrap | Recycled or Scrap | recycled | CHINA | Recycled/Scrap | Recycled, Scrap | RCOI Confirmed as per CSFI | Not disclosed | Recycled | Recycled | RCOI confirmed as per RMI but not disclosed by LBMA, Recycled and mining not disclosed by supplier, Recycled, but not all, Recycled, Scrap, Recycled, Scrap | RCOI confirmed as per RMI but not disclosed by LBMA, scrap, Unknown, but some recycled/scrap</t>
  </si>
  <si>
    <t>Andorra, Argentina, Australia, Austria, Belgium, Brazil, Cambodia, Canada, Chile, China, Colombia, Djibouti, Ecuador, Egypt, Eritrea, Estonia, Ethiopia, France, Germany, Guinea, Guyana, Hong Kong, Hungary, India, Indonesia, Ireland, Israel, Japan, Kazakhstan, Luxembourg, Madagascar, Malaysia, Mexico, Mongolia, Myanmar, Namibia, Netherlands, Niger, Nigeria, Panama, Papua New Guinea, Peru, Portugal, Republic of Korea, Russia, Sierra Leone, Singapore, Slovakia, Spain, Suriname, Switzerland, Taiwan, Thailand, USA, United Kingdom, Uzbekistan, Vietnam, Zimbabwe, Recycled/Scrap, Argentina, Australia, Austria, Belgium, Brazil, Cambodia, Canada, Chile, China, Colombia, Ecuador, Germany, Guinea, Guyana, Hungary, India, Indonesia, Japan, Kazakhstan, Korea, Luxembourg, Malaysia, Mongolia, Myanmar, Namibia, Papua New Guinea, Peru, Portugal, Recycled/Scrap, Switzerland, Taiwan, United Kingdom, United States, Argentina, Australia, Brazil, Canada, Chile, China, Germany, Indonesia, Japan, Papua New Guinea, Peru, Switzerland, United Kingdon, USA, recycled/scrap, CID000082, Known Countries from which LBMA Good Delivery List Refiners Source - Mined  Material (Provided by LBMA), Known Countries from which LBMA Good Delivery List Refiners Source - Mined  Material (Provided by LBMA) | RCOI confirmed as per RMI but not disclosed by LBMA | JAPAN | Myanmar, Papua New Guinea, Cambodia, Malaysia, Kazakhstan, Portugal, Mongolia, Austria, Luxembourg, Guyana, Korea, Republic of, Brazil, Chile, Laos, Colombia, Ecuador, Argentina, Hungary, Japan, India, Canada, Belgium, Namibia, Taiwan, Peru, Germany, Ethi | Sapia Tower 11F, 1-7-12 Marunouchi, Chiyoda-ku, Tokyo, 100-0005, Japan, Mineral R/S and mining not disclosed by LBMA, Mineral sourcing R/S , Myanmar, Papua New Guinea, Cambodia, Malaysia, Kazakhstan, Portugal, Austria, Mongolia, Luxembourg, Guyana, Brazil, Korea, Republic of, Chile, Laos, Ecuador, Colombia, Argentina, Hungary, Japan, India, Canada, Belgium, Namibia, Taiwan, Peru, Ethiopia, Germany, Russian Federation, Singapore, Viet Nam, Hong Kong, Guinea, United States, Egypt, Madagascar, Sierra Leone, Ivory Coast, Thailand, Bolivia, Netherlands, China, Ireland, Slovakia, Nigeria, France, Recycle/Scrap, Uzbekistan, United Kingdom, Spain, Djibouti, Czech Republic, Mexico, Zimbabwe, Suriname, Israel, Australia, Estonia, Indonesia, Myanmar, Papua New Guinea, Cambodia, Malaysia, Kazakhstan, Portugal, Austria, Mongolia, Luxembourg, Guyana, Korea, Republic of, Brazil, Chile, Laos, Ecuador, Colombia, Argentina, Hungary, Japan, India, Canada, Belgium, Namibia, Taiwan, Peru, Germany, Ethiopia, Russian Federation, Viet Nam, Singapore, Hong Kong, Guinea, United States, Egypt, Madagascar, Sierra Leone, Ivory Coast, Bolivia, Thailand, Netherlands, Ireland, China, Slovakia, Nigeria, France, Recycle/Scrap, Uzbekistan, United Kingdom, Spain, Djibouti, Czech Republic, Mexico, Zimbabwe, Suriname, Israel, Australia, Indonesia, Estonia, Myanmar, Papua New Guinea, Cambodia, Malaysia, Kazakhstan, Portugal, Mongolia, Austria, Luxembourg, Brazil, Guyana, Korea, Republic of, Chile, Laos, Colombia, Ecuador, Argentina, Hungary, Japan, India, Canada, Belgium, Namibia, Taiwan, Peru, Ethiopia, Germany, Russian Federation, Singapore, Viet Nam, Hong Kong, Guinea, United States, Egypt, Sierra Leone, Madagascar, Ivory Coast, Thailand, Bolivia, Netherlands, Ireland, China, Slovakia, France, Nigeria, Recycle/Scrap, Uzbekistan, United Kingdom, Spain, Djibouti, Czech Republic, Mexico, Zimbabwe, Suriname, Israel, Australia, Indonesia, Estonia, Myanmar, Papua New Guinea, Cambodia, Malaysia, Kazakhstan, Portugal, Mongolia, Austria, Luxembourg, Brazil, Korea, Republic of, Guyana, Chile, Laos, Colombia, Ecuador, Argentina, Hungary, Japan, India, Canada, Belgium, Namibia, Taiwan, Peru, Germany, Ethiopia, Russian Federation, Viet Nam, Singapore, Hong Kong, United States, Guinea, Egypt, Sierra Leone, Madagascar, Ivory Coast, Thailand, Bolivia, Netherlands, Ireland, China, Slovakia, Nigeria, France, Recycle/Scrap, Uzbekistan, United Kingdom, Spain, Djibouti, Czech Republic, Mexico, Zimbabwe, Suriname, Israel, Australia, Indonesia, Estonia, No information, Not disclosed per LBMA, RCOI confirmed as per RMI., RCOI confirmed per RMI, RCOI confirmed per RMI | Mineral R/S and mining not disclosed by LBMA | Recycled/Scrap, Brazil, United Kingdom, Indonesia, Papua New Guinea, Australia, Argentina, Chile, Peru, Canada, Japan, USA, China, Germany, Switzerland | Recycled or Scrap | recycled | Recycled, Recycled, Recycled or Scrap | Recycled/Scrap Only | recycled | Recycled | L1, R/S | CHINA | R/S | Myanmar, Papua New Guinea, Cambodia, Malaysia, Kazakhstan, Portugal, Austria, Mongolia, Luxembourg, Brazil, Guyana, Korea, Republic of, Chile, Laos, Colombia, Ecuador, Argentina, Hungary, Japan, India, Canada, Belgium, Namibia, Taiwan, Peru, Ethiopia, Ger | Mineral sourcing L1, R/S, Recycled or scrap | Recycled, Scrap | RCOI Confirmed as per CSFI | Not disclosed | Recycled/Scrap | Recycled or Scrap | L1, R/S | Recycled/Scrap Only | recycled | CHINA | R/S | Recycled/Scrap | Myanmar, Papua New Guinea, Cambodia, Malaysia, Kazakhstan, Portugal, Austria, Mongolia, Luxembourg, Brazil, Guyana, Korea, Republic of, Chile, Laos, Colombia, Ec | Myanmar, Papua New Guinea, Cambodia, Malaysia, Kazakhstan, Portugal, Mongolia, Austria, Luxembourg, Korea, Republic of, Brazil, Guyana, Chile, Laos, Ecuador, Colombia, Argentina, Hungary, Japan, India, Canada, Belgium, Namibia, Taiwan, Peru, Ethiopia, Ger | Sapia Tower 11F, 1-7-12 Marunouchi, Chiyoda-ku, Tokyo, 100-0005, Japan | RCOI confirmed as per RMI | Known Countries from which LBMA Good Delivery List Refiners Source - Mined  Material (Provided by LBMA) | Mineral sourcing R/S | Yes | RCOI confirmed as per RMI but not disclosed by LBMA, Recycled/Scrap, Brazil, United Kingdom, Indonesia, Papua New Guinea, Australia, Argentina, Chile, Peru, Canada, Japan, USA, China, Germany, Switzerland, 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 Recycled/Scrap, Japan, Canada, Chile, Guinea, Papua New Guinea, Argentina, Peru, Brazil, Germany, Australia, Indonesia, China, United States, United Kingdom, Switzerland, India, Austria, Cambodia, Colombia, Guyana, Kazakhstan, Korea, Luxembourg, Malaysia, Mongolia, Myanmar, Portugal, Ecuador, Belgium, Hungary, Namibia, Taiwan, Ethiopia, Egypt, France, Hong Kong, Ireland, Madagascar, Mexico, Netherlands, Niger, Nigeria, Russian Federation, Sierra Leone, Singapore, Slovakia, Thailand, Uzbekistan, Djibouti, Estonia, Israel, Spain, Suriname, Zimbabwe, Viet Nam, Panama, Andorra, Eritrea, scrap, Unknown</t>
  </si>
  <si>
    <t>Compliant, COMPLIANT 09/22/2015, Compliant Conformant, Conformant, Conformant Smelter, Conformant smelter according to RMI, audit valid until 2022, Conformant Smelter according to RMI, last cycle in 18.11.2020 with a cycle of 1 Year, http://www.asahipretec.com/conflictmetal/index.html,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CFS.
http://www.conflictfreesmelter.org/CompliantGoldRefinerList.htm, This smelter is RMI Conformant.
http://www.responsiblemineralsinitiative.org/gold-refiners-list/</t>
  </si>
  <si>
    <t>CID000157</t>
  </si>
  <si>
    <t>Boliden AB</t>
  </si>
  <si>
    <t>Sweden</t>
  </si>
  <si>
    <t>Skelleftehamn, Skellefteå Municipality, Västerbotten County, Sweden</t>
  </si>
  <si>
    <t>Skelleftehamn</t>
  </si>
  <si>
    <t>Västerbottens län [SE-24]</t>
  </si>
  <si>
    <t>Gold, Hanna Schweitz, NA</t>
  </si>
  <si>
    <t>Boliden AB, hanna.schweitz@boliden.com, NA</t>
  </si>
  <si>
    <t>Boliden AB, Conformant-audited by LBMA RG  - valid until 04/23/2022, Conformant-audited by LBMA RG- valid until 10/13/2023, NA, no action need, No Action Required as company is RMAP conformant, None, CFS Certified, Supplier contacts: hyeju.lee@amkor.com; catherine.pelissonnier@st.com; (Phiron) nancy.joy@materion.com; Infineon Customer Contact @infineon.com; os.materialdeclaration@jenoptik.com; nadine.jahn@aim-micro-systems.de; lisa.bjornson@sanmina.com; theodore.knudson@materion.com; Emily_Hsieh@epistar.com; shelly.ding@inari-amertron.com.cn, Validated by LBMA RG until 05/27/2022</t>
  </si>
  <si>
    <t>0, JAPAN | Boliben | Not disclosed by supplier | Not disclosed per LBMA | Not disclosed | RCOI confirmed as per RMI but not disclosed by LBMA | Some are recycled or scrap sourced but not all. | Not disclosed by supplier | JAPAN | Boliben | RCOI confirmed as per CFSI but not disclosed by LBMA | Not disclosed per LBMA | Recycled or scrap | Some are recycled or scrap sourced but not all. | Not disclosed | Recycled or scrap, NA, No information, Not disclosed by supplier, Not disclosed by supplier | RCOI confirmed as per RMI but not disclosed by LBMA, Not disclosed by supplier | Sourced from Mines/Recyale/Scrap | RCOI confirmed per RMI, Not disclosed per LBMA, RCOI confirmed as per RMI., RCOI confirmed per RMI, SWEDEN, Unknown, but some recycled/scrap</t>
  </si>
  <si>
    <t>Australia, Brazil, Canada, China, Finland, Germany, Indonesia, Ireland, Italy, Japan, Lithuania, Panama, Philippines, Recycled/Scrap, Singapore, South Africa, Sweden, Switzerland, Australia, Brazil, Canada, China, Finland, Germany, Indonesia, Ireland, Italy, Japan, Lithuania, Panama, Philippines, Singapore, South Africa, Sweden, Switzerland, Recycled/Scrap, Brazil, Canada, China, Finland, Indonesia, Ireland, Italy, Japan, Philippines, Sweden, recycled/scrap, Canada, Sweden, China, Ireland, Finland, Indonesia, Canada, Sweden, Ireland, China, Finland, Indonesia, CID000157,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Canada, Sweden, Ireland, China, Finland, Indonesia | Skelleftehamn, Skellefteå Municipality, Västerbotten County, Sweden, LBMA Good Delivery Sourcing based on RMAP-RMI's RCOI data, Mineral R/S and mining from Sweden, China, Finland, Ireland, Indonesia, Canada, Philippines, Japan, Brazil, Italy, Mineral R/S and mining from Sweden, China, Finland, Ireland, Indonesia, Canada, Philippines, Japan, Brazil, Italy | Sweden, Canada, Philippines, China, Brazil, Italy, Indonesia, Ireland, Finland, Recycled/Scrap, Japan | RCOI confirmed per RMI, NA, No information, Not disclosed per LBMA, Not disclosed per LBMA | JAPAN | Not disclosed per LBMA (Sweden) | Canada, Sweden, Ireland, China, Finland, Indonesia | Mineral sourcing not disclosed per LBMA, Not disclosed by supplier | Not disclosed | RCOI confirmed as per RMI but not disclosed by LBMA | Excludes Covered Countries | Mineral sourcing L1,R/S, Not disclosed by supplier | Not disclosed per LBMA | JAPAN | Not disclosed per LBMA (Sweden) | RCOI confirmed as per CFSI but not disclosed by LBMA | Canada, Sweden, Ireland, China, Finland, Indonesia | Mineral sourcing not disclosed per LBMA, Not disclosed by supplier | Recycled | | Known Countries from which LBMA Good Delivery List Refiners Source - Mined  Material (Provided by LBMA) | Canada, Sweden, China, Ireland, Finland, Indonesia | Recycled | Skelleftehamn, Skellefteå Municipality, Västerbotten County, Sweden, RCOI confirmed as per RMI., RCOI confirmed per RMI, Recycled/Scrap, Sweden, China, Finland, Ireland, Indonesia, Canada, Philippines, Japan, Brazil, Italy, Recycled/Scrap, Sweden, China, Finland, Ireland, Indonesia, Canada, Philippines, Japan, Brazil, Italy, Lithuania, Panama, Germany, Australia, Singapore, South Africa, Switzerland, Sweden, Canada, Philippines, China, Brazil, Italy, Indonesia, Ireland, Finland, Recycled/Scrap, Japan, Unknown</t>
  </si>
  <si>
    <t>Compliant, COMPLIANT 09/22/2015, Compliant Conformant, Conformant, Conformant Smelter, Conformant smelter according to RMI, audit valid until 2022, Conformant Smelter according to RMI, last cycle in 27.05.2020 with a cycle of 1 Year, PI &amp;amp; SC,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t>
  </si>
  <si>
    <t>CID000956</t>
  </si>
  <si>
    <t>Kazakhmys Smelting LLC</t>
  </si>
  <si>
    <t>010000 Astana, Turan Ave, 37 А, Business Center «Han Shatyr», 12th floor</t>
  </si>
  <si>
    <t>Balkhash</t>
  </si>
  <si>
    <t>Qaraghandy oblysy</t>
  </si>
  <si>
    <t>Kantarbekov Erkebulan</t>
  </si>
  <si>
    <t>sales@kazakhmys.kz</t>
  </si>
  <si>
    <t>China, Japan, Kazakhstan, Kyrgyzstan, China, Japan, Kazakhstan, Kyrgyzstan, Recycled/Scrap, Kazakhstan, Kyrgyzstan, Kazakhstan, Kyrgyzstan, China, Japan, Kazakhstan, Kyrgyzstan, Japan, China, Kazakhstan, Kyrgyzstan, Japan, China, Recycled/Scrap, Australia, Canada, Indonesia, Mozambique, Panama, Unknown</t>
  </si>
  <si>
    <t>CID001810</t>
  </si>
  <si>
    <t>Super Dragon Technology Co., Ltd.</t>
  </si>
  <si>
    <t>Taiwan, Province Of China</t>
  </si>
  <si>
    <t>Taoyuan</t>
  </si>
  <si>
    <t>Cade Chang</t>
  </si>
  <si>
    <t>cadechang@sdti.com.tw, service@sdti.com.tw</t>
  </si>
  <si>
    <t>Unknown, Unknown, but some recycled/scrap</t>
  </si>
  <si>
    <t>China, Recycled/Scrap, Taiwan, China, Taiwan, Recycled/Scrap, Due diligence results pending, Recycle/Scrap, China, Taiwan, Recycled/Scrap, China, Unknown, Unknown, but no reason to believe sources from covered countries</t>
  </si>
  <si>
    <t>Due diligence results pending</t>
  </si>
  <si>
    <t>CID002743</t>
  </si>
  <si>
    <t>SuZhou ShenChuang recycling Ltd.</t>
  </si>
  <si>
    <t>SuZhou ShenChuang Recycling Ltd.</t>
  </si>
  <si>
    <t xml:space="preserve">CID003116
</t>
  </si>
  <si>
    <t>Guangdong Hanhe Non-Ferrous Metal Co., Ltd.</t>
  </si>
  <si>
    <t>Chaozhou</t>
  </si>
  <si>
    <t>Guangdong Sheng</t>
  </si>
  <si>
    <t>CID002561</t>
  </si>
  <si>
    <t>Emirates Gold DMCC</t>
  </si>
  <si>
    <t>Plot No. 1G, Phase 1, Plot No.393-111, Jumeirah Lakes Towers, DMCC, Sheik Zayed Road, P.O. Box 24305, Dubai, UAE</t>
  </si>
  <si>
    <t>0, Coahuila de Zaragoza, Gold, Rami Shakarchi</t>
  </si>
  <si>
    <t>0, Emirates Gold DMCC, rami.shakarchi@emiratesgold.ae</t>
  </si>
  <si>
    <t>Conformant- Reaudit In Progress, Conformant-Reaudit In Progress, Emirates Gold DMCC, no action need, No Action Required as company is RMAP conformant, None; conformant to RMAP protocol, Reaudit In Progress, Supplier contacts: hyeju.lee@amkor.com; Infineon Customer Contact @infineon.com;  lisa.bjornson@sanmina.com; yushin@harvatek.com; t.gruber@ats.net</t>
  </si>
  <si>
    <t>0, CHINA | RCOI confirmed as per RMI but not disclosed by LBMA | CHINA | RCOI confirmed as per CFSI but not disclosed by LBMA | Not disclosed per LBMA | Not disclosed by supplier | Not disclosed per LBMA | Not disclosed by supplier | Some are recycled, scrap or covered countries sourced but not all, LR, HR, CC, R/S, No information, Not disclosed by supplier | Some are recycled, scrap or covered countries sourced but not all, RCOI confirmed per RMI, Recycled and mining not disclosed by supplier, Recycled and mining not disclosed by supplier | Sourced from Mines/Recyale/Scrap, Some are recycled, scrap or covered countries sourced but not all, Some are recycled, scrap or covered countries sourced but not all. , Some are recycled/scrap, covered countries sourced but not all., UNITED ARAB EMIRATES, Unknown, but some recycled/scrap</t>
  </si>
  <si>
    <t>Argentina, Austria, Belgium, Brazil, Cambodia, Canada, Chile, China, Colombia, Congo, Ecuador, Guyana, Hungary, India, Japan, Kazakhstan, Korea, Luxembourg, Malaysia, Mongolia, Myanmar, Namibia, Portugal, Recycled/Scrap, Tanzania, United Arab Emirates, CHINA | United Arab Emirates | RCOI confirmed as per RMI but not disclosed by LBMA | Not disclosed per LBMA | Excludes Covered Countries | CHINA | RCOI confirmed as per CFSI but not disclosed by LBMA | United Arab Emirates | Known Countries from which LBMA Good Delivery List Refiners Source - Mined  Material (Provided by LBMA) | Excludes Covered Countries | Reason to believe sources from the | Known Countries from which LBMA Good Delivery List Refiners Source - Mined  Material (Provided by LBMA) | Plot No. 1G, Phase 1, Plot No.393-111, Jumeirah Lakes Towers, DMCC, Sheik Zayed Road, P.O. Box 24305, Dubai, UAE | LR, CC, R/S | Mineral sourcing LR, CC, R/S, not disclosed by RMI | Includes Covered Countries | Some are recycled, scrap or covered countries sourced but not all, CID002561,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Includes Covered Countries and CAHRA | Mineral sourcing LR, HR, CC, R/S, based on RMAP-RMI's RCOI data with mining from United Arab Emirates, China, Tanzania | United Arab Emirates, China, DRC or an adjoining country (Covered Countries), Recycled/Scrap | Tanzania, LR, CC, R/S | Some are recycled, scrap or covered countries sourced but not all | Plot No. 1G, Phase 1, Plot No.393-111, Jumeirah Lakes Towers, DMCC, Sheik Zayed Road, P.O. Box 24305, Dubai, UAE | Includes Covered Countries, Mineral sourcing from Tanzania, Mineral sourcing LR, HR, CC, R/S, based on RMAP-RMI's RCOI data with mining from United Arab Emirates, China, Tanzania, No information, RCOI confirmed per RMI, Recycled/Scrap, United Arab Emirates, China, Recycled/Scrap, United Arab Emirates, China, Tanzania, Japan, Argentina, Austria, Brazil, Canada, Guyana, India, Malaysia, Namibia, Mongolia, Portugal, Belgium, Cambodia, Chile, Colombia, Ecuador, Hungary, Kazakhstan, Korea, Luxembourg, Myanmar, Congo, Democratic Republic of Congo, Indonesia, Australia, Germany, Niger, Nigeria, Peru, Sierra Leone, Spain, Thailand, United States, Zimbabwe, Ethiopia, Russian Federation, Mozambique, Ghana, Guinea, Mexico, Burundi, Rwanda, Uganda, Zambia, Burkina Faso, Mali, Egypt, Estonia, France, Ireland, Israel, Madagascar, Netherlands, Singapore, Slovakia, Suriname, Switzerland, United Kingdom, Djibouti, Taiwan, Viet Nam, Armenia, Azerbaijan, Bahamas, Barbados, Belarus, Benin, Bolivia (Plurinational State of), Bosnia and Herzegovina, Botswana, Bulgaria, Cameroon, Croatia, Cyprus, Denmark, Dominica, Dominican Republic, El Salvador, Eritrea, Fiji, Finland, Gabon, Gambia, Georgia, Greece, Guatemala, Honduras, Hong Kong, Iceland, Iran, Italy, Jordan, Kuwait, Kyrgyzstan, Latvia, Lebanon, Liberia, Libya, Liechtenstein, Lithuania,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Uruguay, Uzbekistan, Yemen, Some are recycled, scrap or covered countries sourced but not all, Some are recycled, scrap or covered countries sourced but not all. , Some are recycled/scrap, covered countries sourced but not all., Tanzania, Tanzania, China, United Arab Emirates, recycled/scrap, the DRC or an adjoining country(covered countries), United Arab Emirates, United Arab Emirates, China, DRC or an adjoining country (Covered Countries), Recycled/Scrap</t>
  </si>
  <si>
    <t>Compliant, Compliant Conformant, Conformant, Conformant Smelter, Conformant Smelter - some material may be sourced from the covered countries, Conformant smelter according to RMI, audit valid until 2020, reassessment in progress, Conformant Smelter according to RMI, last cycle in 27.03.2019 with a cycle of 1 Year, Part or all material comes from Covered Country, RCOI confirmed per RMI, RMAP certified Conflict Free. Some material sourced from the covered countries., RMAP Conformant, This smelter is RMI Conformant.
http://www.responsiblemineralsinitiative.org/gold-refiners-list/</t>
  </si>
  <si>
    <t>CID002355</t>
  </si>
  <si>
    <t>Faggi Enrico S.p.A.</t>
  </si>
  <si>
    <t>Italy</t>
  </si>
  <si>
    <t>Sesto Fiorentino</t>
  </si>
  <si>
    <t>Florence</t>
  </si>
  <si>
    <t>ACTIVE 09/22/2015</t>
  </si>
  <si>
    <t>CID002515</t>
  </si>
  <si>
    <t>Fidelity Printers and Refiners Ltd.</t>
  </si>
  <si>
    <t>Zimbabwe</t>
  </si>
  <si>
    <t>No. 1 George Drive, Msasa, Harare, Zimbabwe</t>
  </si>
  <si>
    <t>Msasa</t>
  </si>
  <si>
    <t>Harare</t>
  </si>
  <si>
    <t>Fradreck Kunaka, Fradreck Kunaka (Acting Chief Executive Officer)</t>
  </si>
  <si>
    <t>fkunaka@fpr.co.zw</t>
  </si>
  <si>
    <t>Congo, Democratic Republic of Congo, United States, Zimbabwe, DRC, USA, Zimbabwe, Unknown, USA, Zimbabwe, Zimbabwe, Zimbabwe, United States, Zimbabwe, United States, Argentina, Australia, Austria, Belgium, Brazil,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Aruba, Recycled/Scrap, Zimbabwe, USA</t>
  </si>
  <si>
    <t>CID002312</t>
  </si>
  <si>
    <t>Guangdong Jinding Gold Limited</t>
  </si>
  <si>
    <t>Yuexiu District, Guangzhou City, Guangdong Province, 111-115 Siyou new road 2501-05 Wuyang Metro Plaza, 25th floor</t>
  </si>
  <si>
    <t>Guangzhou</t>
  </si>
  <si>
    <t>Haixiong Hong, Liuzhu Liang, Mr. Chen, 洪海雄 Haixiong Hong</t>
  </si>
  <si>
    <t>htjk@goldjd.com, jdau9999@163.com</t>
  </si>
  <si>
    <t>Australia, Brazil, China, Japan, Peru, Recycled/Scrap, Taiwan, Australia, Brazil, China, Japan, Peru, Russia, Taiwan, Recycled/Scrap, China, Brazil, Australia, Peru, Japan, Recycled/Scrap, Russia, China, Taiwan, Brazil, Australia, Peru, Recycled/Scrap, China, Australia, Brazil, Peru, Japan, Taiwan, Recycled/Scrap, China, Australia, Brazil, Peru, Japan, Taiwan, Belgium, Canada, Chile, Malaysia, Singapore, Switzerland, United Kingdom, United States, Hong Kong, Mexico, South Africa, Uzbekistan, Argentina, Austria, Cambodia, Colombia, Djibouti, Ecuador, Egypt, Estonia, Ethiopia, France, Germany, Guyana, Hungary, India, Indonesia, Ireland, Israel, Kazakhstan, Korea, Luxembourg, Madagascar, Mongolia, Myanmar, Namibia, Netherlands, Niger, Nigeria, Portugal, Sierra Leone, Slovakia, Spain, Suriname, Thailand, Zimbabwe, Unknown</t>
  </si>
  <si>
    <t>CID000651</t>
  </si>
  <si>
    <t>Shandong Guoda Gold Co., Ltd.</t>
  </si>
  <si>
    <t>Guoda Safina High-Tech Environmental Refinery Co., Ltd.</t>
  </si>
  <si>
    <t>168 State Dale, Zhaoyuan, Shandong Province, Hunan, China</t>
  </si>
  <si>
    <t>Zhaoyuan</t>
  </si>
  <si>
    <t>Shandong Sheng</t>
  </si>
  <si>
    <t>Mr. Wu</t>
  </si>
  <si>
    <t>29953643@qq.com, sd002237@163.com</t>
  </si>
  <si>
    <t>China, China, Argentina, Chile, Hong Kong, Indonesia, Philippines, Singapore, South Africa, Switzerland, Recycled/Scrap, Liechtenstein, China, Indonesia, Recycled/Scrap, Uzbekistan, China, Indonesia, Uzbekistan, Recycled/Scrap, China, Recycled/Scrap, Indonesia, Uzbekistan, Recycled/Scrap, China, Indonesia, Uzbekistan, Recycled/Scrap, China, Indonesia, Uzbekistan, Brazil, Canada, Italy, Malaysia, Peru, Philippines, Russian Federation, Switzerland, Unknown</t>
  </si>
  <si>
    <t>CID000671</t>
  </si>
  <si>
    <t>Hangzhou Fuchunjiang Smelting Co., Ltd.</t>
  </si>
  <si>
    <t>Lushan Street, Fuyang City, Zhejiang Province, China</t>
  </si>
  <si>
    <t>Fuyang</t>
  </si>
  <si>
    <t>Zhejiang Sheng</t>
  </si>
  <si>
    <t>0, Unspecified</t>
  </si>
  <si>
    <t>fcjyl@fcjyl.com</t>
  </si>
  <si>
    <t>China, Japan, Korea, Recycled/Scrap, China, Japan, Republic of Korea, Recycled/Scrap, China, Korea, Republic of, China, Republic Of Korea, Japan, Recycled/Scrap, Recycled/Scrap, China, Korea, Japan, Recycled/Scrap, China, Korea, Japan, Canada, Chile, Austria, Mongolia, United Kingdom, Australia, Indonesia, Peru, United States, Argentina, Belgium, Brazil, Cambodia, Colombia, Djibouti, Ecuador, Egypt, Estonia, Ethiopia, France, Germany, Guyana, Hungary, India, Ireland, Israel, Kazakhstan, Luxembourg, Madagascar, Malaysia, Myanmar, Namibia, Netherlands, Niger, Nigeria, Portugal, Sierra Leone, Singapore, Slovakia, Spain, Suriname, Switzerland, Thailand, Zimbabwe, Congo, Guinea, Hong Kong, Mozambique, Papua New Guinea, New Zealand, Saudi Arabia, Turkey, United Arab Emirates, Uzbekistan, Unknown</t>
  </si>
  <si>
    <t>CID000058</t>
  </si>
  <si>
    <t>AngloGold Ashanti Corrego do Sitio Mineracao</t>
  </si>
  <si>
    <t>Brazil</t>
  </si>
  <si>
    <t>Nova Lima</t>
  </si>
  <si>
    <t>Minas Gerais</t>
  </si>
  <si>
    <t>55-31-35892000, Gold, Jose Roberto Vago, NA</t>
  </si>
  <si>
    <t>AngloGold Ashanti Córrego do Sítio Mineração, comunicaco@anglogoldashanti.com.br, JRVago@AngloGoldAshanti.com.br, NA</t>
  </si>
  <si>
    <t>AngloGold Ashanti Corrego do Sitio Mineracao, Conformant-audited by LBMA RG- valid until 09/22/2023, NA, no action need, No Action Required as company is RMAP conformant, No Action Required as smelter is RMAP conformant, None, CFS Certified, Supplier contacts: hyeju.lee@amkor.com; catherine.pelissonnier@st.com; (Phiron) nancy.joy@materion.com; Infineon Customer Contact @infineon.com;  os.materialdeclaration@jenoptik.com; nadine.jahn@aim-micro-systems.de; lisa.bjornson@sanmina.com; theodore.knudson@materion.com; yushin@harvatek.com; Emily_Hsieh@epistar.com; shelly.ding@inari-amertron.com.cn, Validated by LBMA RG until 05/01/2022</t>
  </si>
  <si>
    <t>0, BOLIVIA (PLURINATIONAL STATE OF) | Cuiabá and Lamego mines; Mine Córrego do Sítio;  Rio de Peixe Hydroelectric Complex | Not disclosed by supplier | Not disclosed per LBMA | Not disclosed | RCOI confirmed as per RMI but not disclosed by LBMA | Some are recycled or scrap sourced but not all. | Not disclosed by supplier | BOLIVIA (PLURINATIONAL STATE OF) | Cuiabá and Lamego mines; Mine Córrego do Sítio;  Rio de Peixe Hydroelectric Complex | RCOI confirmed as per CFSI but not disclosed by LBMA | Not disclosed per LBMA | Some are recycled or scrap, BRAZIL, NA, No information, Not disclosed by supplier, Not disclosed by supplier | RCOI confirmed as per RMI but not disclosed by LBMA, Not disclosed by supplier | Sourced from Mines/Recyale/Scrap | RCOI confirmed per RMI, Not disclosed per LBMA, RCOI confirmed as per RMI., RCOI confirmed per RMI, Unknown, but some recycled/scrap</t>
  </si>
  <si>
    <t>Andorra, Australia, Bolivia (Plurinational State of), Brazil, Canada, China, Japan, Recycled/Scrap, Singapore, South Africa, Switzerland, Tanzania, Uzbekistan, Australia, Bolivia, Brazil, South Africa, Uzbekistan, recycled/scrap, BRAZIL, Brazil, South Africa, Australia, Brazil, South Africa, Australia, Recycled/Scrap, Bolivia, Uzbekistan, Brazil, South Africa, Australia, Recycled/Scrap, Bolivia, Uzbekistan;Recycled/Scrap, Brazil, Australia, South Africa, Uzbekistan, China, Canada, Japan, Bolivia (Plurinational State of), Tanzania, Switzerland, Singapore, Andorra, CID000058,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Brazil, South Africa, Australia | Nova Lima, Brazil, Mineral R/S and mining from Brazil, Australia, South Africa, Uzbekistan, Mineral R/S and mining from Brazil, Australia, South Africa, Uzbekistan | Brazil, South Africa, Australia, Recycled/Scrap, Bolivia, Uzbekistan | RCOI confirmed per RMI, Mineral sourcing not disclosed per LBMA RG, NA, No information, Not disclosed per LBMA, Not Disclosed per LBMA | Not disclosed per LBMA | BOLIVIA (PLURINATIONAL STATE OF) | Not disclosed per LBMA (Brazil) | Brazil, South Africa, Australia | Mineral sourcing not disclosed per LBMA, Not disclosed by supplier | Not disclosed | RCOI confirmed as per RMI but not disclosed by LBMA | Excludes Covered Countries | Mineral sourcing L1,R/S, Not disclosed by supplier | Not Disclosed per LBMA | Not disclosed per LBMA | BOLIVIA (PLURINATIONAL STATE OF) | Not disclosed per LBMA (Brazil) | RCOI confirmed as per CFSI but not disclosed by LBMA | Brazil, South Africa, Australia | Mineral sourcing not disclosed per LBMA, Not di | Known Countries from which LBMA Good Delivery List Refiners Source - Mined  Material (Provided by LBMA) | Nova Lima, Brazil, RCOI confirmed as per RMI., RCOI confirmed per RMI, Recycled/Scrap, Brazil, Australia, South Africa, Uzbekistan, Tanzania, Andorra, Australia, Bolivia, Brazil, Canada, China, Japan, Singapore, South Africa, Switzerland, Uzbekistan, Recycled/Scrap, Unknown</t>
  </si>
  <si>
    <t>Compliant, COMPLIANT 09/22/2015, Compliant Conformant, Conformant, Conformant Smelter, Conformant smelter according to RMI, audit valid until 2021, Conformant Smelter according to RMI, last cycle in 01.05.2020 with a cycle of 1 Year, PI &amp;amp; SC,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t>
  </si>
  <si>
    <t>Argor-Heraeus SA</t>
  </si>
  <si>
    <t>Switzerland</t>
  </si>
  <si>
    <t>Mendrisio</t>
  </si>
  <si>
    <t>Ticino</t>
  </si>
  <si>
    <t>CID002525</t>
  </si>
  <si>
    <t>Shandong Humon Smelting Co., Ltd.</t>
  </si>
  <si>
    <t>Laizhou</t>
  </si>
  <si>
    <t>CID002588</t>
  </si>
  <si>
    <t>Shirpur Gold Refinery Ltd.</t>
  </si>
  <si>
    <t>5A, Trishla Premises, 5th floor, 122 Sheikh Memon Street, Mumbai 400 002, India</t>
  </si>
  <si>
    <t>Mumbai</t>
  </si>
  <si>
    <t>Maharashtra</t>
  </si>
  <si>
    <t>0, GoldShirpur Gold Refinery Ltd., Unspecified</t>
  </si>
  <si>
    <t>GoldShirpur Gold Refinery Ltd., investorinfo@shipurgold.com, investorinfo@shirpurgold.com</t>
  </si>
  <si>
    <t>Due diligence results pending, India, India, Liechtenstein, No known country of origin, Unknown, Unknown with reason to believe may source from covered countries</t>
  </si>
  <si>
    <t>SOE Shyolkovsky Factory of Secondary Precious Metals</t>
  </si>
  <si>
    <t>Shyolkovsky</t>
  </si>
  <si>
    <t>Russian Federation</t>
  </si>
  <si>
    <t>Shyolkovo</t>
  </si>
  <si>
    <t>CID002763</t>
  </si>
  <si>
    <t>8853 S.p.A.</t>
  </si>
  <si>
    <t>Via Pitagora, 11 20016 Pero (Mi)</t>
  </si>
  <si>
    <t>Pero</t>
  </si>
  <si>
    <t>Lombardia</t>
  </si>
  <si>
    <t>Gold, Graziella Gagliardi</t>
  </si>
  <si>
    <t>8853 S.p.A., graziella.gagliardi@8853.it</t>
  </si>
  <si>
    <t>8853 S.p.A., Conformant-audited by RJC- valid until 05/30/2023, Conformant-audited by RMI- valid until 05/30/2023, no action need, No Action Required as company is RMAP conformant, Remove from supply chain, Supplier contacts: hyeju.lee@amkor.com; Infineon Customer Contact @infineon.com;  lisa.bjornson@sanmina.com; yushin@harvatek.com, Validated by RJC until 05/30/2023</t>
  </si>
  <si>
    <t>0, ITALY, No information, not available, not available | RCOI confirmed as per RMI but not disclosed by RJC, Not disclosed by supplier, Not disclosed per RJC, RCOI confirmed as per RMI but not disclosed by RJC | not available, RCOI confirmed as per RMI., RCOI confirmed per RMI, See aggregated data below for RJC Sourcing, Unknown, Unknown, but some recycled/scrap</t>
  </si>
  <si>
    <t>Australia, Austria, Brazil, Canada, China, Germany, Hong Kong, Italy, Jersey, Liechtenstein, Malaysia, Mexico, Mongolia, Mozambique, Philippines, Recycled/Scrap, South Africa, Australia, Austria, Brazil, Canada, China, Germany, Hong Kong, Italy, Jersey, Liechtenstein, Malaysia, Mexico, Mongolia, Mozambique, Philippines, South Africa, Recycled/Scrap, CID002763, Due diligence results pending, Italy, Recycled/Scrap, China, Australia, Austria, Canada, Germany, Hong Kong, Jersey, Malaysia, Mexico, Mongolia, Mozambique, Philippines, South Africa, Brazil, Liechtenstein, Mineral sourcing not disclosed by RJC, Mineral sourcing not disclosed per RJC, No information, No known country of origin, Not disclosed per RJC, Not disclosed per RJC | RCOI confirmed as per RMI but not disclosed by RJC, RCOI confirmed as per RMI but not disclosed by RJC | Not disclosed per RJC, RCOI confirmed as per RMI., RCOI confirmed per RMI, Unknown, Unknown, but no reason to believe sources from covered countries</t>
  </si>
  <si>
    <t>Compliant, Compliant Conformant, Conformant, Conformant Smelter, Conformant smelter according to RMI, audit valid until 2023, Conformant Smelter according to RMI, last cycle in 30.05.2020 with a cycle of 3 Years, RCOI confirmed per RMI, RMAP Conformant</t>
  </si>
  <si>
    <t>CID002920</t>
  </si>
  <si>
    <t>ABC Refinery Pty Ltd.</t>
  </si>
  <si>
    <t>Australia</t>
  </si>
  <si>
    <t>Due diligence results pending, No known country of origin, Unknown</t>
  </si>
  <si>
    <t>CID002708</t>
  </si>
  <si>
    <t>Abington Reldan Metals, LLC</t>
  </si>
  <si>
    <t>550 Old Bordentown Road, Fairless Hills, PA 19030</t>
  </si>
  <si>
    <t>Fairless Hills</t>
  </si>
  <si>
    <t>Pennsylvania</t>
  </si>
  <si>
    <t>Todd Willis, Todd Willis, Michael E. Randolph Jr.</t>
  </si>
  <si>
    <t>twillis@armetals.com, Twillis@armetals.com (Todd Willis); mrandolph@armetals.com (Michael Randolph)</t>
  </si>
  <si>
    <t>China, Eritrea, Japan, Recycled/Scrap, United States, China, Eritrea, Japan, USA, Recycled/Scrap, China, Japan, USA, Recycled/Scrap, No known country of origin, Recycled/Scrap, United States, China, Japan, Recycled/Scrap, United States, China, Japan, Eritrea, Singapore, Switzerland, Australia, Austria, Canada, Germany, Malaysia, Mongolia, Argentina, Belgium, Brazil, Cambodia, Chile, Colombia, Djibouti, Ecuador, Egypt, Estonia, Ethiopia, France, Guyana, Hungary, India, Indonesia, Ireland, Israel, Kazakhstan, Korea, Luxembourg, Madagascar, Myanmar, Namibia, Netherlands, Niger, Nigeria, Peru, Portugal, Sierra Leone, Slovakia, Spain, Suriname, Thailand, United Kingdom, Zimbabwe, Italy, Mexico, Mozambique, Philippines, South Africa, Unknown</t>
  </si>
  <si>
    <t>0, Compliant, Conformant Smelter</t>
  </si>
  <si>
    <t>CID000339</t>
  </si>
  <si>
    <t>Dai-ichi Seiko</t>
  </si>
  <si>
    <t>CID000113</t>
  </si>
  <si>
    <t>Norddeutsche Affinererie AG</t>
  </si>
  <si>
    <t>Aurubis AG</t>
  </si>
  <si>
    <t>Hamburg, Germany</t>
  </si>
  <si>
    <t>Hamburg</t>
  </si>
  <si>
    <t>0, Gold, NA, Steffi Greif</t>
  </si>
  <si>
    <t>0, Aurubis AG, NA, Norddeutsche Affinererie AG, s.greif@aurubis.com</t>
  </si>
  <si>
    <t>Aurubis AG, Conformant, Conformant-audited by LBMA RG  - valid until 03/01/2022, NA, no action need, No Action Required as company is RMAP conformant, No Action Required as smelter is RMAP conformant, None, CFS Certified, Supplier contacts: hyeju.lee@amkor.com; catherine.pelissonnier@st.com; (Phiron) nancy.joy@materion.com; Infineon Customer Contact @infineon.com;  os.materialdeclaration@jenoptik.com; nadine.jahn@aim-micro-systems.de; lisa.bjornson@sanmina.com; theodore.knudson@materion.com; Emily_Hsieh@epistar.com; s.rossi@varioprint.ch; shelly.ding@inari-amertron.com.cn, Validated by LBMA RG until 02/24/2022</t>
  </si>
  <si>
    <t>0, BRAZIL | Recycled or Scrap | Not disclosed by supplier | Not disclosed per LBMA | Not disclosed | RCOI confirmed as per RMI but not disclosed by LBMA | Some are recycled or scrap sourced but not all. | Not disclosed by supplier | BRAZIL | Recycled or Scrap | RCOI confirmed as per CFSI but not disclosed by LBMA | recycled + scrap sourced | Not disclosed per LBMA | Recycled or scrap | Some are recycled or scrap sourced but not all. | Not disclosed | Recycled or scrap | Germany, recycled, scrap, GERMANY, NA, No information, Not disclosed by supplier, Not disclosed by supplier | RCOI confirmed as per RMI but not disclosed by LBMA, Not disclosed by supplier | RCOI confirmed per RMI | Sourced from Mines/Recyale/Scrap, Not disclosed per LBMA, RCOI confirmed as per RMI., RCOI confirmed per RMI, Unknown, but some recycled/scrap</t>
  </si>
  <si>
    <t>Andorra, Australia, Bermuda, Brazil, Bulgaria, Canada, Chile, China, Georgia, Germany, Hong Kong, Indonesia, Japan, Korea, Malaysia, Mexico, Peru, Philippines, Recycled/Scrap, Turkey, United States, Uzbekistan, Canada, China, USA, Uzbekistan, Malaysia, Bermuda, Australia, Chile, Peru, Indonesia, Brazil, Bulgaria, Recycled/Scrap, Japan, Germany, Germany, Turkey, Republic Of Korea, DRC or an adjoining country (Covered Countries), Canada, China, USA, Uzbekistan, Malaysia, Bermuda, Australia, Chile, Peru, Indonesia, Brazil, Bulgaria, Recycled/Scrap, Japan, Germany, Germany, Turkey, Republic Of Korea, DRC or an adjoining country (Covered Countries);Recycled/Scrap, Germany, Brazil, China, Canada, Indonesia, United States, Japan, Peru, Chile, Bulgaria, Turkey, Australia, Bermuda, Malaysia, Uzbekistan, Korea, Hong Kong, Andorra, Philippines, Georgia, Mexico, CID000113, DRC, Andorra, Australia, Bermuda, Brazil, Bulgaria, Canada, Chile, China, Georgia, Germany, Hong Kong, Indonesia, Japan, Malaysia, Mexico, Peru, Philippines, Republic of Korea, Turkey, USA, Uzbekistan, Recycled/Scrap, Known Countries from which LBMA Good Delivery List Refiners Source - Mined  Material (Provided by LBMA), Known Countries from which LBMA Good Delivery List Refiners Source - Mined  Material (Provided by LBMA) | RCOI confirmed as per RMI but not disclosed by LBMA | Recycle/Scrap, Canada, Hong Kong, United States, Japan, China, Brazil, Germany, Indonesia | Hamburg, Germany, LBMA Good Delivery Sourcing based on RMAP-RMI's RCOI data, Mineral R/S and mining from Germany, Brazil, China, Canada, Indonesia, United States, Japan, Peru, Chile, Bulgaria, Turkey, Australia, Bermuda, Malaysia, Uzbekistan, Korea, Hong Kong, Mineral R/S and mining from Germany, Brazil, China, Canada, Indonesia, United States, Japan, Peru, Chile, Bulgaria, Turkey, Australia, Bermuda, Malaysia, Uzbekistan, Korea, Hong Kong | RCOI confirmed per RMI | Canada, China, USA, Uzbekistan, Malaysia, Bermuda, Australia, Chile, Peru, Indonesia, Brazil, Bulgaria, Recycled/Scrap, Japan, Germany, Germany, Turkey, Republic Of Korea, DRC or an adjoining country (Covered Countries), NA, No information, Not disclosed per LBMA, Not disclosed per LBMA | BRAZIL | Not disclosed per LBMA (Chile, Brazil, Bulgaria, Peru, Canada) | Recycle/Scrap, Canada, Hong Kong, United States, China, Japan, Brazil, Germany, Indonesia | Mineral sourcing not disclosed per LBMA, Not disclosed by supplier | Not disclosed | RCOI confirmed as per RMI but not disclosed by LBMA | Mineral sourcing L1,R/S, Not disclosed by supplier | Not disclosed per LBMA | Not disclosed by supplier | BRAZIL | Not disclosed per LBMA (Chile, Brazil, Bulgaria, Peru, Canada) | RCOI confirmed as per CFSI but not disclosed by LBMA | Recycle/Scrap, Canada, Hong Kong, United States, China, Japan, Brazil, Ge | Known Countries from which LBMA Good Delivery List Refiners Source - Mined  Material (Provided by LBMA) | Recycled | Hamburg, Germany | recycled, scrap, RCOI confirmed as per RMI., RCOI confirmed per RMI, Recycle/Scrap, Canada, Hong Kong, United States, Japan, China, Brazil, Germany, Indonesia, Recycled/Scrap, Germany, Brazil, China, Canada, Indonesia, United States, Japan, Peru, Chile, Bulgaria, Turkey, Australia, Bermuda, Malaysia, Uzbekistan, Korea, Hong Kong, Recycled/Scrap, Germany, Brazil, China, Canada, Indonesia, United States, Japan, Peru, Chile, Bulgaria, Turkey, Australia, Bermuda, Malaysia, Uzbekistan, Korea, Hong Kong, Andorra, Philippines, Georgia, Mexico, Unknown, Unspecified covered country, Australia, Bermuda, Brazil, Bulgaria, Canada, Chile, China, Germany, Hong Kong, Indonesia, Japan, Malaysia, Peru, Republic of Korea, Turkey, USA, Uzbekistan, recycled/scrap</t>
  </si>
  <si>
    <t>Compliant, COMPLIANT 09/22/2015, Compliant Conformant, Conformant, Conformant Smelter, Conformant smelter according to RMI, audit valid until 2023, Conformant Smelter according to RMI, last cycle in 24.02.2020 with a cycle of 1 Year, PI &amp;amp; SC,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t>
  </si>
  <si>
    <t>CID000233</t>
  </si>
  <si>
    <t>Chimet S.p.A.</t>
  </si>
  <si>
    <t>Arezzo, Italy</t>
  </si>
  <si>
    <t>Arezzo</t>
  </si>
  <si>
    <t>Toscana</t>
  </si>
  <si>
    <t>Giovanni Prelazzi, Gold, NA</t>
  </si>
  <si>
    <t>Chimet S.p.A., giovanni.prelazzi@chimet.com, NA</t>
  </si>
  <si>
    <t>Chimet S.p.A., Conformant-audited by LBMA RG- valid until 04/28/2023, Conformant-audited by LBMA RG- valid until 08/12/2022, NA, no action need, No Action Required as company is RMAP conformant, No Action Required as smelter is RMAP conformant, None, CFS Certified, Supplier contacts: hyeju.lee@amkor.com; catherine.pelissonnier@st.com; (Phiron) nancy.joy@materion.com; Infineon Customer Contact @infineon.com; os.materialdeclaration@jenoptik.com; nadine.jahn@aim-micro-systems.de; lisa.bjornson@sanmina.com; theodore.knudson@materion.com; Emily_Hsieh@epistar.com; shelly.ding@inari-amertron.com.cn, Validated by LBMA RG until 09/07/2022</t>
  </si>
  <si>
    <t>0, INDONESIA | Recycled or Scrap | Not disclosed per LBMA | Not disclosed | RCOI confirmed as per RMI but not disclosed by LBMA | Not disclosed by supplier | Some are recycled or scrap sourced but not all. | Not disclosed by supplier | Scrap | INDONESIA | Recycled or Scrap | RCOI confirmed as per CFSI but not disclosed by LBMA | Not disclosed per LBMA | Some are recycled or scrap sourced but not all. | Not disclosed, ITALY, NA, No information, Not disclosed by supplier, Not disclosed by supplier | RCOI confirmed as per RMI but not disclosed by LBMA, Not disclosed by supplier | Sourced from Mines/Recyale/Scrap | RCOI confirmed per RMI, Not disclosed per LBMA, RCOI confirmed as per RMI., RCOI confirmed per RMI, See aggregated data below for LBMA Good Delivery Sourcing, Unknown, but some recycled/scrap</t>
  </si>
  <si>
    <t>Andorra, Australia, Brazil, Canada, Chile, China, Germany, Hong Kong, India, Indonesia, Italy, Japan, Korea, Mexico, Peru, Recycled/Scrap, South Africa, Switzerland, Turkey, United Kingdom, United States, Andorra, Australia, Brazil, Canada, Chile, China, Germany, Hong Kong, India, Indonesia, Italy, Japan, Mexico, Peru, Republic of Korea, South Africa, Switzerland, Turkey, USA, United Kingdom, Recycled/Scrap, Australia, Italy, Mexico, Republic of Korea, Switzerland, Turkey, recycled/scrap, CID000233, Italy, Recycled/Scrap, Turkey, Mexico, Australia, Switzerland, Republic Of Korea, Known Countries from which LBMA Good Delivery List Refiners Source - Mined  Material (Provided by LBMA), Known Countries from which LBMA Good Delivery List Refiners Source - Mined  Material (Provided by LBMA) | RCOI confirmed as per RMI but not disclosed by LBMA | Recycle/Scrap, Turkey, Mexico, Italy, Australia | Arezzo, Italy, LBMA Good Delivery Sourcing based on RMAP-RMI's RCOI data, Mineral R/S and mining from Italy, Australia, Mexico, Turkey, Switzerland, Korea, Mineral R/S and mining from Italy, Australia, Mexico, Turkey, Switzerland, Korea | Italy, Recycled/Scrap, Turkey, Mexico, Australia, Switzerland, Republic Of Korea | RCOI confirmed per RMI, NA, No information, Not disclosed per LBMA, Not disclosed per LBMA | INDONESIA | Not disclosed per LBMA (recycled or scrap) | Recycle/Scrap, Turkey, Mexico, Italy, Australia | Not disclosed | RCOI confirmed as per RMI but not disclosed by LBMA | Mineral sourcing not disclosed per LBMA, Not disclosed by supplier | Mineral sourcing L1,R/S, Not disclosed by supplier | Not disclosed per LBMA | Italy | INDONESIA | Not disclosed per LBMA (recycled or scrap) | RCOI confirmed as per CFSI but not disclosed by LBMA | Recycle/Scrap, Turkey, Mexico, Italy, Australia | Mineral sourcing L1,R/S, Not disclosed by supplier | Not dis | Known Countries from which LBMA Good Delivery List Refiners Source - Mined  Material (Provided by LBMA) | Arezzo, Italy, RCOI confirmed as per RMI., RCOI confirmed per RMI, Recycle/Scrap, Turkey, Italy, Mexico, Australia, Recycle/Scrap, Turkey, Mexico, Italy, Australia, Recycled/Scrap, Italy, Australia, Mexico, Turkey, Switzerland, Korea, Recycled/Scrap, Italy, Australia, Mexico, Turkey, Switzerland, Korea, Indonesia, Japan, China, Canada, United States, Hong Kong, Germany, Brazil, Andorra, not disclosed per LBMA (recycled or scrap), India, South Africa, United Kingdom, Chile, Peru, Unknown</t>
  </si>
  <si>
    <t>Compliant, COMPLIANT 09/22/2015, Compliant Conformant, Conformant, Conformant Smelter, Conformant smelter according to RMI, audit valid until 2022, Conformant Smelter according to RMI, last cycle in 07.09.2020 with a cycle of 1 Year, PI &amp;amp; SC,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t>
  </si>
  <si>
    <t>CID000242</t>
  </si>
  <si>
    <t>China National Gold Group Corporation</t>
  </si>
  <si>
    <t>Chile</t>
  </si>
  <si>
    <t>Ariquemes</t>
  </si>
  <si>
    <t>CID002584</t>
  </si>
  <si>
    <t>Fujairah Gold FZC</t>
  </si>
  <si>
    <t>P.O. Box 3992, Fujairah Free Zone II, Fujairah, UAE</t>
  </si>
  <si>
    <t>Fujairah</t>
  </si>
  <si>
    <t>Al Fujayrah</t>
  </si>
  <si>
    <t>0, Mr. Tarundeep Arora, Unspecified</t>
  </si>
  <si>
    <t>info@fujairahgold.com, tarundeep.arora@fujairahgold.com</t>
  </si>
  <si>
    <t>Due diligence results pending, No known country of origin, Recycled/Scrap, United Arab Emirates, United Arab Emirates, Recycled/Scrap, United Arab Emirates, Recycled/Scrap, Canada, China, Japan, Netherlands, Thailand, Philippines, Argentina, Australia, Austria, Belgium, Brazil, Cambodia, Chile, Colombia, Djibouti, Ecuador, Egypt, Estonia, Ethiopia, France, Germany, Guyana, Hungary, India, Indonesia, Ireland, Israel, Kazakhstan, Korea, Luxembourg, Madagascar, Malaysia, Mongolia, Myanmar, Namibia, Niger, Nigeria, Peru, Portugal, Russian Federation, Sierra Leone, Singapore, Slovakia, Spain, Switzerland, Taiwan, United Kingdom, United States, Viet Nam, Zimbabwe, Liechtenstein, Unknown, Unknown with reason to believe may source from covered countries</t>
  </si>
  <si>
    <t>CID002459</t>
  </si>
  <si>
    <t>Geib Refining Corporation</t>
  </si>
  <si>
    <t>399 Kilvert St, Warwick, RI 02886</t>
  </si>
  <si>
    <t>Gold, Jiangsu, Michael Gervais, Mike Gervais, Robert P. Slack</t>
  </si>
  <si>
    <t>Geib Refining Corporation, Mike@geibrefining.com, RPS@geibrefining.com; sales@geibrefining.com; T. 1-800-228-GOLD (4653)</t>
  </si>
  <si>
    <t>Conformant, Conformant-audited by RMI (members / partners)- valid until 10/01/2023, Geib Refining Corporation, N/A, compliant smelter, no action need, No Action Required as company is RMAP conformant, Reaudit In Progress, Supplier contacts: hyeju.lee@amkor.com; (Phiron) nancy.joy@materion.com; Infineon Customer Contact @infineon.com;  lisa.bjornson@sanmina.com; theodore.knudson@materion.com; yushin@harvatek.com</t>
  </si>
  <si>
    <t>0, INDONESIA | Recycled/Scrap | INDONESIA | Recycled/Scrap | Recycled, Scrap | Recycled, Scrap, N/A, Geib is a Smelter, No information, R/S, RCOI confirmed per RMI, Recycled, Scrap, Recycled, Scrap | Recycled/Scrap, Recyled/Scrap, Sourced from Mines/Recyale/Scrap | RCOI confirmed per RMI | Recycled, Scrap, UNITED STATES OF AMERICA,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</si>
  <si>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Argentina, Australia, Austria, Belgium, Brazil, Cambodia, Canada, Chile, China, Colombia, Ecuador, Egypt, Eritrea, Estonia, Ethiopia, France, India, Indonesia, Japan, Mexico, Portugal, Recycled/Scrap, Russian Federation, Switzerland, United States, China, Indonesia, Switzerland, USA, recycled/scrap, CID002459, Mineral sourcing R/S, Mineral sourcing R/S based on RMAP-RMI's RCOI data, Minerals sourcing R/S, N/A, Geib is a Smelter, No information, R/S, R/S | Recycled/Scrap | 399 Kilvert St, Warwick, RI 02886 | Recycled/Scrap Only, RCOI confirmed per RMI, Recycled, Recycled, Scrap, Recycled/Scrap Only, Recycled/Scrap Only | INDONESIA | United States, China | Recycled/Scrap | Recycled/Scrap Only | INDONESIA | Recycled/Scrap | United States, China | R/S | Does not source from DRC or covered countries | Mineral sourcing R/S | R/S | 399 Kilvert St, Warwick, RI 02886 | Mineral sourcing R/S, Recycled/Scrap Only | USA, Recycled/Scrap, Indonesia, China, Switzerland | RCOI confirmed per RMI | Mineral sourcing R/S, Recycled/Scrap, United States, China, Indonesia, Switzerland, Recycled/Scrap, United States, China, Indonesia, Switzerland, Eritrea, Brazil, Canada, Portugal, Mexico, Russian Federation, India, Japan, Argentina, Australia, Austria, Belgium, Cambodia, Chile, Colombia, Ecuador, Egypt, Estonia, Ethiopia, France, Germany, Guyana, Hungary, Ireland, Israel, Kazakhstan, Korea, Luxembourg, Madagascar, Malaysia, Mongolia, Myanmar, Namibia, Netherlands, Niger, Nigeria, Peru, Sierra Leone, Singapore, Slovakia, Spain, Suriname, Thailand, United Kingdom, Zimbabwe, Djibouti,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Ukraine, United Arab Emirates, Uruguay, Uzbekistan, Yemen, Recyled/Scrap, United States, China, Unknown, USA, Recycled/Scrap, Indonesia, China, Switzerland</t>
  </si>
  <si>
    <t>Compliant, Compliant Conformant, Conformant, Conformant Smelter, Conformant smelter according to RMI, audit valid until 2020, reassessment in progress, Conformant Smelter according to RMI, last cycle in 07.09.2017 with a cycle of 3 Years, RCOI confirmed per RMI, RMAP Conformant</t>
  </si>
  <si>
    <t>CID003641</t>
  </si>
  <si>
    <t>Gold by Gold Colombia</t>
  </si>
  <si>
    <t>Medellín</t>
  </si>
  <si>
    <t>Antioquia</t>
  </si>
  <si>
    <t>CID003186</t>
  </si>
  <si>
    <t>Gold Coast Refinery</t>
  </si>
  <si>
    <t>Accra</t>
  </si>
  <si>
    <t>Greater Accra</t>
  </si>
  <si>
    <t>CID000689</t>
  </si>
  <si>
    <t>LT Metal Ltd.</t>
  </si>
  <si>
    <t>98-13, Geonji-ro, Seo-gu, Incheon, Korea</t>
  </si>
  <si>
    <t>Seo-gu</t>
  </si>
  <si>
    <t>Incheon-gwangyeoksi</t>
  </si>
  <si>
    <t>Eduard Stefanescu, Gold, Jeong-Rok Kim, KW Song, Mr. KW Song</t>
  </si>
  <si>
    <t>jrkim@hsmetal.co.kr, kwsong@ltmetal.co.kr, LT Metal Ltd., stefanescued@heimerle-meule.com</t>
  </si>
  <si>
    <t>Conformant-audited by RMI (members / partners)- valid until 08/11/2023, Conformant-audited by RMI- valid until 08/11/2023, LT Metal Ltd., no action need, no action needed, No Action Required as company is RMAP conformant, Supplier contacts: hyeju.lee@amkor.com; Infineon Customer Contact @infineon.com;  lisa.bjornson@sanmina.com; yushin@harvatek.com, Validated by RMI until 08/11/2023</t>
  </si>
  <si>
    <t>0, KOREA, REPUBLIC OF, LR, R/S, No information, RCOI confirmed per RMI, Recycled and mining not disclosed by supplier, Recycled and scrap, and mines not disclosed by supplier, Recycled, Scrap and mines, Recycled, Scrap and mines | Some are recycled or scrap sourced but not all, Some are recycled or scrap sourced but not all, Some are recycled or scrap sourced but not all | not available | Recycled, Scrap and mines | Recycled, Scrap and mines | Recycled, Scrap and mines, not disclosed by supplier, Some are recycled or scrap sourced but not all. , Some are recyled/scrap sourced but not all., Sourced from Mines/Recyale/Scrap | Recycled and mining not disclosed by supplier, Unknown, but some recycled/scrap</t>
  </si>
  <si>
    <t>Argentina, Australia, Austria, Belgium, Benin, Bolivia, Brazil, Burkina Faso, Cambodia, Canada, Chile, China, Colombia, Djibouti, Ecuador, Egypt, Eritrea, Estonia, Ethiopia, France, Germany, Ghana, Guatemala, Guinea, Guyana, Honduras, Hungary, India, Indonesia, Ireland, Israel, Japan, Kazakhstan, Luxembourg, Madagascar, Malaysia, Mali, Mexico, Mongolia, Mozambique, Myanmar, Namibia, Netherlands, Nicaragua, Niger, Nigeria, Panama, Peru, Portugal, Republic of Korea, Russia, Senegal, Sierra Leone, Singapore, Slovakia, South Africa, Spain, Suriname, Switzerland, Taiwan, Thailand, Togo, USA, United Kingdom, Vietnam, Zimbabwe, Recycled/Scrap, Argentina, Australia, Austria, Brazil, Canada, Chile, China, Colombia, Ecuador, Ethiopia, Germany, Guyana, India, Indonesia, Japan, Korea, Malaysia, Mexico, Mongolia, Namibia, Peru, Recycled/Scrap, South Africa, Switzerland, United Kingdom, United States, Australia, Canada, China, Indonesia, Japan, Mexico, Republic of Korea, South Africa, Switzerland, United Kingdom, USA, recycled/scrap, Canada, China, USA, Japan, United Kingdom, Mexico, South Africa, Australia, Switzerland, Indonesia, Republic Of Korea, Recycled/Scrap, CID000689, Excludes Covered Countries, Excludes Covered Countries and CAHRA, Excludes Covered Countries and CAHRA | Canada, China, USA, Japan, United Kingdom, Mexico, South Africa, Australia, Switzerland, Indonesia, Republic Of Korea, Recycled/Scrap | Mineral sourcing LR, R/S based on RMAP-RMI's RCOI data, L1, R/S, L1, R/S | Some are recycled or scrap sourced but not all | 98-13, Geonji-ro, Seo-gu, Incheon, Korea, Mineral sourcing Excludes Covered Countries, LR,R/S based on RMAP-RMI's RCOI data, Mineral sourcing LR, R/S based on RMAP-RMI's RCOI data, No information, No known country of origin, No known country of origin | Some are recycled or scrap sourced but not all | No known country of origin | Known Countries from which LBMA Good Delivery List Refiners Source - Mined  Material (Provided by LBMA) | Does not source from DRC or covered countries | Mineral sourcing L1, R/S, Not disclosed by supplier | 98-13, Geonji-ro, Seo-gu, Incheon, Korea | L1, R/S | Mineral sourcing L1, R/S, not disclosed by supplier, RCOI confirmed per RMI, Recycled/Scrap, Korea, Canada, Japan, United States, China, Indonesia, Australia, Switzerland, United Kingdom, Mexico, South Africa, Recycled/Scrap, Korea, Canada, Japan, United States, China, Indonesia, Australia, Switzerland, United Kingdom, Mexico, South Africa, Peru, Guyana, Chile, Colombia, Ecuador, Germany, Argentina, Austria, Brazil, Ethiopia, India, Malaysia, Mongolia, Namibia, Portugal, Belgium, Cambodia, Hungary, Kazakhstan, Luxembourg, Myanmar, Taiwan, Russian Federation, Ghana, Guinea, Benin, Bolivia (Plurinational State of), Burkina Faso, Eritrea, Guatemala, Honduras, Mali, Nicaragua, Panama, Senegal, Togo, Niger, Nigeria, Sierra Leone, Spain, Thailand, Zimbabwe, Singapore, Djibouti, Egypt, Estonia, France, Ireland, Israel, Madagascar, Netherlands, Slovakia, Suriname, Viet Nam, Mozambique, Some are recycled or scrap sourced but not all, Some are recycled or scrap sourced but not all. , Some are recyled/scrap sourced but not all.</t>
  </si>
  <si>
    <t>Compliant, Compliant Conformant, Conformant, Conformant Smelter, Conformant smelter according to RMI, audit valid until 2023, Conformant Smelter according to RMI, last cycle in 11.08.2020 with a cycle of 3 Years, RCOI confirmed as per RMAP (LBMA Good Delivery List Refiners Source - Mined  Material, LBMA Good Delivery List Refiners Source - Recycled Material, and/or RJC Refiners Source - Mined  Material), RCOI confirmed per RMI, RMAP Conformant</t>
  </si>
  <si>
    <t>CID001093</t>
  </si>
  <si>
    <t>Luoyang Zijin Yinhui Metal Smelt Co Ltd</t>
  </si>
  <si>
    <t>Luoyang Zijin Yinhui Gold Refinery Co., Ltd.</t>
  </si>
  <si>
    <t>No. 44, Qiming Road East, Chenhe District, Luoyang City, Henan Province 471000</t>
  </si>
  <si>
    <t>Luoyang</t>
  </si>
  <si>
    <t>Henan Sheng</t>
  </si>
  <si>
    <t>Lin Haixia, Lin Haixia 林海霞</t>
  </si>
  <si>
    <t>international@zijinmining.com</t>
  </si>
  <si>
    <t>China, China, Korea, Recycled/Scrap, United States, China, Republic Of Korea, China, Recycled/Scrap, USA, China, Republic of Korea, USA, recycled/scrap, Recycled/Scrap, China, Korea, United States, Recycled/Scrap, China, Korea, United States, Brazil, Unknown</t>
  </si>
  <si>
    <t>CID002946</t>
  </si>
  <si>
    <t>Xianghualing Tin Industry Co., Ltd.</t>
  </si>
  <si>
    <t>CID002090</t>
  </si>
  <si>
    <t>Xin Furukawa Metal ( Wuxi ) Co., Ltd.</t>
  </si>
  <si>
    <t>CID002099</t>
  </si>
  <si>
    <t>XURI</t>
  </si>
  <si>
    <t>Xuri</t>
  </si>
  <si>
    <t>CID002121</t>
  </si>
  <si>
    <t>Yifeng Tin</t>
  </si>
  <si>
    <t>CID001119</t>
  </si>
  <si>
    <t>Matsuda Sangyo Co., Ltd.</t>
  </si>
  <si>
    <t>Iruma, Saitama, Japan</t>
  </si>
  <si>
    <t>Iruma</t>
  </si>
  <si>
    <t>(+81)3-3345-0811, (+81)4-2934-5357, Conflidential, Gold, Mr. Takashi Yamanoi, NA, Takashi Yamanoi, Toyama, 矢澤　勲(I. Yazawa)</t>
  </si>
  <si>
    <t>Confidential, conflict-free@matsuda-sangyo.co.jp, Inquiries on the home page of the company, Inqurities on the home page of the company, Matsuda Sangyo Co., Ltd., yamanoi-t@matsuda-sangyo.co.jp, yamanoi-t@matsuda-sangyo.co.jp; hinshou@matsuda-sangyo.co.jp, yazawa-i@matsuda-sangyo.co.jp</t>
  </si>
  <si>
    <t>Certified to Conformant Gold Refiner, Conformant, Conformant-audited by LBMA RG  - valid until 11/18/2021, Conformant-audited by LBMA RG- valid until 01/28/2023, Matsuda Sangyo Co., Ltd., NA, no action need, No Action Required as company is RMAP conformant, None, CFS Certified, RMAP Compliant Smelter, RMI Conformant, Supplier contacts: hyeju.lee@amkor.com; catherine.pelissonnier@st.com; (Phiron) nancy.joy@materion.com; hikhor@carsem.com;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 soralee@asekr.com, Validated by LBMA RG until 11/18/2022</t>
  </si>
  <si>
    <t>0, JAPAN, No information, Not disclosed per LBMA, RCOI confirmed as per RMI., RCOI confirmed per RMI, Recycled, Recycled and mining not disclosed by supplier, Recycled and mining not disclosed by supplier | RCOI confirmed per RMI | Sourced from Mines/Recyale/Scrap | Recycled or scrap | recycled | Recycled, recycled and scrap, Recycled or scrap, Recycled, scrap, Recycled, scrap | RCOI confirmed as per RMI but not disclosed by LBMA, See aggregated data below for LBMA Good Delivery Sourcing, SWITZERLAND | Recycled or Scrap | Recycled | Not disclosed per LBMA | Not Disclosed per LBMA | Not disclosed | RCOI confirmed as per RMI but not disclosed by LBMA | Recycled | Recycle(Compliant Gold Smelter  (list in CFS)) | SWITZERLAND | Recycled or Scrap | RCOI confirmed as per CFSI but not disclosed by LBMA | recycled | Not disclosed per LBMA | Bingham Canyon Mine, Utah, USA | Not Disclosed per LBMA | Not disclose | Bingham Canyon Mine, Utah, USA | Recycled, scrap | recycled,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</si>
  <si>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Ethiopia, Germany, Guyana, Hong Kong, Hungary, India, Indonesia, Japan, Kazakhstan, Laos, Luxembourg, Malaysia, Mongolia, Myanmar, Namibia, Peru, Portugal, Republic of Korea, Russia, Switzerland, United Kingdom, USA, recycled/scrap, Argentina, Australia, Austria, Brazil, Cambodia, Canada, Chile, China, Colombia, Ecuador, Guyana, Hong Kong, Hungary, India, Indonesia, Japan, Kazakhstan, Korea, Luxembourg, Malaysia, Mongolia, Myanmar, Portugal, Recycled/Scrap, United Kingdom, United States, Canada, Hong Kong, United States, China, Japan, United Kingdom, Australia, Indonesia, Canada, Hong Kong, United States, Japan, China, United Kingdom, Australia, Indonesia, CID001119, Excludes Covered Countries, 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 Known Countries from which LBMA Good Delivery List Refiners Source - Mined  Material (Provided by LBMA), Known Countries from which LBMA Good Delivery List Refiners Source - Mined  Material (Provided by LBMA) | RCOI confirmed as per RMI but not disclosed by LBMA | JAPAN | Iruma, Saitama, Japan, Mineral R/S and mining not disclosed by LBMA, Mineral R/S and mining not disclosed by LBMA | Recycled or Scrap | RCOI confirmed per RMI | Recycled
Japan, Australia, Canada, Recycled/Scrap, China, USA, United Kingdom, Indonesia, Myanmar, Cambodia, Malaysia, Kazakhstan, Portugal, Austria, Mongolia, Luxembourg, Republic Of Korea, Guyana, Brazil, Chile, Laos, Ecuador, Colombia, Argentina, Hunga | Recycled or scrap | recycled | Recycled, Mineral sourcing R/S, No information, Not disclosed per LBMA, RCOI confirmed as per RMI., RCOI confirmed per RMI, recycled, recycled | Recycled | Not disclosed per LBMA | SWITZERLAND | Not disclosed per LBMA (recycled or scrap) | Canada, Hong Kong, United States, Japan, China, United Kingdom, Australia, Indonesia | Mineral sourcing not disclosed per LBMA, Recycled | RCOI Confirmed as per CSFI | Not disclosed | RCOI confirmed as per RMI but not disclosed by LBMA | Excludes Covered Countries | Not disclosed per LBMA | Recycle(Compliant Gold Smelter  (list in CFS)) | recycled | SWITZERLAND | Not disclosed per LBMA (recycled or scrap) | RCOI confirmed as per CFSI but not disclosed by LBMA | Canada, Hong Kong, United States, Japan, China, United K | Known Countries from which LBMA Good Delivery List Refiners Source - Mined  Material (Provided by LBMA) | United States | Iruma, Saitama, Japan | RCOI confirmed as per RMI | Mineral sourcing R/S | Yes, recycled and scrap, Recycled or scrap, 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 Recycled/Scrap, Japan, Canada, Australia, United States, China, Indonesia, United Kingdom, India, Argentina, Austria, Brazil, Cambodia, Chile, Colombia, Ecuador, Guyana, Hungary, Kazakhstan, Korea, Luxembourg, Malaysia, Mongolia, Myanmar, Portugal, Belgium, Ethiopia, Germany, Namibia, Peru, Switzerland, Hong Kong, Panama, Taiwan, Mozambique, Egypt, Estonia, France, Ireland, Israel, Madagascar, Netherlands, Niger, Nigeria, Sierra Leone, Singapore, Slovakia, Spain, Suriname, Thailand, Zimbabwe, Djibouti, not disclosed per LBMA (recycled or scrap), Russian Federation, Viet Nam, Eritrea, Andorra,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Iran, Italy, Jordan, Kuwait, Kyrgyzstan, Latvia, Lebanon, Liberia, Libya, Liechtenstein, Lithuania, Mali, Malta, Mauritania, Mauritius, Mexico, Morocco, New Caledonia, New Zealand, Nicaragua, Norway, Oman, Pakistan, Papua New Guinea, Philippines, Poland, Puerto Rico, Romania, San Marino, Saudi Arabia, Senegal, Serbia, Slovenia, Solomon Islands, Sweden, Tajikistan, Togo, Trinidad and Tobago, Tunisia, Turkey, Ukraine, United Arab Emirates, Uruguay, Uzbekistan, Yemen, scrap, Unknown</t>
  </si>
  <si>
    <t>Compliant, COMPLIANT 09/22/2015, Compliant Conformant, Conformant, Conformant Gold Refiner, Conformant Smelter, Conformant smelter according to RMI, audit valid until 2021, Conformant Smelter according to RMI, last cycle in 18.11.2020 with a cycle of 1 Year, http://www.matsuda-sangyo.co.jp/en/policy/conflictminerals.html,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CFS.
http://www.conflictfreesmelter.org/CompliantGoldRefinerList.htm, This smelter is RMI Conformant.
http://www.responsiblemineralsinitiative.org/gold-refiners-list/</t>
  </si>
  <si>
    <t>CID003548</t>
  </si>
  <si>
    <t>MD Overseas</t>
  </si>
  <si>
    <t>Rudrapur</t>
  </si>
  <si>
    <t>Uttarakhand</t>
  </si>
  <si>
    <t>CID002821</t>
  </si>
  <si>
    <t>Metahub Industries Sdn. Bhd.</t>
  </si>
  <si>
    <t>Malaysia</t>
  </si>
  <si>
    <t>Johor Bahru</t>
  </si>
  <si>
    <t>Johor</t>
  </si>
  <si>
    <t>CID001149</t>
  </si>
  <si>
    <t>Metalor Technologies (Hong Kong) Ltd.</t>
  </si>
  <si>
    <t>Kwai Chung</t>
  </si>
  <si>
    <t>Hong Kong SAR</t>
  </si>
  <si>
    <t>CID002606</t>
  </si>
  <si>
    <t>Marsam Metals</t>
  </si>
  <si>
    <t>Rua Antonio das Chagas 1733, São Paulo, Sp, Brazil, Zip 04714-002</t>
  </si>
  <si>
    <t>Sao Paulo</t>
  </si>
  <si>
    <t>São Paulo</t>
  </si>
  <si>
    <t>Gold, İstanbul, Jose Inacio Franco, Mr. Otavio Surian Matias, Otavio Surian Matias</t>
  </si>
  <si>
    <t>Gerencia@refinadoramarsam.com.br, Jose@marsam.com.br, Marsam Metals</t>
  </si>
  <si>
    <t>Conformant- Reaudit In Progress, Marsam Metals, no action need, No Action Required as company is RMAP conformant, Validated by RMI until 08/15/2021</t>
  </si>
  <si>
    <t>0, BRAZIL, LR, R/S, RCOI confirmed per RMI, Recycled and scrap, and mines not disclosed by supplier, Recycled, Scrap and mines, Recycled, Scrap and mines | Some are recycled or scrap sourced but not all, Some are recycled or scrap sourced but not all, Some are recycled or scrap sourced but not all | not available | Recycled, Scrap and mines | Recycled, Scrap and mines | Not disclosed by supplier, Some are recycled or scrap sourced but not all. , Some are recyled/scrap sourced but not all., Unknown, but some recycled/scrap</t>
  </si>
  <si>
    <t>Argentina, Australia, Austria, Belgium, Benin, Bolivia, Brazil, Burkina Faso, Cambodia, Canada, Chile, China, Colombia, Djibouti, Ecuador, Egypt, Eritrea, Estonia, Ethiopia, France, Germany, Ghana, Guatemala, Guinea, Guyana, Honduras, Hungary, India, Indonesia, Ireland, Israel, Japan, Kazakhstan, Laos, Luxembourg, Madagascar, Malaysia, Mali, Mexico, Mongolia, Mozambique, Myanmar, Namibia, Netherlands, Nicaragua, Niger, Nigeria, Panama, Peru, Portugal, Republic of Korea, Russia, Senegal, Sierra Leone, Singapore, Slovakia, South Africa, Spain, Suriname, Switzerland, Taiwan, Thailand, Togo, USA, United Kingdom, Vietnam, Zimbabwe, Recycled/Scrap, Argentina, Australia, Austria, Belgium, Bolivia, Brazil, Cambodia, Canada, Chile, China, Colombia, Djibouti, Ecuador, Egypt, Estonia, Ethiopia, France, Germany, Guyana, Hungary, India, Indonesia, Ireland, Israel, Japan, Kazakhstan, Laos, Luxembourg, Madagascar, Malaysia, Mongolia,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Japan, Kazakhstan, Korea, Luxembourg, Malaysia, Mongolia, Myanmar, Namibia, Peru, Portugal, Recycled/Scrap, United States, 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 CID002606, L1, R/S, L1, R/S | Some are recycled or scrap sourced but not all | Rua Antonio das Chagas 1733, São Paulo, Sp, Brazil, Zip 04714-002, LR, R/S, Mineral sourcing LR,R/S based on RMAP-RMI's RCOI data, No known country of origin, No known country of origin | Some are recycled or scrap sourced but not all | Excludes Covered Countries | No known country of origin | L1, R/S | Does not source from DRC or covered countries | Mineral sourcing L1, R/S, not disclosed by supplier | Rua Antonio das Chagas 1733, São Paulo, Sp, Brazil, Zip 04714-002 | L1, R/S | Mineral sourcing LR, R/S, not disclosed by RMI, RCOI confirmed per RMI, 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 Recycled/Scrap, Brazil, Germany, Canada, Guyana, Peru, Chile, Colombia, Ecuador, China, Argentina, Austria, Ethiopia, India, Japan, Malaysia, Mongolia, Namibia, Portugal, Belgium, Cambodia, Hungary, Kazakhstan, Korea, Luxembourg, Myanmar, United States, Australia, Indonesia, Niger, Nigeria, Sierra Leone, Spain, Thailand, Zimbabwe, France, Djibouti, Egypt, Estonia, Ireland, Israel, Madagascar, Netherlands, Singapore, Slovakia, Suriname, Switzerland, United Kingdom, Russian Federation, Taiwan, Ghana, Guinea, Bolivia (Plurinational State of), Benin, Burkina Faso, Eritrea, Guatemala, Honduras, Mali, Nicaragua, Panama, Senegal, Togo, South Africa, Mexico, Mozambique, Viet Nam, Some are recycled or scrap sourced but not all, Some are recycled or scrap sourced but not all. , Some are recyled/scrap sourced but not all., Unknown</t>
  </si>
  <si>
    <t>No, RMI, Unknown</t>
  </si>
  <si>
    <t>Compliant, Compliant Conformant, Conformant, Conformant Smelter, Conformant smelter according to RMI, audit valid until 2021, reassessment in progress, Conformant Smelter according to RMI, last cycle in 15.08.2018 with a cycle of 3 Years, RCOI confirmed per RMI, RMAP Conformant</t>
  </si>
  <si>
    <t>CID001113</t>
  </si>
  <si>
    <t>Materion</t>
  </si>
  <si>
    <t>2978 Main Street, Buffalo NY 14214</t>
  </si>
  <si>
    <t>Buffalo</t>
  </si>
  <si>
    <t>New York</t>
  </si>
  <si>
    <t xml:space="preserve"> Michael Oneill, Gold, Tim Pelletier</t>
  </si>
  <si>
    <t xml:space="preserve"> Michael.ONeill@materion.com, Materion, Timothy.Pelletier@materion.com</t>
  </si>
  <si>
    <t>Conformant- Reaudit In Progress, Conformant-Reaudit In Progress, Materion, no action need, No Action Required as company is RMAP conformant, None - company has completed EICC CFS audit, None, CFS Certified, RCOI validated by RMI Protocols , Supplier contacts: hyeju.lee@amkor.com; catherine.pelissonnier@st.com; (Phiron) nancy.joy@materion.com; Infineon Customer Contact @infineon.com; julieli@chipbond.com.tw; lisa.bjornson@sanmina.com; theodore.knudson@materion.com; yushin@harvatek.com; Emily_Hsieh@epistar.com, Validated by RMI until 09/25/2021</t>
  </si>
  <si>
    <t>0, INDONESIA | Recycled and scrap | Recycled, Scrap | Recycled/Scrap | Some are recycled or scrap sourced but not all. | Recycled and scrap | Domestic USA Jewelery and electronics scrap.  No imported goods | INDONESIA | Recycled/Scrap | Recycled, Scrap | Some are recycled or scrap sourced but not all. | Recycled, scrap | Recycled, scrap | Recycled | Not disclosed by supplier | Some are recycled or scrap sourced but not all, No information, R/S, RCOI confirmed per RMI, Recycled and scrap, Recycled and scrap, and mines not disclosed by supplier, Recycled, scrap, Recycled, scrap | Some are recycled or scrap sourced but not all, Some are recycled or scrap sourced but not all. , Some are recycled/scrap sourced but not all., Sourced from Mines/Recyale/Scrap | RCOI confirmed per RMI | Recycled, Scrap, UNITED STATES OF AMERICA, Unknown, but some recycled/scrap</t>
  </si>
  <si>
    <t>Angola, Burundi, Central African Republic, Rwanda, South Sudan, Tanzania, Uganda, Zambia, Argentina, Australia, Austria, Belgium, Benin, Bolivia, Brazil, Cambodia, Canada, Chile, China, Colombia, Djibouti, Ecuador, Egypt, Eritrea, Estonia, Ethiopia, France, Germany, Ghana, Guinea, Guyana, Hungary, India, Indonesia, Ireland, Israel, Ivory Coast, Japan, Kazakhstan, Kenya, Laos, Luxembourg, Madagascar, Malaysia, Mali, Mauritania, Mongolia, Mozambique, Myanmar, Namibia, Netherlands, Nicaragua, Niger, Nigeria, Panama, Peru, Portugal, Republic of Korea, Russia, Sierra Leone, Singapore, Slovakia, South Africa, Spain, Sudan, Suriname, Switzerland, Taiwan, Thailand, Togo, USA, United Kingdom, Uzbekistan, Vietnam, Zimbabwe, Recycled/Scrap,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Japan, Kazakhstan, Korea, Luxembourg, Malaysia, Mongolia, Myanmar, Namibia, Peru, Portugal, Recycled/Scrap, Taiwan, United States, CID001113, L1, R/S, L1, R/S | Recycled/Scrap Only | INDONESIA | R/S | Myanmar, Cambodia, Malaysia, Kazakhstan, Portugal, Austria, Mongolia, Luxembourg, Brazil, Guyana, Korea, Republic of, Chile, Laos, Colombia, Ecuador, Argentina, Hungary, Japan, India, Canada, Belgium, Namibia, Taiwan, Peru, Ethiopia, Germany, Russian Fede | Mineral sourcing L1, R/S, Recycled and scrap, USA | Recycled, Scrap | USA | Recycled/Scrap | Mineral sourcing L1,R/S, Not disclosed by supplier | L1, R/S | Domestic USA Jewelery and electronics scrap.  No imported goods | Recycled/Scrap Only | INDONESIA | R/S | Recycled/Scrap | Myanmar, Cambodia, Malaysia, Kazakhstan, Portugal, Austria, Mongolia, Luxembourg, Brazil, Guyana, Korea, Republic of, Chil | Myanmar, Cambodia, Malaysia, Kazakhstan, Portugal, Austria, Mongolia, Luxembourg, Guyana, Brazil, Korea, Republic of, Chile, Laos, Ecuador, Colombia, Argentina, Hungary, Japan, India, Canada, Belgium, Namibia, Taiwan, Peru, Ethiopia, Germany, Russian Fede | 2978 Main Street, Buffalo NY 14214 | Recycled | Mineral sourcing L1, R/S, not disclosed by supplier | Some are recycled or scrap sourced but not all, L1, R/S | Some are recycled or scrap sourced but not all | 2978 Main Street, Buffalo NY 14214, Mineral sourcing L1,R/S based on RMAP-RMI's RCOI data, Mineral sourcing R/S, 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Thailand, Bolivia, Netherlands, Ireland, China, Slovakia, France, Nigeria, United Kingdom, Switzerland, Spain, Djibouti, Czech Republic, Zimbabwe, Suriname, Israel, Australia, Estonia, Indonesia, Myanmar, Cambodia, Malaysia, Kazakhstan, Portugal, Mongolia, Austria, Luxembourg, Brazil, Guyana, Korea, Republic of,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 Myanmar, Cambodia, Malaysia, Kazakhstan, Portugal, Mongolia, Austria, Luxembourg, Korea, Republic of, Brazil, Guyana,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 Myanmar, Cambodia, Malaysia, Kazakhstan, Portugal, Mongolia, Austria, Luxembourg, Korea, Republic of, Brazil, Guyana, Chile, Laos, Ecuador, Colombia, Argentina, Hungary, Japan, India, Canada, Belgium, Namibia, Taiwan, Peru, Ethiopia, Germany, Russian Federation, Singapore, Viet Nam, United States, Egypt, Madagascar, Sierra Leone, Ivory Coast, Thailand, Bolivia, Netherlands, Ireland, China, Slovakia, France, Nigeria, United Kingdom, Switzerland, Spain, Djibouti, Czech Republic, Zimbabwe, Suriname, Israel, Australia, Estonia, Indonesia, No information, RCOI confirmed per RMI, Recycled, Recycled and scrap, Recycled, Scrap, 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 Recycled/Scrap, United States, Brazil, Chile, Canada, Malaysia, Myanmar, Colombia, Mongolia, India, Argentina, Austria, Ecuador, Belgium, Cambodia, Hungary, Korea, Luxembourg, Guyana, Kazakhstan, Ethiopia, Peru, Namibia, Germany, Portugal, Japan, China, Indonesia, France, Ireland, Madagascar, Niger, Nigeria, Sierra Leone, United Kingdom, Australia, Singapore, Djibouti, Egypt, Netherlands, Slovakia, Suriname, Switzerland, Zimbabwe, Israel, Estonia, Spain, Thailand, Taiwan, Russian Federation, Viet Nam, Eritrea, South Africa, Angola, Burundi, Central African Republic, Kenya, Mozambique, Rwanda, South Sudan, Sudan, Tanzania, Uganda, Zambia, Mali, Uzbekistan, Ghana, Panama, Bolivia (Plurinational State of), Benin, Guinea, Mauritania, Nicaragua, Togo, 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 Some are recycled or scrap sourced but not all. , Some are recycled/scrap sourced but not all., Unknown, USA
Recycled/Scrap, USA, Myanmar, Cambodia, Malaysia, Kazakhstan, Portugal, Austria, Mongolia, Luxembourg, Brazil, Guyana, Republic Of Korea, Chile, Laos, Colombia, Ecuador, Argentina, Hungary, Japan, India, Canada, Belgium, Namibia, China, Peru, Ethiopia | RCOI confirmed per RMI | Mineral sourcing R/S</t>
  </si>
  <si>
    <t>Compliant, COMPLIANT 09/22/2015, Compliant Conformant, Conformant, Conformant Smelter, Conformant smelter according to RMI, audit valid until 2020, reassessment in progress, Conformant Smelter according to RMI, last cycle in 25.09.2019 with a cycle of 1 Year, PI &amp;amp; W, RCOI confirmed per RMI, RMAP Conformant</t>
  </si>
  <si>
    <t>CID002162</t>
  </si>
  <si>
    <t>Yunnan Chengo Electric Smelting Plant</t>
  </si>
  <si>
    <t>CID002164</t>
  </si>
  <si>
    <t>Yunnan Copper Zinc Industry Co., Ltd.</t>
  </si>
  <si>
    <t>CID002919</t>
  </si>
  <si>
    <t>Planta Recuperadora de Metales SpA</t>
  </si>
  <si>
    <t>Sexta Industrial 8147, Mejillones II Región</t>
  </si>
  <si>
    <t>Mejillones</t>
  </si>
  <si>
    <t>Antofagasta</t>
  </si>
  <si>
    <t>Gauteng, Gold, Luis Shin, Richard Kang</t>
  </si>
  <si>
    <t>luis.shin@prmchile.com, Planta Recuperadora de Metales SpA, Richard@prmchile.com</t>
  </si>
  <si>
    <t>Conformant- Reaudit In Progress, Conformant-audited by RMI (members / partners)- valid until 03/31/2023, no action need, No Action Required as company is RMAP conformant, Planta Recuperadora de Metales SpA, Supplier contacts: hyeju.lee@amkor.com; Infineon Customer Contact @infineon.com;  lisa.bjornson@sanmina.com; yushin@harvatek.com, Validated by RMI until 01/24/2021</t>
  </si>
  <si>
    <t>0, CHILE, Excludes Covered Countries, LR, No information, Not disclosed by supplier, Not disclosed by supplier | RCOI confirmed as per RMI, RCOI confirmed as per RMI | not available | Not disclosed by supplier | Not disclosed by supplier, RCOI confirmed as per RMI., RCOI confirmed per RMI, Sourced from Mines/Recyale/Scrap | Not disclosed by supplier, Unknown, Unknown, but some recycled/scrap</t>
  </si>
  <si>
    <t>0, Argentina, Australia, Austria, Brazil, Canada, Chile, China, Ethiopia, Germany, Ghana, Guinea, Guyana, India, Indonesia, Japan, Malaysia, Mexico, Mongolia, Mozambique, Namibia, Niger, Nigeria, Peru, Recycled/Scrap, Switzerland, United States, Zambia, Chile, China, Japan, United States, Australia, Canada, Peru, Argentina, Germany, Indonesia, Switzerland, Zambia, Chile, China, Japan, United States, Australia, Canada, Peru, Argentina, Germany, Indonesia, Switzerland, Zambia, Recycled/Scrap, Brazil, Mozambique, Austria, Ethiopia, Ghana, Guinea, Guyana, India, Malaysia, Mexico, Mongolia, Namibia, Niger, Nigeria, Portugal, Russian Federation, Sierra Leone, Spain, Thailand, Zimbabwe, Italy, CID002919, DRC or an adjoining country (Covered Countries), Argentina, USA, Japan, Zambia, Switzerland, Canada, China, Australia, Chile, Peru, Germany, Indonesia, DRC, Zambia, Argentina, Australia, Austria, Brazil, Canada, Chile, China, Ethiopia, Germany, Ghana, Guinea, Guyana, India, Indonesia, Italy, Japan, Malaysia, Mexico, Mongolia, Mozambique, Namibia, Niger, Nigeria, Peru, Portugal, Russia, Sierra Leone, Spain, Switzerland, Thailand, USA, Zimbabwe, Recycled/Scrap, Excludes Covered Countries, Excludes Covered Countries and CAHRA, Excludes Covered Countries and CAHRA | DRC or an adjoining country (Covered Countries), Argentina, USA, Japan, Zambia, Switzerland, Canada, China, Australia, Chile, Peru, Germany, Indonesia | Mineral sourcing LR based on RMAP-RMI's RCOI data, L1, LR, Mineral sourcing LR based on RMAP-RMI's RCOI data, No information, No known country of origin, No known country of origin | RCOI confirmed as per RMI | Excludes Covered Countries | No known country of origin | L1 | Does not source from DRC or covered countries | Mineral sourcing L1, not disclosed by supplier | Sexta Industrial 8147, Mejillones II Región | L1 | Mineral sourcing L1, not disclosed by RMI, RCOI confirmed as per RMI., RCOI confirmed per RMI, Sexta Industrial 8147, Mejillones II Región | L1 | RCOI confirmed as per RMI | Excludes Covered Countries, Zambia, Argentina, Australia, Canada, Chile, China, Germany, Indonesia, Japan, Peru, Switzerland, USA</t>
  </si>
  <si>
    <t>Compliant, Compliant Conformant, Conformant, Conformant Smelter, Conformant smelter according to RMI, audit valid until 2020, reassessment in progress, Conformant Smelter according to RMI, last cycle in 24.01.2019 with a cycle of 1 Year, RCOI confirmed per RMI, RMAP Conformant</t>
  </si>
  <si>
    <t>Prioksky Plant of Non-Ferrous Metals</t>
  </si>
  <si>
    <t>Kasimov</t>
  </si>
  <si>
    <t>CID001498</t>
  </si>
  <si>
    <t>PX Précinox SA</t>
  </si>
  <si>
    <t>PX Precinox S.A.</t>
  </si>
  <si>
    <t>La Chaux-de-Fonds, Switzerland</t>
  </si>
  <si>
    <t>La Chaux-de-Fonds</t>
  </si>
  <si>
    <t>Neuchâtel</t>
  </si>
  <si>
    <t>Gold, Gyeonggi-do, Jerome Tirmarche, Lucien Reclaru</t>
  </si>
  <si>
    <t>jerome.tirmarche@pxgroup.com, lucien.reclaru@pxgroup.com, PX Precinox S.A.</t>
  </si>
  <si>
    <t>Conformant-audited by LBMA RG- valid until 06/20/2023, Conformant-audited by LBMA RG- valid until 08/31/2022, no action need, No Action Required as company is RMAP conformant, None, CFS Certified, PX Precinox S.A., Supplier contacts: hyeju.lee@amkor.com; Infineon Customer Contact @infineon.com; lisa.bjornson@sanmina.com; yushin@harvatek.com, Validated by LBMA RG until 12/04/2022</t>
  </si>
  <si>
    <t>0, confidential, Dynacor plant in Chala, Peru, Dynacor plant in Chala, Peru | Not disclosed by supplier | Not disclosed per LBMA | RCOI confirmed as per RMI but not disclosed by LBMA | Not disclosed by supplier | Dynacor plant in Chala, Peru | RCOI confirmed as per CFSI but not disclosed by LBMA | Not disclosed per LBMA, Dynacor plant in Chala, Peru | RCOI confirmed as per RMI but not disclosed by LBMA, Dynacor plant in Chala, Peru and recycled/scrap, No information, Not disclosed by supplier, Not disclosed per LBMA, RCOI confirmed as per RMI., RCOI confirmed per RMI, See aggregated data below for LBMA Good Delivery Sourcing, Sourced from Mines/Recyale/Scrap | Not disclosed by supplier, SWITZERLAND, Unknown, but some recycled/scrap</t>
  </si>
  <si>
    <t>Andorra, Argentina, Australia, Austria, Belgium, Brazil, Cambodia, Canada, Chile, China, Colombia, Djibouti, Ecuador, Egypt, Estonia, Ethiopia, France, Germany, India, Indonesia, Mozambique, Peru, Recycled/Scrap, Sierra Leone, Switzerland, United States, Australia, Brazil, Canada, China, Ethiopia, Indonesia, Mozambique, Peru, Russia, Switzerland, recycled/scrap, Burundi, Rwanda, Tanzania, Uganda, Zambia, Andorra, Argentina, Australia, Austria, Belgium, Brazil, Cambodia, Canada, Chile, China, Colombia, Djibouti, Ecuador, Egypt, Eritrea, Estonia, Ethiopia, France, Germany, Guyana, Hungary, Iceland, India, Indonesia, Ireland, Israel, Japan, Kazakhstan, Luxembourg, Madagascar, Malaysia, Mexico, Mongolia, Mozambique, Myanmar, Namibia, Netherlands, Niger, Nigeria, Peru, Portugal, Republic of Korea, Russia, Sierra Leone, Singapore, Slovakia, South Africa, Spain, Suriname, Switzerland, Taiwan, Thailand, Tunisia, USA, United Kingdom, Vietnam, Zimbabwe, Recycled/Scrap, Canada, Mozambique, Australia, Switzerland, Canada, Mozambique, Australia, Switzerland, Peru, Recycled/Scrap, Brazil, Ethiopia, China, Russia, Indonesia, Canada, Mozambique, Australia, Switzerland, Peru, Recycled/Scrap, Brazil, Ethiopia, China, Russia, Indonesia | Mineral sourcing not disclosed by LBMA | Confidential, CID001498, confidential, Known Countries from which LBMA Good Delivery List Refiners Source - Mined  Material (Provided by LBMA), Known Countries from which LBMA Good Delivery List Refiners Source - Mined  Material (Provided by LBMA) | RCOI confirmed as per RMI but not disclosed by LBMA | La Chaux-de-Fonds, Switzerland, LBMA Good Delivery Sourcing based on RMAP-RMI's RCOI data, Mineral sourcing not disclosed by LBMA, No information, Not disclosed per LBMA, Not disclosed per LBMA | Not disclosed per LBMA (Peru) | Canada, Mozambique, Australia, Switzerland | Mineral sourcing not disclosed per LBMA, Not disclosed by supplier | RCOI confirmed as per RMI but not disclosed by LBMA | confidential | Not disclosed per LBMA | Not disclosed per LBMA (Peru) | RCOI confirmed as per CFSI but not disclosed by LBMA | Canada, Mozambique, Australia, Switzerland | Mineral sourcing not disclosed per LBMA, Not disclosed by supplier | Known Countries from which LB | Known Countries from which LBMA Good Delivery List Refiners Source - Mined  Material (Provided by LBMA) | La Chaux-de-Fonds, Switzerland | Not disclosed by LBMA, RCOI confirmed as per RMI., RCOI confirmed per RMI, Recycled/Scrap, Switzerland, Australia, Canada, Mozambique, Peru, Indonesia, China, Brazil, Ethiopia, Recycled/Scrap, Switzerland, Australia, Canada, Mozambique, Peru, Indonesia, China, Brazil, Ethiopia, Andorra, India, Sierra Leone, United States, Belgium, Estonia, Argentina, Austria, Cambodia, Chile, Colombia, Djibouti, Ecuador, Egypt, France, Germany, Guyana, Hungary, Ireland, Israel, Japan, Kazakhstan, Korea, Luxembourg, Madagascar, Malaysia, Mongolia, Myanmar, Namibia, Netherlands, Niger, Nigeria, Portugal, Russian Federation, Singapore, Slovakia, Spain, Suriname, Taiwan, Thailand, United Kingdom, Viet Nam, Zimbabwe, South Africa, Eritrea, Iceland, Tunisia, Burundi, Rwanda, Tanzania, Uganda, Zambia, Mexico, Unknown</t>
  </si>
  <si>
    <t>Compliant, Compliant Conformant, Conformant, Conformant Smelter, Conformant smelter according to RMI, audit valid until 2022, Conformant Smelter according to RMI, last cycle in 04.12.2020 with a cycle of 1 Year, RCOI confirmed per RMI, RCOI confirmed per RMI / LBMA Good Delivery Sourcing, RMAP Conformant</t>
  </si>
  <si>
    <t>CID001512</t>
  </si>
  <si>
    <t>Rand Refinery (Pty) Ltd.</t>
  </si>
  <si>
    <t>South Africa</t>
  </si>
  <si>
    <t>Germiston</t>
  </si>
  <si>
    <t>Gauteng</t>
  </si>
  <si>
    <t>CID001236</t>
  </si>
  <si>
    <t>Navoi Mining and Metallurgical Combinat</t>
  </si>
  <si>
    <t>Uzbekistan</t>
  </si>
  <si>
    <t>210100, Navoi city, Navoi str. 27, Uzbekistan</t>
  </si>
  <si>
    <t>Navoi</t>
  </si>
  <si>
    <t>Navoiy</t>
  </si>
  <si>
    <t>Gold, Mr. Beknazarov, Mr. Beknazarov (Foreign Economic Relations Dept.), Hasan Safarov (Head of Board for Foreign Economic Relations and Marketing, State Company "Navoi Mining and Metallurgical Combinat"), Mr. Beknazarov, Hasan Safarov</t>
  </si>
  <si>
    <t>l.beknazarov@ngmk.uz, Navoi Mining and Metallurgical Combinat</t>
  </si>
  <si>
    <t>Conformant-audited by LBMA RG- valid until 01/27/2023, Conformant-audited by LBMA RG- valid until 09/09/2023, Navoi Mining and Metallurgical Combinat, no action need, No Action Required as company is RMAP conformant, None, LBMA registered refinery and meets RMAP requirements, Supplier contacts: hyeju.lee@amkor.com; Infineon Customer Contact @infineon.com; lisa.bjornson@sanmina.com; yushin@harvatek.com, Validated by LBMA RG until 10/02/2022</t>
  </si>
  <si>
    <t>0, No information, Not disclosed, Not disclosed by supplier, Not disclosed by supplier | Sourced from Mines/Recyale/Scrap, Not disclosed per LBMA, RCOI confirmed as per RMI., RCOI confirmed per RMI, See aggregated data below for LBMA Good Delivery Sourcing, Unknown, but some recycled/scrap, UZBEKISTAN</t>
  </si>
  <si>
    <t>China, Indonesia, Recycled/Scrap, Turkey, United States, Uzbekistan, China, Indonesia, Turkey, USA, Uzbekistan, Recycled/Scrap, China, Indonesia, USA, Uzbekistan, recycled/scrap, CID001236, LBMA Good Delivery Sourcing based on RMAP-RMI's RCOI data, Mineral sourcing not disclosed by LBMA, Mineral sourcing not disclosed by LBMA | Recycled/Scrap, USA, China, Uzbekistan, Indonesia, No information, Not disclosed | United States, China, Uzbekistan, Indonesia | Not disclosed | United States, China, Uzbekistan, Indonesia | Does not source from DRC or covered countries, Not disclosed per LBMA, RCOI confirmed as per RMI., RCOI confirmed per RMI, Recycled/Scrap, USA, China, Uzbekistan, Indonesia, Recycled/Scrap, Uzbekistan, China, Indonesia, United States, Recycled/Scrap, Uzbekistan, China, Indonesia, United States, Turkey, United States, China, Uzbekistan, Indonesia, Unknown</t>
  </si>
  <si>
    <t>Compliant, Compliant Conformant, Conformant, Conformant Smelter, Conformant smelter according to RMI, audit valid until 2023, Conformant Smelter according to RMI, last cycle in 02.10.2020 with a cycle of 1 Year, RCOI confirmed per RMI, RMAP Conformant, UNDERGOING LBMA AUDIT</t>
  </si>
  <si>
    <t>CID003189</t>
  </si>
  <si>
    <t>NH Recytech Company</t>
  </si>
  <si>
    <t>350-3 Hyeondeok-ro, Hyendeok-myeon, Pyeongtaek-si, Gyeonggi-do, 17969</t>
  </si>
  <si>
    <t>Pyeongtaek-si</t>
  </si>
  <si>
    <t>0, Gold, Kim Kang Hoon</t>
  </si>
  <si>
    <t>0, kanghoon119@naver.com, NH Recytech Company</t>
  </si>
  <si>
    <t>Conformant-audited by RMI (members / partners)- valid until 10/16/2023, NH Recytech Company, no action need, Supplier contacts: hyeju.lee@amkor.com; lisa.bjornson@sanmina.com</t>
  </si>
  <si>
    <t>0, KOREA, REPUBLIC OF, No information, Not disclosed by supplier, RCOI confirmed per RMI, Some are recycled or scrap sourced but not all, Unknown, Unknown, but some recycled/scrap</t>
  </si>
  <si>
    <t>CID003189, Excludes Covered Countries and CAHRA, Indonesia, Republic of Korea, Recycled/Scrap, Korea, Korea, Recycled/Scrap, Korea, Recycled/Scrap, Indonesia, Mineral sourcing LR,R/S, based on RMAP-RMI's RCOI data with mining in Korea, Mineral sourcing LR,R/S, based on RMAP-RMI's RCOI data with mining in Korea | Excludes Covered Countries and CAHRA, No information, No known country of origin, RCOI confirmed per RMI, Republic Of Korea, Some are recycled or scrap sourced but not all</t>
  </si>
  <si>
    <t>NO, No information, RMI, Unknown</t>
  </si>
  <si>
    <t>Compliant, Compliant Conformant, Conformant, Conformant smelter according to RMI, audit valid until 2023, RCOI confirmed per RMI</t>
  </si>
  <si>
    <t>CID001259</t>
  </si>
  <si>
    <t>Nihon Material Co., Ltd.</t>
  </si>
  <si>
    <t>Noda Factory,  19-2 Hayama Nodi-si Chiba-ken, Japan</t>
  </si>
  <si>
    <t>Noda</t>
  </si>
  <si>
    <t>Chiba</t>
  </si>
  <si>
    <t>(+81)3-5688-8611, Conflidential, Gold, Mr. Nobutake Morita, Nobutake Morita, Terukazu Hirayama, Västerbottens län [SE-24]</t>
  </si>
  <si>
    <t>Confidential, hirayama@material.co.jp, Inqurities on the home page of the company, n.morita@material.co.jp, Nihon Material Co., Ltd.</t>
  </si>
  <si>
    <t>Conformant, Conformant-audited by LBMA RG- valid until 08/16/2022, NA, Nihon Material Co., Ltd., no action need, No Action Required as company is RMAP conformant, None, CFS Certified, RCOI validated by RMI Protocols , Supplier contacts: hyeju.lee@amkor.com; catherine.pelissonnier@st.com; (Phiron) nancy.joy@materion.com;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 soralee@asekr.com, Validated by LBMA RG until 08/12/2022</t>
  </si>
  <si>
    <t>0, Hishikari Mine and recycled/scrap, JAPAN, No information, Not disclosed per LBMA, RCOI confirmed as per RMI., RCOI confirmed per RMI, recycled, Recycled and mining not disclosed by supplier, Recycled and mining not disclosed by supplier | RCOI confirmed per RMI | Sourced from Mines/Recyale/Scrap | Recycled | recycled, Recycled and scrap, Recycled or Scrap | CHINA | Recycled | Not disclosed per LBMA | Not disclosed | RCOI confirmed as per RMI but not disclosed by LBMA | Some are recycled or scrap sourced but not all. | Recycled or Scrap | Recycled | CHINA | RCOI confirmed as per CFSI but not disclosed by LBMA | recycled | Not disclosed per LBMA | Some are recycled or scrap sourced but not all. | Not disclosed | Recycled, scrap | RCOI Confirmed as per CSFI | Recycled, scrap | Recycled, Scrap and mines, not disclosed by supplier | recycled, Recycled, scrap, Recycled, scrap | RCOI confirmed as per RMI but not disclosed by LBMA, See aggregated data below for LBMA Good Delivery Sourcing, Unknown, but some recycled/scrap</t>
  </si>
  <si>
    <t>Australia, Bolivia (Plurinational State of), Brazil, Canada, Chile, China, Democratic Republic of Congo, Indonesia, Japan, Kyrgyzstan, Malaysia, Mozambique, Niger, Nigeria, Panama, Peru, Portugal, Recycled/Scrap, Rwanda, Spain, Switzerland, Thailand, CID001259, DRC- Congo (Kinshasa), Niger, Japan, Rwanda, Malaysia, Bolivia, Thailand, Portugal, Switzerland, Spain, Canada, Mozambique, China, Brazil, Australia, Nigeria, Chile, Peru, Indonesia, DRC- Congo (Kinshasa), Niger, Japan, Rwanda, Malaysia, Thailand, Bolivia, Switzerland, Portugal, Spain, Canada, Mozambique, China, Brazil, Chile, Australia, Nigeria, Peru, Indonesia,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DRC, Rwanda, Australia, Bolivia, Brazil, Canada, Chile, China, Indonesia, Japan, Malaysia, Mozambique, Niger, Nigeria, Peru, Portugal, Spain, Switzerland, Thailand, recycled/scrap, Japan, Recycled/Scrap, China, DRC or an adjoining country (Covered Countries), Niger, Rwanda, Malaysia, Bolivia, Thailand, Switzerland, Portugal, Spain, Canada, Mozambique, Brazil, Australia, Chile, Nigeria, Peru, Indonesia, Known Countries from which LBMA Good Delivery List Refiners Source - Mined  Material (Provided by LBMA), Known Countries from which LBMA Good Delivery List Refiners Source - Mined  Material (Provided by LBMA) | RCOI confirmed as per RMI but not disclosed by LBMA | Noda Factory,  19-2 Hayama Nodi-si Chiba-ken, Japan, Mineral R/S and mining not disclosed by LBMA, Mineral R/S and mining not disclosed by LBMA | RCOI confirmed per RMI | Japan, Recycled/Scrap, China, DRC or an adjoining country (Covered Countries), Niger, Rwanda, Malaysia, Bolivia, Thailand, Switzerland, Portugal, Spain, Canada, Mozambique, Brazil, Australia, Chile, Nigeria, Peru, Indonesia | Recycled or Scrap | recycled | Recycled, Mineral sourcing R/S, No information, Not disclosed per LBMA, RCOI confirmed as per RMI., RCOI confirmed per RMI, recycled, Recycled or Scrap | L1, R/S | Recycled | CHINA | Not disclosed per LBMA (recycled or scrap) | DRC- Congo (Kinshasa), Niger, Japan, Rwanda, Malaysia, Thailand, Bolivia, Portugal, Switzerland, Spain, Canada, Mozambique, China, Brazil, Australia, Nigeria, Chile, Peru, Indonesia | Mineral sourcing L1, R/S, Recycled | Not disclosed per LBMA | recycled | RCOI confirmed as per RMI but not disclosed by LBMA | Mineral sourcing not disclosed per LBMA, Recycled or Scrap | Recycled/Scrap Only | Mineral sourcing L1,R/S, Not disclosed by supplier | Recycled or Scrap | L1, R/S | Not disclosed per LBMA | CHINA | Not disclosed per LBMA (recycled or scrap) | RCOI confirmed as per CFSI but not disclosed by LBMA | DRC- Congo (Kinshasa), Niger, Japan, Rwanda, Malaysia, Thailand, Bolivia, Portugal, Switzerl | Known Countries from which LBMA Good Delivery List Refiners Source - Mined  Material (Provided by LBMA) | RCOI Confirmed as per CSFI | DRC- Congo (Kinshasa), Niger, Japan, Rwanda, Malaysia, Bolivia, Thailand, Portugal, Switzerland, Spain, Canada, Mozambique, China, Brazil, Nigeria, Australia, Chile, Peru, Indonesia | Noda Factory,  19-2 Hayama Nodi-si Chiba-ken, Japan | RCOI confirmed as per RMI | Mineral sourcing R/S, not disclosed by LBMA | Yes, Recycled/Scrap Only, Recycled/Scrap, Japan, Australia, Brazil, Canada, China, Malaysia, Niger, Nigeria, Portugal, Spain, Switzerland, Thailand, Chile, Indonesia, Peru, Mozambique, Rwanda, Democratic Republic of Congo, Recycled/Scrap, Japan, Australia, Brazil, Canada, China, Malaysia, Niger, Nigeria, Portugal, Spain, Switzerland, Thailand, Chile, Indonesia, Peru, Mozambique, Rwanda, Democratic Republic of Congo, Panama, Kyrgyzstan, Bolivia (Plurinational State of), Germany, United States, Argentina, Austria, Belgium, Cambodia, Colombia, Ecuador, Egypt, Estonia, Ethiopia, France, Guyana, Hungary, India, Ireland, Israel, Kazakhstan, Korea, Luxembourg, Madagascar, Mongolia, Myanmar, Namibia, Netherlands, Sierra Leone, Singapore, Slovakia, Suriname, United Kingdom, Zimbabwe, Djibouti, not disclosed per LBMA (recycled or scrap), Uzbekistan, Hong Kong, Congo, Armenia, Azerbaijan, Bahamas, Barbados, Belarus, Benin, Bosnia and Herzegovina, Botswana, Bulgaria, Burkina Faso, Cameroon, Croatia, Cyprus, Denmark, Dominica, Dominican Republic, El Salvador, Eritrea, Fiji, Finland, Gabon, Gambia, Georgia, Ghana, Greece, Guatemala, Guinea, Honduras, Iceland, Iran, Italy, Jordan, Kuwait, Latvia, Lebanon, Liberia, Libya, Liechtenstein, Lithuania, Mali, Malta, Mauritania, Mauritius, Mexico, Morocco, New Caledonia, New Zealand, Nicaragua, Norway, Oman, Pakistan, Papua New Guinea, Philippines, Poland, Puerto Rico, Romania, Russian Federation, San Marino, Saudi Arabia, Senegal, Serbia, Slovenia, Solomon Islands, Sweden, Taiwan, Tajikistan, Togo, Trinidad and Tobago, Tunisia, Turkey, Ukraine, United Arab Emirates, Uruguay, Yemen, scrap, Unknown</t>
  </si>
  <si>
    <t>Compliant, COMPLIANT 09/22/2015, Compliant Conformant, Conformant, Conformant Smelter, Conformant smelter according to RMI, audit valid until 2022, Conformant Smelter according to RMI, last cycle in 12.08.2020 with a cycle of 1 Year,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CFS.
http://www.conflictfreesmelter.org/CompliantGoldRefinerList.htm, This smelter is RMI Conformant.
http://www.responsiblemineralsinitiative.org/gold-refiners-list/</t>
  </si>
  <si>
    <t>Nihon Superior Co., Ltd.</t>
  </si>
  <si>
    <t>Nohon Material Corporation</t>
  </si>
  <si>
    <t>FSE Novosibirsk Refinery</t>
  </si>
  <si>
    <t>Novosibirsk</t>
  </si>
  <si>
    <t>CID001352</t>
  </si>
  <si>
    <t>PAMP SA</t>
  </si>
  <si>
    <t>PAMP S.A.</t>
  </si>
  <si>
    <t>Castel San Pietro, Ticino, Switzerland</t>
  </si>
  <si>
    <t>Castel San Pietro</t>
  </si>
  <si>
    <t>0, Daniela Ragnoli, Gold, Oliver Demierre, Toscana</t>
  </si>
  <si>
    <t>info@mks.ch, info@pamp.com, olivier@mks.ch, PAMP S.A.</t>
  </si>
  <si>
    <t>Conformant, Conformant-audited by LBMA RG- valid until 07/14/2023, NA, no action need, No Action Required as company is RMAP conformant, None, CFS Certified, PAMP S.A., Supplier contacts: hyeju.lee@amkor.com; catherine.pelissonnier@st.com; (Phiron) nancy.joy@materion.com; chenjean@nanyapcb.com.tw; Infineon Customer Contact @infineon.com; os.materialdeclaration@jenoptik.com; nutthaphon@focuz-mfg.com; nadine.jahn@aim-micro-systems.de; lisa.bjornson@sanmina.com; theodore.knudson@materion.com; yushin@harvatek.com; kevinlin@jentech.com.tw; Emily_Hsieh@epistar.com; Ravikumar.Ramachandran@fci.com; shelly.ding@inari-amertron.com.cn, Validated by LBMA RG until 05/01/2022</t>
  </si>
  <si>
    <t>0, Burkina Faso, Burkina Faso | RCOI confirmed as per RMI but not disclosed by LBMA, No information, Not disclosed by supplier, Not disclosed per LBMA, RCOI confirmed as per RMI., RCOI confirmed per RMI, recycled, Recycled sources and mines not disclosed by supplier, See aggregated data below for LBMA Good Delivery Sourcing, SWITZERLAND, UNITED STATES OF AMERICA | Burkina Faso | Not disclosed per LBMA | Not Disclosed per LMBA | Not disclosed | RCOI confirmed as per RMI but not disclosed by LBMA | Not disclosed by smelter | Not disclosed by supplier | Recycled | UNITED STATES OF AMERICA | Burkina Faso | RCOI confirmed as per CFSI but not disclosed by LBMA | Not disclosed per LBMA | Not Disclosed per LMBA | Not disclosed | Not disclosed by smelter | Not disclosed by supplier, Unknown, but some recycled/scrap, UNKOWN | Not disclosed by supplier | Sourced from Mines/Recyale/Scrap | RCOI confirmed per RMI</t>
  </si>
  <si>
    <t>Argentina, Australia, Belgium, Brazil, Canada, China, Dominica, Dominican Republic, Ecuador, Ghana, Guinea, Hong Kong, Indonesia, Japan, Liberia, Malaysia, Mauritania, Mexico, Peru, Recycled/Scrap, South Africa, Switzerland, Tanzania, United Kingdom, United States, Brazil, Canada, China, USA, Japan, Mexico, South Africa, United Kingdom, Australia, Switzerland, Indonesia, DRC or an adjoining country (Covered Countries), Recycled/Scrap, Dominican Republic, Ecuador, Ghana, Guinea, Liberia, Malaysia, Mauritania, Peru, Argentina, Tanzania, Belgium, Canada, Hong Kong, United States, China, Japan, United Kingdom, South Africa, Mexico, Australia, Switzerland, Indonesia, Canada, Hong Kong, United States, Japan, China, South Africa, United Kingdom, Mexico, Australia, Switzerland, Indonesia, Canada, Hong Kong, United States, Japan, China, United Kingdom, Mexico, South Africa, Australia, Switzerland, Indonesia, Canada, Hong Kong, United States, Japan, China, United Kingdom, South Africa, Mexico, Australia, Switzerland, Indonesia, CID001352, DRC, Tanzania, Aland Islands, Andorra, Argentina, Australia, Austria, Azerbaijan, Belgium, Brazil, Burkina Faso, Cambodia, Canada, Chile, China, Colombia, Djibouti, Dominica, Dominican Republic, Ecuador, Egypt, Eritrea, Estonia, Ethiopia, France, Germany, Ghana, Guinea, Guyana, Hong Kong, Hungary, India, Indonesia, Ireland, Israel, Italy, Japan, Kazakhstan, Liberia, Luxembourg, Madagascar, Malaysia, Mauritania, Mexico, Mongolia, Myanmar, Namibia, Netherlands, Nicaragua, Niger, Nigeria, Panama, Peru, Poland, Portugal, Republic of Korea, Russia, Sierra Leone, Singapore, Slovakia, South Africa, Suriname, Switzerland, Taiwan, Thailand, USA, United Kingdom, Vietnam, Zimbabwe, Recycled/Scrap, Includes Covered Countries, Known Countries from which LBMA Good Delivery List Refiners Source - Mined  Material (Provided by LBMA), Known Countries from which LBMA Good Delivery List Refiners Source - Mined  Material (Provided by LBMA) | RCOI confirmed as per RMI but not disclosed by LBMA | Canada, Hong Kong, United States, Japan, China, Mexico, United Kingdom, South Africa, Australia, Switzerland, Indonesia | Castel San Pietro, Ticino, Switzerland, Mineral sourcing not disclosed by LBMA with mining from Switzerland , Mineral sourcing R/S and Mines not disclosed per LBMA, No information, Not disclosed per LBMA, Not disclosed per LBMA | UNITED STATES OF AMERICA | Not disclosed per LBMA (L1, L3, Argentina, Australia, Azerbaijan, Brazil, Burkina Faso, Dominican Republic, Ecuador, Ghana, Guinea, Liberia, Malaysia, Mauritania, Peru, Tanzania,USA) | Canada, Hong Kong, United States, Japan, China, United Kingdom, South Africa, Mexico, Australia, Switzerland, Indonesia | Mineral sourcing not disclosed per LBMA  (L1, Australia, Azerbaijan, Brazil, Burkina Faso, Dominican Republic, Ecuador, Ghana, Guinea, Liberia, Malaysia, Mauritania, Peru, USA by smelter) | RCOI Confirmed as per CSFI | Not disclosed | RCOI confirmed as per RMI but not disclosed by LBMA | Mineral sourcing not disclosed per LBMA, L1, L3 from Argentina, Australia, Azerbaijan, Brazil, Burkina Faso, Dominican Republic, Ecuador, Ghana, Guinea, Liberia, Malaysia, Mauritania, Peru, Tanzania,USA by smelter. | Includes Covered Countries | Not disclosed per LBMA | Recycled | UNITED STATES OF AMERICA | Not disclosed per LBMA (L1, L3, Argentina, Australia, Azerbaijan, Brazil, Burkina Faso, Dominican Republic, Ecuador, Ghana, Guinea, Liberia, Malaysia, Mauritania, Peru, Tanzania,USA) | RCOI co | Known Countries from which LBMA Good Delivery List Refiners Source - Mined  Material (Provided by LBMA) | Canada, Hong Kong, United States, China, Japan, South Africa, Mexico, United Kingdom, Australia, Switzerland, Indonesia | Castel San Pietro, Ticino, Switzerland, RCOI confirmed as per RMI., RCOI confirmed per RMI, recycled, Recycled/Scrap, Switzerland, Australia, United States, Canada, Indonesia, China, Japan, United Kingdom, South Africa, Mexico, Peru, Brazil, Ecuador, Malaysia, Ghana, Dominica, Dominican Republic, Guinea, Liberia, Mauritania, Argentina, Tanzania, Belgium, Hong Kong, Recycled/Scrap, Switzerland, Australia, United States, Canada, Indonesia, China, Japan, United Kingdom, South Africa, Mexico, Peru, Brazil, Ecuador, Malaysia, Ghana, Dominica, Dominican Republic, Guinea, Liberia, Mauritania, Argentina, Tanzania, Belgium, Hong Kong, Andorra, Burkina Faso, Azerbaijan, Germany, Russian Federation, Kazakhstan, Eritrea, Austria, Cambodia, Chile, Colombia, Djibouti, Egypt, Estonia, Ethiopia, France, Guyana, Hungary, India, Ireland, Israel, Korea, Luxembourg, Madagascar, Mongolia, Myanmar, Namibia, Netherlands, Niger, Nigeria, Portugal, Sierra Leone, Singapore, Slovakia, Suriname, Taiwan, Thailand, Viet Nam, Zimbabwe, Poland, Åland Islands, Italy, Nicaragua, Panama, SWITZERLAND, SWITZERLAND | Mineral sourcing not disclosed by LBMA with mining from Switzerland | Brazil, Canada, China, USA, Japan, Mexico, South Africa, United Kingdom, Australia, Switzerland, Indonesia, DRC or an adjoining country (Covered Countries), Recycled/Scrap, Dominican Republic, Ecuador, Ghana, Guinea, Liberia, Malaysia, Mauritania, Peru, A | RCOI confirmed per RMI, Tanzania, Argentina, Australia, Belgium, Brazil, Canada, China, Dominican Republic, Ecuador, Ghana, Guinea, Hong Kong, Indonesia, Japan, Liberia, Malaysia, Mauritania, Mexico, Peru, South Africa, Switzerland, United Kingdom, USA, recycled/scrap, Unknown</t>
  </si>
  <si>
    <t>Compliant, COMPLIANT 09/22/2015, Compliant Conformant, Conformant, Conformant Smelter, Conformant smelter according to RMI, audit valid until 2022, Conformant Smelter according to RMI, last cycle in 01.05.2020 with a cycle of 1 Year, PI &amp;amp; SC,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t>
  </si>
  <si>
    <t>CID002872</t>
  </si>
  <si>
    <t>Pease &amp; Curren</t>
  </si>
  <si>
    <t>75 Pennsylvania Ave, Warwick</t>
  </si>
  <si>
    <t>Raymond Farnsworth</t>
  </si>
  <si>
    <t>rfarnsworth@peaseandcurren.com</t>
  </si>
  <si>
    <t>China, Eritrea, Recycled/Scrap, United States, China, Eritrea, USA, Recycled/Scrap, China, USA, No known country of origin, United States, China, United States, China, Eritrea, Austria, Korea, Germany, Recycled/Scrap, Unknown</t>
  </si>
  <si>
    <t>CID001362</t>
  </si>
  <si>
    <t>Penglai Penggang Gold Industry Co., Ltd.</t>
  </si>
  <si>
    <t>Penglai</t>
  </si>
  <si>
    <t>CID002505</t>
  </si>
  <si>
    <t>FIR Metals &amp; Resource Ltd.</t>
  </si>
  <si>
    <t>106, Building 27, Yonghong Village, Hetang District, Zhuzhou, Hunan, China</t>
  </si>
  <si>
    <t>Zhuzhou</t>
  </si>
  <si>
    <t>Hunan Sheng</t>
  </si>
  <si>
    <t>Customer service, Dolnośląskie, NA, Peter Tang</t>
  </si>
  <si>
    <t>info@firmetal.com, NA, tang396919@hotmail.com</t>
  </si>
  <si>
    <t>Conformant, Conformant-Reaudit In Progress, NA, no action need, No Action Required as company is RMAP conformant, None, CFSP Certified, Reaudit In Progress, Supplier contacts: Infineon Customer Contact @infineon.com; yushin@harvatek.com</t>
  </si>
  <si>
    <t>0, INDONESIA | Some are recycled, scrap, cover countries or DRC sourced but not all. | Some are recycled or scrap sourced but not all | INDONESIA | Some are recycled or scrap sourced but not all | Some are recycled, scrap, cover countries or DRC sourced but not all. | Not disclosed by supplier | Recycled, Scrap and mines | Recycled, Scrap and mines | Recycled, Scrap and mines, not disclosed by supplier, LR, HR, DRC, R/S, NA, No information, RCOI confirmed per RMI, Recycled and mining not disclosed by supplier, Recycled and mining not disclosed by supplier | Sourced from Mines/Recyale/Scrap | RCOI confirmed per RMI, Recycled and scrap, and mines not disclosed by supplier, Recycled, Scrap and mines, Recycled, Scrap and mines | Some are recycled or scrap sourced but not all, Some are recycled, scrap, covered countries or DRC sourced but not all, Some are recycled, scrap, covered countries or DRC sourced but not all. | RCOI confirmed per RMI, Some are recyled/scrap sourced but not all., Unknown, but some recycled/scrap</t>
  </si>
  <si>
    <t>Argentina, Australia, Austria, Belgium, Brazil, Cambodia, Canada, Chile, China, Colombia, Ecuador, Ethiopia, Germany, Guyana, Hungary, India, Japan, Kazakhstan, Korea, Luxembourg, Malaysia, Mongolia, Myanmar, Namibia, Peru, Portugal, Recycled/Scrap, Taiwan, 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 INDONESIA | Myanmar, Cambodia, Malaysia, Kazakhstan, Portugal, Mongolia, Austria, Luxembourg, Korea, Republic of, Brazil, Guyana, Chile, Laos, Ecuador, Colombia, Argentina, Hungary, Japan, India, Canada, Belgium, Namibia, Taiwan, Peru, Germany, Ethiopia, Russian Fede | L1, L2, L3, DRC, R/S | Some are recycled or scrap sourced but not all | Includes Covered Countries | INDONESIA | Some are recycled or scrap sourced but not all | Myanmar, Cambodia, Malaysia, Kazakhstan, Portugal, Mongolia, Austria, Luxembourg, Korea, Republic of, Brazil, Guyana, Chile, Laos, Ecuador, Colombia, Argentina, Hung | the DRC or an adjoining country(covered countries) | Myanmar, Cambodia, Malaysia, Kazakhstan, Portugal, Austria, Mongolia, Luxembourg, Korea, Republic of, Guyana, Brazil, Chile, Laos, Colombia, Ecuador, Argentina, Hungary, Japan, India, Canada, Belgium, Namibia, Taiwan, Peru, Ethiopia, Germany, Russian Fede | Jiulong Industrial Zone, Yanling, Zhuzhou, Hunnan, China
106, Building 27, Yonghong Village, Hetang District, Zhuzhou, Hunan, China | L1, L2, CC, DRC, R/S | Mineral sourcing L1,R/S, not disclosed by RMI, Includes Covered Countries | Mineral sourcing LR, HR, DRC, R/S based on RMAP-RMI's RCOI data | DRC or an adjoining country (Covered Countries), Recycled/Scrap, Myanmar, Cambodia, Malaysia, Kazakhstan, Portugal, Mongolia, Austria, Luxembourg, Republic Of Korea, Brazil, Guyana, Chile, Laos, Ecuador, Colombia, Argentina, Hungary, Japan, India, Canada, | RCOI confirmed per RMI | Includes Covered Countries and CAHRA, Includes Covered Countries and CAHRA, L1, L2, CC, DRC, R/S, L1, L2, CC, DRC, R/S | Some are recycled or scrap sourced but not all | Myanmar, Cambodia, Malaysia, Kazakhstan, Portugal, Austria, Mongolia, Luxembourg, Korea, Republic of, Brazil, Guyana, Chile, Laos, Colombia, Ecuador, Argentina, Hungary, Japan, India, Canada, Belgium, Namibia, Taiwan, Peru, Ethiopia, Germany, Russian Fede | the DRC or an adjoining country(covered countries) | Includes Covered Countries | Jiulong Industrial Zone, Yanling, Zhuzhou, Hunnan, China
106, Building 27, Yonghong Village, Hetang District, Zhuzhou, Hunan, China, Mineral sourcing LR, HR, DRC, R/S based on RMAP-RMI's RCOI data, Mineral sourcing LR,R/S, from China, Myanmar, Cambodia, Malaysia, Kazakhstan, Portugal, Austria, Mongolia, Luxembourg, Brazil, Korea, Republic of, Guyana, Chile, Laos, Colombia, Ecuador, Argentina, Hungary, Japan, India, Canada, Belgium, Namibia, Taiwan, Peru, Germany, Ethiopia, Russian Federation, Singapore, Viet Nam, United States, Egypt, Sierra Leone, Madagascar, Ivory Coast, Bolivia, Thailand, Netherlands, Ireland, China, Slovakia, Nigeria, France, United Kingdom, Switzerland, Spain, Djibouti, Czech Republic, Zimbabwe, Israel, Australia, Indonesia, Estonia, Myanmar, Cambodia, Malaysia, Kazakhstan, Portugal, Mongolia, Austria, Luxembourg, Brazil, Guyana, Korea, Republic of, Chile, Laos, Colombia, Ecuador, Argentina, Hungary, Japan, India, Canada, Belgium, Namibia, Taiwan, Peru, Germany, Ethiopia, Russian Federation, Viet Nam, Singapore, United States, Egypt, Sierra Leone, Madagascar, Ivory Coast, Bolivia, Thailand, Netherlands, Ireland, China, Slovakia, Nigeria, France, United Kingdom, Switzerland, Spain, Djibouti, Czech Republic, Zimbabwe, Israel, Australia, Indonesia, Estonia, 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Israel, Australia, Indonesia, Estonia, Myanmar, Cambodia, Malaysia, Kazakhstan, Portugal, Mongolia, Austria, Luxembourg, Guyana, Brazil, Korea, Republic of, Chile, Laos, Ecuador, Colombia,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Israel, Australia, Indonesia, Estonia, NA, No information, RCOI confirmed per RMI, Recycled/Scrap, China, Canada, Japan, Brazil, India, Guyana, Malaysia, Ethiopia, Argentina, Austria, Mongolia, Portugal, Cambodia, Chile, Colombia, Ecuador, Hungary, Kazakhstan, Korea, Luxembourg, Myanmar, Namibia, Belgium, Germany, Peru, Australia, United States, Indonesia, Niger, Nigeria, Sierra Leone, Thailand, Zimbabwe, France, Madagascar, Spain, Netherlands, Egypt, Ireland, Singapore, Slovakia, Switzerland, United Kingdom, Djibouti, Estonia, Israel, Taiwan, Russian Federation, Viet Nam, Some are recycled, scrap, covered countries or DRC sourced but not all, Some are recyled/scrap sourced but not all., Unspecified covered country,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Switzerland, Thailand, United Kingdom, USA, Vietnam, Zimbabwe, recycled/scrap</t>
  </si>
  <si>
    <t>No, No information, Unknown</t>
  </si>
  <si>
    <t>Compliant, Compliant Conformant, Conformant, Conformant Smelter, Conformant smelter according to RMI, audit valid until 2020, reassessment in progress, Conformant Smelter according to RMI, last cycle in 21.10.2019 with a cycle of 1 Year, Listed on CFSI Conflict Free Smelter List, Part or all material comes from Covered Country, RCOI confirmed as per RMAP, RCOI confirmed per RMI, RMAP Conformant, RMAP Conformant Smelter, RMAP Conformant Smelter / RCOI confirmed per RMI</t>
  </si>
  <si>
    <t>NA</t>
  </si>
  <si>
    <t>CID001076</t>
  </si>
  <si>
    <t>LSM Brasil S.A.</t>
  </si>
  <si>
    <t>Rodovia BR 383 Km 94, Sao Joao Del Rei, Minas Gerais, Brasil</t>
  </si>
  <si>
    <t>São João del Rei</t>
  </si>
  <si>
    <t>0, Alexander Bruno de Paiva, Mr. Ronaldo Lasmar, Paulo Fernandes, Ronaldo Lasmar, Sérg, Saitama, Sergio Hallak</t>
  </si>
  <si>
    <t>0, apaiva@amg-br.com, paulo.fernandes@amg-br.com, rlasmar@lsm.co.uk (Ronaldo Lasmar), shallak@amg-al, shallak@amg-br.com</t>
  </si>
  <si>
    <t>Conformant- Reaudit In Progress, Conformant-Reaudit In Progress, No Action Required as company is RMAP conformant, None, CFS Certified, None; conformant to RMAP protocol, Supplier contacts: Infineon Customer Contact @infineon.com; yushin@harvatek.com, Validated by RMI until 03/29/2022</t>
  </si>
  <si>
    <t>0, JAPAN | Some are recycled or scrap sourced but not all. | Some are recycled or scrap sourced but not all | not available | JAPAN | Some are recycled or scrap sourced but not all | Some are recycled or scrap sourced but not all. | Not disclosed by supplier | Not disclosed by supplier, LR, No information, Not disclosed by supplier, Not disclosed by supplier | Some are recycled or scrap sourced but not all, RCOI confirmed as per RMI., RCOI confirmed per RMI, Sourced from Mines/Recyale/Scrap | Not disclosed by supplier, Unknown, but some recycled/scrap</t>
  </si>
  <si>
    <t>Argentina, Australia, Austria, Belgium, Brazil, Cambodia, Canada, Chile, China, Colombia, Democratic Republic of Congo, Ecuador, Ethiopia, Germany, Guyana, Hungary, India, Japan, Kazakhstan, Korea, Luxembourg, Malaysia, Mongolia, Myanmar, Namibia, Peru, Portugal, Recycled/Scrap, Taiwan, DRC- Congo (Kinshasa), Myanmar, Cambodia, Malaysia, Kazakhstan, Portugal, Austria, Mongolia, Luxembourg, Brazil, Guyana, Korea, Republic of, Chile, Laos, Ecuador, Colombia,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Estonia, Indonesia, DRC- Congo (Kinshasa), Myanmar, Cambodia, Malaysia, Kazakhstan, Portugal, Austria, Mongolia, Luxembourg, Brazil, Korea, Republic of, Guyana, Chile, Laos, Colombia, Ecuador,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 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 DRC- Congo (Kinshasa), Myanmar, Cambodia, Malaysia, Kazakhstan, Portugal, Mongolia, Austria, Luxembourg, Korea, Republic of, Guyana, Brazil, Chile, Laos, Colombia, Ecuador,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 DRC,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Excludes Covered Countries and CAHRA | Recycled/Scrap, DRC or an adjoining country (Covered Countries), Myanmar, Cambodia, Malaysia, Kazakhstan, Portugal, Austria, Mongolia, Luxembourg, Guyana, Brazil, Republic Of Korea, Chile, Laos, Ecuador, Colombia, Argentina, Hungary, Japan, India, Canada, | Mineral sourcing LR based on RMAP-RMI's RCOI data, L1 | Excludes Covered Countries | L1, R/S | JAPAN | DRC- Congo (Kinshasa), Myanmar, Cambodia, Malaysia, Kazakhstan, Portugal, Austria, Mongolia, Luxembourg, Guyana, Brazil, Korea, Republic of, Chile, Laos, Ecuador, Colombia, Argentina, Hungary, Japan, India, Canada, Belgium, Namibia, Taiwan, Peru, Ethiopia | Some are recycled or scrap sourced but not all | Mineral sourcing L1, R/S | L1 | L1, R/S | Excludes Covered Countries | JAPAN | Some are recycled or scrap sourced but not all | DRC- Congo (Kinshasa), Myanmar, Cambodia, Malaysia, Kazakhstan, Portugal, Austria, Mongolia, Luxembourg, Guyana, Brazil, Korea, Republic of, Chile, Laos, | DRC- Congo (Kinshasa), Myanmar, Cambodia, Malaysia, Kazakhstan, Portugal, Mongolia, Austria, Luxembourg, Korea, Republic of, Guyana, Brazil, Chile, Laos, Colombia, Ecuador, Argentina, Hungary, Japan, India, Canada, Belgium, Namibia, Taiwan, Peru, Ethiopia | Rodovia BR 383 Km 94, Sao Joao Del Rei, Minas Gerais, Brasil | LR | Mineral sourcing L1, R/S, not disclosed by supplier, L1, R/S | LR | Some are recycled or scrap sourced but not all | DRC- Congo (Kinshasa), Myanmar, Cambodia, Malaysia, Kazakhstan, Portugal, Mongolia, Austria, Luxembourg, Korea, Republic of, Guyana, Brazil, Chile, Laos, Ecuador, Colombia, Argentina, Hungary, Japan, India, Canada, Belgium, Namibia, Taiwan, Peru, Ethiopia | Rodovia BR 383 Km 94, Sao Joao Del Rei, Minas Gerais, Brasil, LR, Mineral sourcing LR based on RMAP-RMI's RCOI data, No information, RCOI confirmed as per RMI., RCOI confirmed per RMI, 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Recycled/Scrap, Brazil, Malaysia, Guyana, India, Japan, Canada, Argentina, Austria, Mongolia, Portugal, Chile, Cambodia, Colombia, Ecuador, Hungary, Kazakhstan, Korea, Luxembourg, Myanmar, Namibia, Belgium, Peru, Ethiopia, Germany, China, Australia, United States, Niger, Nigeria, Sierra Leone, Thailand, Zimbabwe, France, Madagascar, Indonesia, Switzerland, Spain, Singapore, United Kingdom, Egypt, Ireland, Netherlands, Slovakia, Djibouti, Estonia, Israel, Suriname, Democratic Republic of Congo, Taiwan, Russian Federation, Viet Nam, Mexico, Guinea, Bolivia (Plurinational State of), Panama, Italy, Turkey, Congo, Ghana, Mozambique, Eritrea, Uzbekistan, South Africa, Armenia, Azerbaijan, Bahamas, Barbados, Belarus, Benin, Bosnia and Herzegovina, Botswana, Bulgaria, Burkina Faso, Cameroon, Croatia, Cyprus, Denmark, Dominica, Dominican Republic, El Salvador, Fiji, Finland, Gabon, Gambia, Georgia, Greece, Guatemala, Honduras, Hong Kong, Iceland, Iran,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Ukraine, United Arab Emirates, Uruguay, Yemen, Burundi, Rwanda, 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</si>
  <si>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Compliant, COMPLIANT 09/22/2015, Compliant Conformant, Conformant, Conformant Smelter, Conformant smelter according to RMI, audit valid until 2022, Conformant Smelter according to RMI, last cycle in 29.03.2019 with a cycle of 3 Years, Listed on CFSI Conflict Free Smelter List, RCOI confirmed per RMI, RMAP Conformant</t>
  </si>
  <si>
    <t>Gostivar</t>
  </si>
  <si>
    <t>CID001163</t>
  </si>
  <si>
    <t>Metallurgical Products India Pvt., Ltd.</t>
  </si>
  <si>
    <t>District Raigad</t>
  </si>
  <si>
    <t>No, No information, Unknown, Yes</t>
  </si>
  <si>
    <t>CID001220</t>
  </si>
  <si>
    <t>Nadir Metal Rafineri San. Ve Tic. A.Ş.</t>
  </si>
  <si>
    <t>Nadir Metal Rafineri San. Ve Tic. A.S.</t>
  </si>
  <si>
    <t>Bahçelievler, Istanbul, Turkey</t>
  </si>
  <si>
    <t>Bahçelievler</t>
  </si>
  <si>
    <t>Esat Caliskan, Gold, Manila</t>
  </si>
  <si>
    <t>esat.caliskan@nadirmetal.com.tr, Nadir Metal Rafineri San. Ve Tic. A.S.</t>
  </si>
  <si>
    <t>Conformant, Conformant-audited by LBMA RG- valid until 08/24/2023, Nadir Metal Rafineri San. Ve Tic. A.S., no action need, No Action Required as company is RMAP conformant, None, CFS Certified, Supplier contacts: hyeju.lee@amkor.com; catherine.pelissonnier@st.com; Infineon Customer Contact @infineon.com; lisa.bjornson@sanmina.com; yushin@harvatek.com, Validated by LBMA RG until 08/12/2022</t>
  </si>
  <si>
    <t>0, JAPAN | Ram | Not disclosed per LBMA | RCOI confirmed as per RMI but not disclosed by LBMA | Not disclosed by supplier | Some are recycled or scrap sourced but not all. | Not disclosed by supplier | JAPAN | Ram | RCOI confirmed as per CFSI but not disclosed by LBMA | Not disclosed per LBMA | Some are recycled or scrap sourced but not all., No information, Not disclosed by supplier, Not disclosed by supplier | Sourced from Mines/Recyale/Scrap, Not disclosed per LBMA, Ram, Ram | RCOI confirmed as per RMI but not disclosed by LBMA, RCOI confirmed as per RMI., RCOI confirmed per RMI, See aggregated data below for LBMA Good Delivery Sourcing, TURKEY, Unknown, but some recycled/scrap</t>
  </si>
  <si>
    <t>Argentina, Australia, Austria, Belgium, Brazil, Cambodia, Canada, Chile, China, Colombia, Djibouti, Ecuador, Egypt, Estonia, Ethiopia, France, Germany, Guyana, Hungary, India, Indonesia, Ireland, Israel, Japan, Kazakhstan, Luxembourg, Madagascar, Malaysia, Mongolia, Myanmar, Namibia, Netherlands, Niger, Nigeria, Panama, Peru, Philippines, Poland, Portugal, Republic of Korea, Russia, Saudi Arabia, Sierra Leone, Singapore, Slovakia, Spain, Suriname, Switzerland, Thailand, Turkey, USA, United Arab Emirates, United Kingdom, Zimbabwe, Recycled/Scrap, Argentina, Australia, Austria, Belgium, Brazil, Cambodia, Canada, Chile, China, Colombia, Djibouti, Ecuador, Egypt, Estonia, Ethiopia, France, Germany, Guyana, Hungary, Japan, Kazakhstan, Recycled/Scrap, Saudi Arabia, Spain, Turkey, United Arab Emirates, China, Japan, Kazakhstan, Russia, Saudi Arabia, Turkey, United Arab Emirates, recycled/scrap, CID001220, Known Countries from which LBMA Good Delivery List Refiners Source - Mined  Material (Provided by LBMA), Known Countries from which LBMA Good Delivery List Refiners Source - Mined  Material (Provided by LBMA) | RCOI confirmed as per RMI but not disclosed by LBMA | Bahçelievler, Istanbul, Turkey, LBMA Good Delivery Sourcing based on RMAP-RMI's RCOI data, Mineral sourcing not disclosed by LBMA, Mineral sourcing not disclosed by LBMA | Saudi Arabia, Turkey, United Arab Emirates, China, Recycled/Scrap, Kazakhstan, Japan, Russia, No information, Not disclosed per LBMA, Not disclosed per LBMA | JAPAN | Not disclosed per LBMA (Turkey) | Saudi Arabia, Turkey, United Arab Emirates | RCOI confirmed as per RMI but not disclosed by LBMA | Mineral sourcing not disclosed per LBMA, Not disclosed by supplier | Mineral sourcing L1,R/S, Not disclosed by supplier | Not disclosed per LBMA | JAPAN | Not disclosed per LBMA (Turkey) | RCOI confirmed as per CFSI but not disclosed by LBMA | Saudi Arabia, Turkey, United Arab Emirates | Mineral sourcing L1,R/S, Not disclosed by supplier | Known Countries from which LBMA Goo | Known Countries from which LBMA Good Delivery List Refiners Source - Mined  Material (Provided by LBMA) | Bahçelievler, Istanbul, Turkey, RCOI confirmed as per RMI., RCOI confirmed per RMI, Recycled/Scrap, Turkey, Saudi Arabia, United Arab Emirates, Japan, China, Kazakhstan, Recycled/Scrap, Turkey, Saudi Arabia, United Arab Emirates, Japan, China, Kazakhstan, Spain, Argentina, Australia, Austria, Belgium, Brazil, Cambodia, Canada, Chile, Colombia, Djibouti, Ecuador, Egypt, Estonia, Ethiopia, France, Germany, Guyana, Hungary, India, Indonesia, Ireland, Israel, Korea, Luxembourg, Madagascar, Malaysia, Mongolia, Myanmar, Namibia, Netherlands, Niger, Nigeria, Peru, Portugal, Sierra Leone, Singapore, Slovakia, Suriname, Switzerland, Thailand, United Kingdom, United States, Zimbabwe, Russian Federation, Panama, Philippines, Poland, Saudi Arabia, Turkey, United Arab Emirates, Saudi Arabia, Turkey, United Arab Emirates, China, Recycled/Scrap, Kazakhstan, Japan, Russia, Unknown</t>
  </si>
  <si>
    <t>Compliant, Compliant Conformant, Conformant, Conformant Smelter, Conformant smelter according to RMI, audit valid until 2022, Conformant Smelter according to RMI, last cycle in 12.08.2020 with a cycle of 1 Year, RCOI confirmed per RMI, RCOI confirmed per RMI / LBMA Good Delivery Sourcing, RMAP Conformant</t>
  </si>
  <si>
    <t>CID001325</t>
  </si>
  <si>
    <t>Ohura Precious Metal Industry Co., Ltd.</t>
  </si>
  <si>
    <t>Nara-shi</t>
  </si>
  <si>
    <t>Nara</t>
  </si>
  <si>
    <t>CID000460</t>
  </si>
  <si>
    <t>F&amp;X Electro-Materials Ltd.</t>
  </si>
  <si>
    <t>Jiangmen</t>
  </si>
  <si>
    <t>0, Mr. Zheng, Mr. Zheng Xiangyun, Ms Zhao, NA, Tainan</t>
  </si>
  <si>
    <t>0, NA, sales@fxelectro.com, xyz@uil.com.hk</t>
  </si>
  <si>
    <t>Conformant-Reaudit In Progress, NA, no action need, No Action Required as company is RMAP conformant, No Action Required as smelter is RMAP conformant, None, CFS Certified, Reaudit In Progress, Supplier contacts: Infineon Customer Contact @infineon.com; theodore.knudson@materion.com; yushin@harvatek.com</t>
  </si>
  <si>
    <t>0, china | BRAZIL | Some are recycled, scrap or cover countries sourced but not all. | RCOI Confirmed as per CSFI | Not disclosed | Some are recycled, scrap, covered countries or DRC sourced but not all. | Not disclosed by supplier | Some are recycled or scrap sourced but not all. | Some are recycled, scrap, cover countries or DRC sourced but not all. | BRAZIL | Some are recycled, scrap, covered countries or DRC sourced but not all. | Some are recycled or scrap sourced but not all. | Some are recycled, scrap or cover countries source | Recycled, Scrap and mines | Recycled, Scrap and mines, not disclosed by supplier | Some are covered countries or DRC sourced but not all., NA, No information, RCOI confirmed per RMI, Recycled or scrap, and mining not disclosed by supplier, Recycled or scrap, and mining not disclosed by supplier | Sourced from Mines/Recyale/Scrap | RCOI confirmed per RMI, Recycled, Scrap and mines, Recycled, Scrap and mines | Some are covered countries or DRC sourced but not all., Some are high-risk countries, covered countries, and DRC sourced but not all., Some are recycled, scrap, covered countries or DRC sourced but not all, Some are recycled, scrap, covered countries or DRC sourced but not all. , Unknown, but some recycled/scrap</t>
  </si>
  <si>
    <t>Angola, Argentina, Austria, Brazil, Burundi, Cambodia, Chile, China, Colombia, Congo, Democratic Republic of Congo, Ecuador, Guyana, Hungary, Japan, Kazakhstan, Korea, Luxembourg, Malaysia, Mongolia, Myanmar, Portugal, Recycled/Scrap, Rwanda, South Sudan, Sudan, Tanzania, Zambia, DRC- Congo (Kinshasa), Myanmar, Angola, Cambodia, Malaysia, Kazakhstan, Portugal, Austria, Mongolia, Luxembourg, Brazil, Guyana, Korea, Republic of, Chile, Laos, Colombia, Ecuador, Argentina, South Sudan, Hungary, Japan, Tanzania, Zambia, Congo (Brazzaville), India, Canada, Belgium, Namibia, Taiwan, Central African Republic, Peru, Germany, Ethiopia, Russian Federation, Burundi, Singapore, Viet Nam, United States, Egypt, Sierra Leone, Madagascar, Ivory Coast, Thailand, Bolivia, Netherlands, China, Ireland, Slovakia, Nigeria, France, Recycle/Scrap, Rwanda, United Kingdom, Switzerland, Spain, Djibouti, Czech Republic, Zimbabwe, Uganda, Suriname, Israel, Australia, Indonesia, Estonia, DRC- Congo (Kinshasa), Myanmar, Angola, Cambodia, Malaysia, Kazakhstan, Portugal, Austria, Mongolia, Luxembourg, Korea, Republic of, Brazil, Guyana, Chile, Laos, Ecuador, Colombia, Argentina, Hungary, South Sudan, Japan, Tanzania, Zambia, Congo (Brazzaville), India, Canada, Belgium, Namibia, Taiwan, Central African Republic, Peru, Ethiopia, Germany, Burundi, Russian Federation, Singapore, Viet Nam, United States, Egypt, Madagascar, Sierra Leone, Ivory Coast, Bolivia, Thailand, Netherlands, China, Ireland, Slovakia, France, Nigeria, Recycle/Scrap, Rwanda, United Kingdom, Switzerland, Spain, Djibouti, Czech Republic, Uganda, Zimbabwe, Suriname, Israel, Australia, Estonia, Indonesia, DRC- Congo (Kinshasa), Myanmar, Angola, Cambodia, Malaysia, Kazakhstan, Portugal, Mongolia, Austria, Luxembourg, Brazil, Korea, Republic of, Guyana, Chile, Laos, Ecuador, Colombia, Argentina, Hungary, South Sudan, Japan, Tanzania, Zambia, Congo (Brazzaville), India, Canada, Belgium, Namibia, Taiwan, Central African Republic, Peru, Germany, Ethiopia, Burundi, Russian Federation, Singapore, Viet Nam, United States, Egypt, Madagascar, Sierra Leone, Ivory Coast, Thailand, Bolivia, Netherlands, China, Ireland, Slovakia, France, Nigeria, Recycle/Scrap, Rwanda, United Kingdom, Switzerland, Spain, Djibouti, Czech Republic, Zimbabwe, Uganda, Suriname, Israel, Australia, Estonia, Indonesia, DRC- Congo (Kinshasa), Myanmar, Angola, Cambodia, Malaysia, Kazakhstan, Portugal, Mongolia, Austria, Luxembourg, Guyana, Brazil, Korea, Republic of, Chile, Laos, Colombia, Ecuador, Argentina, Hungary, South Sudan, Japan, Tanzania, Zambia, Congo (Brazzaville), India, Canada, Belgium, Namibia, Taiwan, Central African Republic, Peru, Germany, Ethiopia, Russian Federation, Burundi, Viet Nam, Singapore, United States, Egypt, Sierra Leone, Madagascar, Ivory Coast, Bolivia, Thailand, Netherlands, Ireland, China, Slovakia, Nigeria, France, Recycle/Scrap, Rwanda, United Kingdom, Switzerland, Spain, Djibouti, Czech Republic, Uganda, Zimbabwe, Suriname, Israel, Australia, Estonia, Indonesia, 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 DRC, Angola, Burundi, Central African Republic, Congo Republic, Rwanda, South Sudan, Tanzania, Uganda, Zambia,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DRC,Burundi,Rwanda, Includes Covered Countries, Includes Covered Countries | L1, L3, DRC, R/S | BRAZIL | DRC- Congo (Kinshasa), Myanmar, Angola, Cambodia, Malaysia, Kazakhstan, Portugal, Mongolia, Austria, Luxembourg, Guyana, Brazil, Korea, Republic of, Chile, Laos, Colombia, Ecuador, Argentina, Hungary, South Sudan, Japan, Tanzania, Zambia, Congo (Brazzavil | RCOI confirmed as per CFSI | RCOI Confirmed as per CSFI | Not disclosed | Some are recycled, scrap, covered countries or DRC sourced but not all. | Mineral sourcing L1, L3, R/S, Not disclosed by supplier | Mineral sourcing L1,R/S, Not disclosed by supplier | L1, L3, DRC, R/S | Includes Covered Countries | BRAZIL | Some are recycled, scrap, covered countries or DRC sourced but not all. | DRC- Congo (Kinshasa), Myanmar, Angola, Cambodia, Malaysia, Kazakhstan, Portugal, Mongolia, Austria, Luxembourg, Guyana, Bra | the DRC or an adjoining country(covered countries) | DRC- Congo (Kinshasa), Myanmar, Angola, Cambodia, Malaysia, Kazakhstan, Portugal, Mongolia, Austria, Luxembourg, Brazil, Korea, Republic of, Guyana, Chile, Laos, Ecuador, Colombia, Argentina, South Sudan, Hungary, Japan, Tanzania, Zambia, Congo (Brazzavil | Xinhui, Jiangmen, Guangdong, China | DRC,Burundi,Rwanda | LR, HR, DRC, CC | Mineral sourcing LR, HR, DRC, CC, not disclosed by supplier | Some are covered countries or DRC sourced but not all. | L1, CC, DRC, R/S, Includes Covered Countries and CAHRA, Includes Covered Countries and CAHRA | Mineral sourcing LR, HR, CC, based on RMAP-RMI's RCOI data | DRC or an adjoining country (Covered Countries), Myanmar, Angola, Cambodia, Malaysia, Kazakhstan, Portugal, Mongolia, Austria, Luxembourg, Guyana, Brazil, Republic Of Korea, Chile, Laos, Colombia, Ecuador, Argentina, Hungary, South Sudan, Japan, Tanzania, | RCOI confirmed per RMI | DRC,Burundi,Rwanda, L1, CC, DRC, R/S | LR, HR, DRC, CC | Some are covered countries or DRC sourced but not all. | DRC- Congo (Kinshasa), Myanmar, Angola, Cambodia, Malaysia, Kazakhstan, Portugal, Austria, Mongolia, Luxembourg, Guyana, Korea, Republic of, Brazil, Chile, Laos, Ecuador, Colombia, Argentina, Hungary, South Sudan, Japan, Tanzania, Zambia, Congo (Brazzavil | the DRC or an adjoining country(covered countries) | Xinhui, Jiangmen, Guangdong, China | Includes Covered Countries, LR, HR, DRC, CC, Mineral sourcing LR, HR, CC, based on RMAP-RMI's RCOI data, Mineral sourcing LR, HR, DRC, CC based on RMAP-RMI's RCOI data, from China, NA, No information, RCOI confirmed per RMI, Recycled/Scrap, China, Rwanda, Burundi, Brazil, Guyana, Malaysia, Argentina, Austria, Myanmar, Colombia, Ecuador, Mongolia, Portugal, Cambodia, Chile, Kazakhstan, Korea, Luxembourg, Japan, Hungary, Angola, Tanzania, South Sudan, Sudan, Zambia, United States, Ethiopia, India, Namibia, Niger, Sierra Leone, Thailand, Australia, Nigeria, Zimbabwe, Madagascar, France, Canada, Germany, Peru, Indonesia, Spain, Belgium, Egypt, Ireland, Netherlands, Singapore, Slovakia, Estonia, Israel, Suriname, Switzerland, Djibouti, United Kingdom, Uganda, Central African Republic, Democratic Republic of Congo, Congo, Russian Federation, Viet Nam, Taiwan, Some are high-risk countries, covered countries, and DRC sourced but not all., Some are recycled, scrap, covered countries or DRC sourced but not all</t>
  </si>
  <si>
    <t>Compliant, COMPLIANT 09/22/2015, Compliant Conformant, Conformant, Conformant Smelter, Conformant smelter according to RMI, audit valid until 2022, Conformant Smelter according to RMI, last cycle in 13.01.2020 with a cycle of 1 Year, Listed on CFSI Conflict Free Smelter List, Part or all material comes from Covered Country, RCOI confirmed as per RMAP, RCOI confirmed per RMI, RMAP Conformant, RMAP Conformant Smelter, RMAP Conformant Smelter / RCOI confirmed per RMI, This smelter is CFS. http://www.responsiblemineralsinitiative.org/tantalum-conformant-smelters/, This smelter is RMI Conformant.
http://www.responsiblemineralsinitiative.org/tantalum-smelters-list/</t>
  </si>
  <si>
    <t>CID002558</t>
  </si>
  <si>
    <t>Global Advanced Metals Aizu</t>
  </si>
  <si>
    <t>Aizuwakamatsu, Fukushima, Japan</t>
  </si>
  <si>
    <t>Aizuwakamatsu</t>
  </si>
  <si>
    <t>Jean-Paul Meutcheho, Jean-Paul Meutcheho (Director of Corporate Social Responsibility)</t>
  </si>
  <si>
    <t>jmeutcheho@globaladvancedmetals.com</t>
  </si>
  <si>
    <t>Conformant-audited by RMI (members / partners)- valid until 09/22/2022, Conformant-audited by RMI (members / partners)- valid until 09/22/2023, N/A, RMI certified smelter, no action need, No Action Required as company is RMAP conformant, None, None, CFS Certified, RMAP Conformant Smelters, Supplier contacts: Infineon Customer Contact @infineon.com; theodore.knudson@materion.com; yushin@harvatek.com, Validated by RMI until 09/24/2022</t>
  </si>
  <si>
    <t>0, No information, R/S, LR, RCOI confirmed as per RMI., RCOI confirmed per RMI, Recycled or Scrap, Recycled or scrap, and mining not disclosed by supplier, Recycled, Scrap and mines from Talison, Noventa, Recycled, Scrap and mines from Talison, Noventa, Tanco, proprietary, Recycled, Scrap and mines from Talison, Noventa, Tanco, proprietary | RCOI Confirmed as per RMI, Recycled/Scrap, Noventa, Some are recycled, scrap, covered countries or DRC sourced but not all, Sourced from Mines/Recyale/Scrap | RCOI confirmed per RMI | Recycled or scrap, and mining not disclosed by supplier, Talison, Noventa, and recycled/scrap, UNITED STATES OF AMERICA | Some are recycled, scrap, cover countries or DRC sourced but not all. | Recycled or Scrap | Some are recycled or scrap sourced but not all | not available | UNITED STATES OF AMERICA | Some are recycled or scrap sourced but not all | Some are recycled, scrap, cover countries or DRC sourced but not all. | Recycled or Scrap | Recycled, Scrap and mines from Talison, Noventa, Tanco, proprietary | Recycled, Scrap and mines from Talison, Noventa, Tanco, proprietary | Recycled, Scrap | RCOI Confirmed as per RMI</t>
  </si>
  <si>
    <t>Angola, Argentina, Australia, Austria, Belgium, Brazil, Cambodia, Canada, Chile, China, Colombia, Congo, Democratic Republic of Congo, Djibouti, Ecuador, Egypt, Estonia, Ethiopia, France, Germany, Guyana, Hungary, India, Indonesia, Ireland, Israel, Japan, Kazakhstan, Korea, Luxembourg, Malaysia, Mongolia, Myanmar, Portugal, Recycled/Scrap, South Sudan, Sudan, Tanzania, Angola, Burundi, Central African Republic, Rwanda, South Sudan, Tanzania, Uganda, Zambia,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Mozambique, Mozambique, Myanmar, Namibia, Netherlands, Nigeria, Peru, Portugal, Republic of Korea, Russia, Sierra Leone, Singapore, Slovakia, Spain, Suriname, Switzerland, Thailand, United Kingdom, USA, Vietnam, Zimbabwe, recycled/scrap, 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 DRC- Congo (Kinshasa), Myanmar, Angola, Cambodia, Malaysia, Kazakhstan, Portugal, Austria, Mongolia, Luxembourg, Korea, Republic of, Guyana, Brazil, Chile, Laos, Ecuador, Colombia, Argentina, South Sudan, Hungary, Japan, Tanzania, Zambia, Congo (Brazzaville), India, Canada, Belgium, Namibia, Taiwan, Central African Republic, Peru, Ethiopia, Germany, Russian Federation, Burundi, Singapore, Viet Nam, United States, Egypt, Madagascar, Sierra Leone, Ivory Coast, Thailand, Bolivia, Netherlands, China, Ireland, Slovakia, France, Nigeria, Rwanda, United Kingdom, Switzerland, Spain, Djibouti, Czech Republic, Uganda, Zimbabwe, Suriname, Israel, Australia, Indonesia, Estonia, DRC- Congo (Kinshasa), Myanmar, Angola, Cambodia, Malaysia, Kazakhstan, Portugal, Mongolia, Austria, Luxembourg, Korea, Republic of, Brazil, Guyana, Chile, Laos, Colombia, Ecuador, Argentina, Hungary, South Sudan, Japan, Tanzania, Zambia, Congo (Brazzaville), India, Canada, Belgium, Namibia, Taiwan, Central African Republic, Peru, Ethiopia, Germany, Burundi, Russian Federation, Singapore, Viet Nam, United States, Egypt, Sierra Leone, Madagascar, Ivory Coast, Thailand, Bolivia, Netherlands, Ireland, China, Slovakia, France, Nigeria, Rwanda, United Kingdom, Switzerland, Spain, Djibouti, Czech Republic, Uganda, Zimbabwe, Suriname, Israel, Australia, Indonesia, Estonia, DRC- Congo (Kinshasa), Myanmar, Angola, Cambodia, Malaysia, Kazakhstan, Portugal, Mongolia, Austria, Luxembourg, Korea, Republic of, Brazil, Guyana, Chile, Laos, Colombia, Ecuador, Argentina, Hungary, South Sudan, Japan, Tanzania, Zambia, Congo (Brazzaville), India, Canada, Belgium, Namibia, Taiwan, Central African Republic, Peru, Germany, Ethiopia, Burundi, Russian Federation, Viet Nam, Singapore, United States, Egypt, Madagascar, Sierra Leone, Ivory Coast, Thailand, Bolivia, Netherlands, China, Ireland, Slovakia, France, Nigeria, Rwanda, United Kingdom, Switzerland, Spain, Djibouti, Czech Republic, Uganda, Zimbabwe, Suriname, Israel, Australia, Estonia, Indonesia, DRC- Congo (Kinshasa), Myanmar, Angola, Cambodia, Malaysia, Kazakhstan, Portugal, Mongolia, Austria, Luxembourg, Korea, Republic of, Guyana, Brazil, Chile, Laos, Colombia, Ecuador, Argentina, South Sudan, Hungary, Japan, Tanzania, Zambia, Congo (Brazzaville), India, Canada, Belgium, Namibia, Taiwan, Central African Republic, Peru, Germany, Ethiopia, Russian Federation, Burundi, Singapore, Viet Nam, United States, Egypt, Madagascar, Sierra Leone, Ivory Coast, Bolivia, Thailand, Netherlands, China, Ireland, Slovakia, France, Nigeria, Rwanda, United Kingdom, Switzerland, Spain, Djibouti, Czech Republic, Uganda, Zimbabwe, Suriname, Israel, Australia, Indonesia, Estonia, DRC, Angola, Burundi, Central African Republic, Rwanda, South Sudan, Tanzania, Uganda, Zambia, Andorra, Argentina, Armenia, Aruba,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Includes Covered Countries, Includes Covered Countries and CAHRA, Includes Covered Countries and CAHRA | Argentina, Australia, Austria, Belgium, Bolivia, Brazil, Cambodia, Canada, Chile, China, Colombia, Ivory Coast, Czech Republic, Djibouti, Ecuador, Egypt, Estonia, Ethiopia, France, Germany, Guyana, Hungary, India, Indonesia, Ireland, Israel, Japan, Kazakh | RCOI confirmed per RMI | Mineral sourcing LR, R/S based on RMAP-RMI's RCOI data | Not coverd countries area, L1 | Includes Covered Countries | L1, L3, DRC, R/S | UNITED STATES OF AMERICA | DRC- Congo (Kinshasa), Myanmar, Angola, Cambodia, Malaysia, Kazakhstan, Portugal, Austria, Mongolia, Luxembourg, Guyana, Brazil, Korea, Republic of, Chile, Laos, Colombia, Ecuador, Argentina, South Sudan, Hungary, Japan, Tanzania, Zambia, Congo (Brazzavil | RCOI confirmed as per CFSI | Recycled or Scrap | the DRC or an adjoining country(covered countirs) | Some are recycled or scrap sourced but not all | L1 | L1, L3, DRC, R/S | Includes Covered Countries | UNITED STATES OF AMERICA | Some are recycled or scrap sourced but not all | DRC- Congo (Kinshasa), Myanmar, Angola, Cambodia, Malaysia, Kazakhstan, Portugal, Austria, Mongolia, Luxembourg, Guyana, Brazi | the DRC or an adjoining country(covered countries) | DRC- Congo (Kinshasa), Myanmar, Angola, Cambodia, Malaysia, Kazakhstan, Portugal, Mongolia, Austria, Luxembourg, Guyana, Brazil, Korea, Republic of, Chile, Laos, Colombia, Ecuador, Argentina, Hungary, South Sudan, Japan, Tanzania, Zambia, Congo (Brazzavil | Aizuwakamatsu, Fukushima, Japan | L1, CC, DRC, R/S | Mineral sourcing LR | RCOI Confirmed as per RMI, L1, CC, DRC, R/S | RCOI Confirmed as per RMI | DRC- Congo (Kinshasa), Myanmar, Angola, Cambodia, Malaysia, Kazakhstan, Portugal, Austria, Mongolia, Luxembourg, Korea, Republic of, Brazil, Guyana, Chile, Laos, Colombia, Ecuador, Argentina, Hungary, South Sudan, Japan, Tanzania, Zambia, Congo (Brazzavil | the DRC or an adjoining country(covered countries) | Aizuwakamatsu, Fukushima, Japan, LR, HR, CC, DRC, R/S, Mineral sourcing LR based on RMAP-RMI's RCOI data, Mineral sourcing LR, R/S based on RMAP-RMI's RCOI data, No information, Not coverd countries area, R/S, LR, RCOI confirmed as per RMI., RCOI confirmed per RMI, Recycled or Scrap, Recycled/Scrap, Japan, Brazil, Guyana, Austria, Malaysia, Chile, Cambodia, Colombia, Argentina, Ecuador, Hungary, Mongolia, Portugal, Kazakhstan, Myanmar, Angola, Korea, Luxembourg, Zambia, South Sudan, Sudan, Tanzania, Australia, China, India, Ethiopia, France, Canada, United States, Indonesia, Germany, Estonia, Belgium, Egypt, Djibouti, Niger, Nigeria, Sierra Leone, Zimbabwe, Namibia, Thailand, Madagascar, Ireland, Israel, Rwanda, Peru, Spain, Burundi, Netherlands, United Kingdom, Uganda, Singapore, Slovakia, Suriname, Switzerland, Central African Republic, Mozambique, Democratic Republic of Congo, Congo, Russian Federation, Taiwan, Viet Nam, Some are recycled, scrap, covered countries or DRC sourced but not all</t>
  </si>
  <si>
    <t>Compliant, COMPLIANT 09/22/2015, Compliant Conformant, Conformant, Conformant Smelter, Conformant smelter according to RMI, audit valid until 2022, Conformant Smelter according to RMI, last cycle in 24.09.2020 with a cycle of 1 Year, Listed on CFSI Conflict Free Smelter List, Part or all material comes from Covered Country, RCOI confirmed per RMI, RMAP Conformant, RMAP Conformant Smelter, RMAP Conformant Smelter / RCOI confirmed per RMI, This smelter is RMI Conformant.
http://www.responsiblemineralsinitiative.org/tantalum-smelters-list/</t>
  </si>
  <si>
    <t>CID002506</t>
  </si>
  <si>
    <t>Jiujiang Zhongao Tantalum &amp; Niobium Co., Ltd.</t>
  </si>
  <si>
    <t>801 East Binjiang Road, Jiujiang, Jiangxi, China</t>
  </si>
  <si>
    <t>Jiujiang</t>
  </si>
  <si>
    <t>Jiangxi Sheng</t>
  </si>
  <si>
    <t>Feng Kaishun, Mr. Che, Taoyuan</t>
  </si>
  <si>
    <t>chejiahe2011@vip.163.com, tonyzatanb@qq.com</t>
  </si>
  <si>
    <t>Conformant- Reaudit In Progress, Conformant-Reaudit In Progress, No Action Required as company is RMAP conformant, None, CFSP Certified, None; conformant to RMAP protocol, Reaudit In Progress, Supplier contacts: Infineon Customer Contact @infineon.com; theodore.knudson@materion.com; yushin@harvatek.com</t>
  </si>
  <si>
    <t>0, LR, No information, Not disclosed by supplier, Not disclosed by supplier | RCOI confirmed as per RMI, Not disclosed by supplier | Sourced from Mines/Recyale/Scrap, Not disclosed by supplier, Excludes Covered Countries, RCOI confirmed as per RMI., RCOI confirmed per RMI, UNITED STATES OF AMERICA | RCOI confirmed as per RMI | UNITED STATES OF AMERICA | RCOI confirmed as per CFSI | not available | Not disclosed by supplier | Not disclosed by supplier, Unknown, but some recycled/scrap</t>
  </si>
  <si>
    <t>Argentina, Austria, Belgium, Brazil, Cambodia, Canada, Chile, China, Colombia, Democratic Republic of Congo, Ecuador, Ethiopia, Germany, Guyana, Hungary, India, Japan, Kazakhstan, Korea, Luxembourg, Malaysia, Mongolia, Myanmar, Namibia, Niger, Peru, Portugal, Recycled/Scrap, Spain, Taiwan, DRC- Congo (Kinshasa), Myanmar, Cambodia, Malaysia, Kazakhstan, Portugal, Austria, Mongolia, Luxembourg, Brazil, Guyana, Korea, Republic of, Chile, Laos, Colombia, Ecuador, Argentina, Hungary, Japan, India, Canada, Belgium, Namibia, Taiwan, Peru, Ethiopia, Germany, Russian Federation, Singapore, Viet Nam, United States, Egypt, Madagascar, Sierra Leone, Ivory Coast, Bolivia, Thailand, Netherlands, Ireland, China, Slovakia, Nigeria, France, United Kingdom, Switzerland, Spain, Djibouti, Czech Republic, Zimbabwe, Suriname, Israel, Australia, Indonesia, Estonia, DRC- Congo (Kinshasa), Myanmar, Cambodia, Malaysia, Kazakhstan, Portugal, Austria, Mongolia, Luxembourg, Guyana, Brazil, Korea, Republic of,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 DRC- Congo (Kinshasa), Myanmar, Cambodia, Malaysia, Kazakhstan, Portugal, Mongolia, Austria, Luxembourg, Brazil, Korea, Republic of, Guyana, Chile, Laos, Ecuador, Colombia,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Estonia, Indonesia, DRC- Congo (Kinshasa), Myanmar, Cambodia, Malaysia, Kazakhstan, Portugal, Mongolia, Austria, Luxembourg, Guyana, Korea, Republic of, Brazil, Chile, Laos, Ecuador, Colombia, Argentina, Hungary, Japan, India, Canada, Belgium, Namibia, Taiwan, Peru, Ethiopia, Germany, Russian Federation, Viet Nam, Singapore, United States, Egypt, Madagascar, Sierra Leone, Ivory Coast, Bolivia, Thailand, Netherlands, China, Ireland, Slovakia, Nigeria, France, United Kingdom, Switzerland, Spain, Djibouti, Czech Republic, Zimbabwe, Suriname, Israel, Australia, Indonesia, Estonia, 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 DRC,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Excludes Covered Countries and CAHRA | Mineral sourcing LR based on RMAP-RMI's RCOI data | DRC or an adjoining country (Covered Countries), Myanmar, Cambodia, Malaysia, Kazakhstan, Portugal, Mongolia, Austria, Luxembourg, Brazil, Guyana, Republic Of Korea, Chile, Laos, Ecuador, Colombia, Argentina, Hungary, Japan, India, Canada, Belgium, Namibi, Includes Covered Countries | UNITED STATES OF AMERICA | DRC- Congo (Kinshasa), Myanmar, Cambodia, Malaysia, Kazakhstan, Portugal, Mongolia, Austria, Luxembourg, Guyana, Korea, Republic of, Brazil, Chile, Laos, Colombia, Ecuador, Argentina, Hungary, Japan, India, Canada, Belgium, Namibia, Taiwan, Peru, Ethiopia | RCOI confirmed as per RMI | Excludes Covered Countries | Includes Covered Countries | UNITED STATES OF AMERICA | RCOI confirmed as per CFSI | DRC- Congo (Kinshasa), Myanmar, Cambodia, Malaysia, Kazakhstan, Portugal, Mongolia, Austria, Luxembourg, Guyana, Korea, Republic of, Brazil, Chile, Laos, Colombia, Ecuado | DRC- Congo (Kinshasa), Myanmar, Cambodia, Malaysia, Kazakhstan, Portugal, Austria, Mongolia, Luxembourg, Guyana, Korea, Republic of, Brazil, Chile, Laos, Ecuador, Colombia, Argentina, Hungary, Japan, India, Canada, Belgium, Namibia, Taiwan, Peru, Ethiopia | 801 East Binjiang Road, Jiujiang, Jiangxi, China | L1 | Mineral sourcing L1, not disclosed by RMI, L1 | RCOI confirmed as per RMI | DRC- Congo (Kinshasa), Myanmar, Cambodia, Malaysia, Kazakhstan, Portugal, Austria, Mongolia, Luxembourg, Guyana, Brazil, Korea, Republic of, Chile, Laos, Ecuador, Colombia, Argentina, Hungary, Japan, India, Canada, Belgium, Namibia, Taiwan, Peru, Germany, | 801 East Binjiang Road, Jiujiang, Jiangxi, China, LR, Mineral sourcing LR based on RMAP-RMI's RCOI data, No information, RCOI confirmed as per RMI., RCOI confirmed per RMI, Recycled/Scrap, China, Brazil, Malaysia, Japan, Guyana, India, Argentina, Austria, Mongolia, Portugal, Colombia, Cambodia, Chile, Ecuador, Hungary, Kazakhstan, Canada, Belgium, Namibia, Korea, Luxembourg, Myanmar, Peru, Ethiopia, Germany, Spain, Niger, Nigeria, Sierra Leone, Thailand, Australia, France, Madagascar, United States, Zimbabwe, Indonesia, Ireland, Singapore, Egypt, Slovakia, Djibouti, Estonia, Israel, Netherlands, Switzerland, United Kingdom, Suriname, Democratic Republic of Congo, Taiwan, Russian Federation, Viet Nam</t>
  </si>
  <si>
    <t>Compliant, Compliant Conformant, Conformant, Conformant Smelter, Conformant smelter according to RMI, audit valid until 2020, reassessment in progress, Conformant Smelter according to RMI, last cycle in 22.08.2019 with a cycle of 1 Year, RCOI confirmed per RMI, RMAP Conformant</t>
  </si>
  <si>
    <t>CID001546</t>
  </si>
  <si>
    <t>Sabin Metal Corp.</t>
  </si>
  <si>
    <t>Williston</t>
  </si>
  <si>
    <t>North Dakota</t>
  </si>
  <si>
    <t>CID002777</t>
  </si>
  <si>
    <t>SAXONIA Edelmetalle GmbH</t>
  </si>
  <si>
    <t>Halsbrücke</t>
  </si>
  <si>
    <t>Sachsen</t>
  </si>
  <si>
    <t>Netherlands</t>
  </si>
  <si>
    <t>Noord-Holland</t>
  </si>
  <si>
    <t xml:space="preserve">Compliant, under investigation / recertification </t>
  </si>
  <si>
    <t>CID003540</t>
  </si>
  <si>
    <t>Sellem Industries Ltd.</t>
  </si>
  <si>
    <t>Nouakchott</t>
  </si>
  <si>
    <t>Nouakchott Ouest</t>
  </si>
  <si>
    <t>Spain</t>
  </si>
  <si>
    <t>CID001585</t>
  </si>
  <si>
    <t>SEMPSA Joyería Platería SA</t>
  </si>
  <si>
    <t>SEMPSA Joyeria Plateria S.A.</t>
  </si>
  <si>
    <t>Madrid, Spain</t>
  </si>
  <si>
    <t>Madrid</t>
  </si>
  <si>
    <t>Madrid, Comunidad de</t>
  </si>
  <si>
    <t>Gold, Incheon-gwangyeoksi, Julian Sarda, Mr. Julian Sarda</t>
  </si>
  <si>
    <t>jsarda@sempsajp.com, SEMPSA Joyeria Plateria S.A.</t>
  </si>
  <si>
    <t>Conformant-audited by LBMA RG / RJC- valid until 09/25/2024, no action need, No Action Required as company is RMAP conformant, None, CFS Certified, SEMPSA Joyeria Plateria S.A., Supplier contacts: hyeju.lee@amkor.com; catherine.pelissonnier@st.com; Infineon Customer Contact @infineon.com; lisa.bjornson@sanmina.com; yushin@harvatek.com, Validated by LBMA RG / RJC until 10/20/2022</t>
  </si>
  <si>
    <t>0, No information, Not disclosed by supplier, Not disclosed per LBMA, RCOI confirmed as per RMI., RCOI confirmed per RMI, Recycled and Scrap, Recycled, scrap, Recycled, scrap | RCOI confirmed as per RMI but not disclosed by LBMA, scrap, Scrap or recycled | Not disclosed per LBMA | Not Disclosed per LBMA | Not disclosed | RCOI confirmed as per RMI but not disclosed by LBMA | Scrap or recycled | RCOI confirmed as per CFSI but not disclosed by LBMA | scrap from local market | Not disclosed per LBMA | Not Disclosed per LBMA | Not disclosed | Scrap or Recycled | Recycled, scrap | Recycled, scrap | Scrap or Recycled, See aggregated data below for LBMA Good Delivery Sourcing, Sourced from Mines/Recyale/Scrap | RCOI confirmed per RMI | Not disclosed by supplier, SPAIN,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</si>
  <si>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Indonesia, Japan, Kazakhstan, Korea, Luxembourg, Malaysia, Mongolia, Myanmar, Namibia, Netherlands, Peru, Portugal, Recycled/Scrap, Singapore, Spain, Switzerland, CID001585, Known Countries from which LBMA Good Delivery List Refiners Source - Mined  Material (Provided by LBMA), Known Countries from which LBMA Good Delivery List Refiners Source - Mined  Material (Provided by LBMA) | RCOI confirmed as per RMI but not disclosed by LBMA | Madrid, Spain, Mineral sourcing not disclosed by LBMA, Mineral sourcing R/S, Myanmar, Cambodia, Malaysia, Kazakhstan, Portugal, Austria, Mongolia, Luxembourg, Guyana, Republic Of Korea, Brazil, Chile, Laos, Ecuador, Colombia, Argentina, Hungary, Japan, India, Canada, Belgium, Namibia, China, Peru, Germany, Ethiopia, Russia, Singap | RCOI confirmed per RMI | Mineral sourcing not disclosed by LBMA, 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 SpainOnly Scraps, No information, Not disclosed per LBMA, Not disclosed per LBMA | Not disclosed per LBMA (Spain) | Spain | Mineral sourcing not disclosed per LBMA, Scrap or recycled | RCOI Confirmed as per CSFI | Not disclosed | RCOI confirmed as per RMI but not disclosed by LBMA | Mineral sourcing not disclosed per LBMA, 100% recycled by smelter | Recycled/Scrap Only | Not disclosed per LBMA | Not disclosed per LBMA (Spain) | RCOI confirmed as per CFSI but not disclosed by LBMA | Spain | Mineral sourcing not disclosed per LBMA, Scrap or recycled | The Netherlands | RCOI Confirmed as per CSFI | Not disclosed | Known Coun | Known Countries from which LBMA Good Delivery List Refiners Source - Mined  Material (Provided by LBMA) | Madrid, Spain | Mineral sourcing R/S | Scrap or Recycled, RCOI confirmed as per RMI., RCOI confirmed per RMI, Recycled/Scrap Only, 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 Recycled/Scrap, Spain, Netherlands, China, Argentina, Chile, Indonesia, Switzerland, Singapore, Ethiopia, Canada, Brazil, Portugal, Germany, Japan, Mongolia, India, Austria, Belgium, Cambodia, Colombia, Ecuador, Guyana, Hungary, Kazakhstan, Korea, Luxembourg, Malaysia, Myanmar, Namibia, Peru, Thailand, United States, Australia, Egypt, France, Ireland, Israel, Madagascar, Niger, Nigeria, Sierra Leone, Slovakia, Suriname, United Kingdom, Zimbabwe, Djibouti, Estonia, Philippines, Hong Kong, South Africa, Andorra, Mexico, Taiwan, Viet Nam, Mozambique, Russian Federation, Rwanda, Bolivia (Plurinational State of), Armenia, Azerbaijan, Bahamas, Barbados, Belarus, Benin, Bosnia and Herzegovina, Botswana, Bulgaria, Burkina Faso, Cameroon, Croatia, Cyprus, Denmark, Dominica, Dominican Republic, El Salvador, Eritrea, Fiji, Finland, Gabon, Gambia, Georgia, Ghana, Greece, Guatemala, Guinea, Honduras, Iceland, Iran,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Ukraine, United Arab Emirates, Uruguay, Uzbekistan, Yemen, Rwanda,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Spain, Unknown</t>
  </si>
  <si>
    <t>Compliant, COMPLIANT 09/22/2015, Compliant Conformant, Conformant, Conformant Smelter, Conformant smelter according to RMI, audit valid until 2024, Conformant Smelter according to RMI, last cycle in 20.10.2020 with a cycle of 1 Year, RCOI confirmed per RMI, RCOI confirmed per RMI / LBMA approved, RMAP Conformant</t>
  </si>
  <si>
    <t>Shan Dong Huangjin</t>
  </si>
  <si>
    <t>CID001875</t>
  </si>
  <si>
    <t>Tanaka Precious Metals</t>
  </si>
  <si>
    <t>Tanaka Kikinzoku Kogyo K.K.</t>
  </si>
  <si>
    <t>Hiratsuka</t>
  </si>
  <si>
    <t>Kanagawa</t>
  </si>
  <si>
    <t>CID001916</t>
  </si>
  <si>
    <t>The Refinery of Shandong Gold Mining Co., Ltd.</t>
  </si>
  <si>
    <t>Laizhou, Yantai Prefecture, Shandong Province, China</t>
  </si>
  <si>
    <t>Gold, Guochang.Jiang 江国昌, Jiang Guochang , Jiang Guochang 姜国昌, Jiang Guochang 姜国昌, Yin Aimin, Manager Li, Osaka, Sun Sukun</t>
  </si>
  <si>
    <t>0398-2186789; ssdwxm@163.com, 18653562776@163..com, ir@sd-gold.com, scb@zhaojin.cn, Shandong Gold Mine(Laizhou) Smelter Co., Ltd., sunsk@sd-gold.com</t>
  </si>
  <si>
    <t>Conformant-audited by LBMA RG- valid until 07/14/2023, Conformant-audited by LBMA RG- valid until 08/12/2022, no action need, No Action Required as company is RMAP conformant, None, CFS Certified, None; conformant to RMAP protocol, Remove from supply chain, Supplier contacts: hyeju.lee@amkor.com; catherine.pelissonnier@st.com; (Phiron) nancy.joy@materion.com; Infineon Customer Contact @infineon.com;  jeffery.hung@awsc.com.tw; nadine.jahn@aim-micro-systems.de; lisa.bjornson@sanmina.com; theodore.knudson@materion.com; yushin@harvatek.com; Emily_Hsieh@epistar.com; peng.dikai@jfled.com.cn; t.gruber@ats.net; zenglan.fei@wlcsp.com; Ravikumar.Ramachandran@fci.com, The Refinery of Shandong Gold Mining Co., Ltd., Validated by LBMA RG until 10/02/2022</t>
  </si>
  <si>
    <t>0, CHINA, From Shandong Gold Mining Co., Ltd. | Not disclosed per LBMA | Pangkal Pinang, Bangka Island Indonesia | RCOI confirmed as per RMI but not disclosed by LBMA | Some are recycled or scrap sourced but not all. | RECYCLED | From Shandong Gold Mining Co., Ltd. | The Refinery of Shandong Gold Mining Co. Ltd | RCOI confirmed as per CFSI but not disclosed by LBMA | recycled + scrap sourced | Not disclosed per LBMA | Some are recycled or scrap sourced but not all. | Pangkal Pinan | Sanshan  island   gold mine | Not disclosed by supplier, Heraeus (Zhaoyuan) Precious Metal Materials Co., Ltd., Pangkal Pinang, Bangka Island Indonesia, Three Mountain Island gold mining area, Shandong, The Refinery of Shandong Gold Mining Co. Ltd, and recycled/scrap, Heraeus(Zhaoyuan)Presious Metal Co,Ltd, No information, Not disclosed by supplier, Not disclosed by supplier | RCOI confirmed per RMI, Not disclosed per LBMA, RCOI confirmed as per RMI., RCOI confirmed per RMI, Sanshan  island   gold mine, Sanshan  island   gold mine | RCOI confirmed as per RMI but not disclosed by LBMA, See aggregated data below for LBMA Good Delivery Sourcing, Shandong Gold Mine, Recycled/Scrap, Pangkal Pinang, Laizhou</t>
  </si>
  <si>
    <t>Angola, Argentina, Australia, Austria, Brazil, Cambodia, Chile, China, Colombia, Democratic Republic of Congo, Ecuador, Guyana, Hungary, India, Indonesia, Japan, Kazakhstan, Korea, Luxembourg, Malaysia, Mongolia, Peru, Recycled/Scrap, United States, Australia, China, Indonesia, Japan, Peru, USA, recycled/scrap, China, China, Peru, China, Peru, Indonesia, Recycled/Scrap, Japan, Australia, USA, China, Peru, Indonesia,Recycled/Scrap, China, Peru, Indonesia, Japan, Australia, United States, India, Kazakhstan, Argentina, Chile, Angola, Austria, Brazil, Cambodia, Colombia, Democratic Republic of Congo, Ecuador, Guyana, Hungary, Korea, Luxembourg, Malaysia, Mongolia, Mozambique, Myanmar, Portugal, South Sudan, Sudan, Tanzania, Zambia, Panama, Switzerland, Taiwan, Thailand, Belgium, Burundi, Canada, Central African Republic, Congo, Djibouti, Egypt, Estonia, Ethiopia, France, Germany, Ireland, Israel, Madagascar, Mexico, Namibia, Netherlands, Niger, Nigeria, Russian Federation, Rwanda, Sierra Leone, Singapore, Slovakia, Spain, Suriname, Uganda, United Kingdom, Viet Nam, Zimbabwe, Andorra, CID001916, DRC, Angola, Burundi, Central African Republic, Rwanda, South Sudan, Tanzania, Uganda, Zambia, Andorra, Argentina, Australia, Austria, Belgium, Brazil, Cambodia, Canada, Chile, China, Colombia, Djibouti, Ecuador, Egypt, Estonia, Ethiopia, France, Germany, Guyana, Hungary, India, Indonesia, Ireland, Israel, Japan, Kazakhstan, Luxembourg, Madagascar, Malaysia, Mexico, Mongolia, Mozambique, Myanmar, Namibia, Netherlands, Niger, Nigeria, Panama, Peru, Portugal, Republic of Korea, Russia, Sierra Leone, Singapore, Slovakia, Spain, Sudan, Suriname, Switzerland, Taiwan, Thailand, USA, United Kingdom, Vietnam, Zimbabwe, Recycled/Scrap, Excludes Covered Countries, From China, Known Countries from which LBMA Good Delivery List Refiners Source - Mined  Material (Provided by LBMA), Known Countries from which LBMA Good Delivery List Refiners Source - Mined  Material (Provided by LBMA) | RCOI confirmed as per RMI but not disclosed by LBMA | China, Peru | Laizhou, Yantai Prefecture, Shandong Province, China, Mineral R/S and mining from China, Peru, Indonesia, Japan, Australia, United States, Mineral R/S and mining from China, Peru, Indonesia, Japan, Australia, United States | RCOI confirmed per RMI | Recycled/Scrap, China, Peru, Indonesia, Japan, Australia, United States | China, No information, Not disclosed per LBMA, Not disclosed per LBMA | Not disclosed per LBMA (China) | China, Peru | Indonesia | RCOI confirmed as per RMI but not disclosed by LBMA | Excludes Covered Countries | Mineral sourcing L1,R/S, Not disclosed by supplier | RECYCLED | Not disclosed per LBMA | china | Not disclosed per LBMA (China) | RCOI confirmed as per CFSI but not disclosed by LBMA | China, Peru | Mineral sourcing L1,R/S, Not disclosed by supplier | Indonesia | China | RECYCLED | Known Countries from which LBMA Good | Known Countries from which LBMA Good Delivery List Refiners Source - Mined  Material (Provided by LBMA) | Laizhou, Yantai Prefecture, Shandong Province, China | China | CHINA, RCOI confirmed as per RMI., RCOI confirmed per RMI, Recycled/Scrap, China, Peru, Indonesia, Japan, Australia, United States, Unknown, 不是源于回收或报废材料商</t>
  </si>
  <si>
    <t>Compliant, COMPLIANT 09/22/2015, Compliant Conformant, Conformant, Conformant Smelter, Conformant smelter according to RMI, audit valid until 2022, Conformant Smelter according to RMI, last cycle in 02.10.2020 with a cycle of 1 Year, RCOI confirmed as per RMAP (LBMA Good Delivery List Refiners Source - Mined  Material, LBMA Good Delivery List Refiners Source - Recycled Material, and/or RJC Refiners Source - Mined  Material), RCOI confirmed per RMI / LBMA Good Delivery Sourcing, RMAP Conformant, RMAP Conformant Smelter / RCOI confirmed per RMI, SC, This smelter is RMI Conformant.
http://www.responsiblemineralsinitiative.org/gold-refiners-list/</t>
  </si>
  <si>
    <t>CID001142</t>
  </si>
  <si>
    <t>Metallic Resources, Inc.</t>
  </si>
  <si>
    <t>2368 East Enterprise Parkway, Twinsburg, OH 44087</t>
  </si>
  <si>
    <t>Twinsburg</t>
  </si>
  <si>
    <t>Eric Ozan, Eric Ozan, Stan Rothschild, NA, Stan Rothschild, Stan Rothschild
Eric Ozan, Tin</t>
  </si>
  <si>
    <t>EOZAN@metallicresources.com, eozan@metallicresources.com, srothschild@metallicresources.com, Metallic Resources, Inc., NA, SROTHSCHILD@metallicresources.com, SROTHSCHILD@metallicresources.com
eozan@metallicresources.com</t>
  </si>
  <si>
    <t>Conformant-audited by RMI (members / partners)- valid until 03/30/2024, Metallic Resources, Inc., NA, no action need, No Action Required as company is RMAP conformant, None Required - CFSI certifed conflict free, None Required - RMI  certifed conflict free, None Required - RMI  certified conflict free, None, CFS Certified, Reaudit In Progress, RMAP Compliant Smelter, Supplier contacts: hyeju.lee@amkor.com; catherine.pelissonnier@st.com; oh-dongho@auk.co.kr; Infineon Customer Contact @infineon.com; lisa.bjornson@sanmina.com; theodore.knudson@materion.com; yushin@harvatek.com; Emily_Hsieh@epistar.com; cindy.dodd@avx.com; oh-dongho@auk.co.kr</t>
  </si>
  <si>
    <t>0, CANADA | Some are recycled or scrap sourced but not all. | Recycled, Scrap | Some are recycled or scrap sourced but not all | not available | CANADA | Some are recycled or scrap sourced but not all. | Some are recycled or scrap sourced but not all | Recycled, Scrap | Recycled, Scrap and mines | Recycled scrap material | Recycled, Scrap and mines | Recyled scrap material | Recycled, Scrap and mines, not disclosed by supplier, NA, No information, RCOI confirmed per RMI, Recycled and scrap, and mines not disclosed by supplier, Recycled or scrap, and mining not disclosed by supplier, Recycled or scrap, and mining not disclosed by supplier | Sourced from Mines/Recyale/Scrap | RCOI confirmed per RMI | Recycled scrap material, Recycled scrap material, Recycled, Scrap and mines, Recycled, Scrap and mines | Some are recycled or scrap sourced but not all, Some are recycled or scrap sourced but not all, Some are recycled or scrap sourced but not all. , Some are recyled/scrap sourced but not all., UNITED STATES OF AMERICA, Unknown, but some recycled/scrap</t>
  </si>
  <si>
    <t>Argentina, Austria, Belgium, Brazil, Cambodia, Canada, Chile, Colombia, Ecuador, Eritrea, Ethiopia, Guyana, Hungary, India, Japan, Kazakhstan, Korea, Luxembourg, Malaysia, Mongolia, Myanmar, Namibia, Peru, Portugal, Recycled/Scrap, Taiwan, United States, CID001142,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Excludes Covered Countries and CAHRA | Mineral sourcing LR, R/S based on RMAP-RMI's RCOI data | USA, Recycled/Scrap | Recycled or Scrap | RCOI confirmed per RMI | Recycled, L1, R/S, L1, R/S | Some are recycled or scrap sourced but not all | United States | the DRC or an adjoining country(covered countries) | Not Available | 2368 East Enterprise Parkway, Twinsburg, OH 44087 | Excludes Covered Countries, Mineral sourcing LR, R/S based on RMAP-RMI's RCOI data, Mineral sourcing LR,R/S based on RMAP-RMI's RCOI data, NA, No information, RCOI confirmed per RMI, Recycled , Recycled scrap material, Recycled/Scrap Only | CANADA | L1, R/S | United States | R/S | Some are recycled or scrap sourced but not all. | Some are recycled or scrap sourced but not all | Excludes Covered Countries | Mineral sourcing R/S | not available | Recycled/Scrap Only | CANADA | L1, R/S | Some are recycled or scrap sourced but not all | United States | Some are recycled or scrap sourced but not all. | Mineral sourcing R/S | R/S | the DRC or an adjoining country(covered countries) | D | the DRC or an adjoining country(covered countries) | Recycled scrap material | 2368 East Enterprise Parkway, Twinsburg, OH 44087 | RCOI confirmed as per RMI | Mineral sourcing L1, R/S, not disclosed by supplier | Not Available, Recycled/Scrap, United States, Recycled/Scrap, United States, Eritrea, Brazil, Malaysia, Argentina, Peru, Mongolia, Portugal, Colombia, Myanmar, Japan, Korea, Canada, India, Austria, Guyana, Namibia, Ethiopia, Belgium, Cambodia, Chile, Ecuador, Hungary, Kazakhstan, Luxembourg, Taiwan, Democratic Republic of Congo, China, Indonesia, Australia, Germany, Niger, Nigeria, Russian Federation, Thailand, Zimbabwe, Ireland, United Kingdom, Viet Nam, Bolivia (Plurinational State of), Sierra Leone, Spain, Egypt, Estonia, France, Israel, Madagascar, Netherlands, Singapore, Slovakia, Suriname, Switzerland, Djibouti, Congo, Ghana, Guinea, Mexico, Mozambique, South Africa, Rwanda, United Arab Emirates, Armenia, Azerbaijan, Bahamas, Barbados, Belarus, Benin,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Uruguay, Uzbekistan, Yemen, Recycled/Scrap, United States, Eritrea, Brazil, Malaysia, Argentina, Peru, Mongolia, Portugal, Colombia, Myanmar, Japan, Korea, Canada, India, Austria, Guyana, Namibia, Ethiopia, Belgium, Cambodia, Chile, Ecuador, Hungary, Kazakhstan, Luxembourg, Taiwan, Democratic Republic of Congo, China, Indonesia, Australia, Germany, Niger, Nigeria, Russian Federation, Thailand, Zimbabwe, Ireland, United Kingdom, Viet Nam, Bolivia (Plurinational State of), Sierra Leone, Spain, Egypt, Estonia, France, Israel, Madagascar, Netherlands, Singapore, Slovakia, Suriname, Switzerland, Djibouti, Congo, Ghana, Guinea, Mexico, Mozambique, South Africa, Rwanda, United Arab Emirates, Armenia, Azerbaijan, Bahamas, Barbados, Belarus, Benin,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Uruguay, Uzbekistan, Yemen;USA, Recycled/Scrap, Some are recycled or scrap sourced but not all, Some are recycled or scrap sourced but not all. , Some are recyled/scrap sourced but not all., the DRC or an adjoining country(covered countries), United States, USA, Recycled/Scrap</t>
  </si>
  <si>
    <t>Compliant, COMPLIANT 09/22/2015, Compliant Conformant, Conformant, Conformant Smelter, Conformant smelter according to RMI, audit valid until 2022, Conformant Smelter according to RMI, last cycle in 26.02.2020 with a cycle of 1 Year, http://metallicresources.com/, RCOI confirmed as per RMAP, RCOI confirmed per RMI, RMAP Conformant, RMAP Conformant Smelter, RMAP Conformant Smelter / RCOI confirmed per RMI</t>
  </si>
  <si>
    <t>Minsur</t>
  </si>
  <si>
    <t>Peru</t>
  </si>
  <si>
    <t>Kepulauan Bangka Belitung</t>
  </si>
  <si>
    <t>CID002500</t>
  </si>
  <si>
    <t>Melt Metais e Ligas S/A</t>
  </si>
  <si>
    <t>Melt Metais e Ligas S.A.</t>
  </si>
  <si>
    <t>Rua Curimatã, 2324  Ariquemes-RO Brazil CEP: 76870-229</t>
  </si>
  <si>
    <t>Rondônia</t>
  </si>
  <si>
    <t>Carlos, Ivan Cardoso, Kepulauan Bangka Belitung, Tin</t>
  </si>
  <si>
    <t>Melt Metais e Ligas S.A., pcp.ro@meltmetais.com.br</t>
  </si>
  <si>
    <t>Melt Metais e Ligas S.A., no action need, No Action Required as company is RMAP conformant, None, CFS Certified, Validated by RMI until 11/06/2021</t>
  </si>
  <si>
    <t>0, BRAZIL, Not disclosed by supplier, Not disclosed by supplier | - | RCOI confirmed as per RMI, RCOI confirmed as per RMI., RCOI confirmed per RMI, SOUTH AFRICA | Not disclosed by supplier | RCOI confirmed as per RMI | not available | SOUTH AFRICA | Not disclosed by supplier | RCOI confirmed as per CFSI, Unknown,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</si>
  <si>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South Africa, Spain, Suriname, Switzerland, Taiwan, Thailand, United Kingdom, USA, Vietnam, Zimbabwe, Argentina, Australia, Austria, Belgium, Brazil, Cambodia, Canada, Chile, China, Colombia, Ecuador, Ethiopia, Germany, Guyana, Hungary, India, Japan, Kazakhstan, Korea, Luxembourg, Malaysia, Mongolia, Myanmar, Namibia, Peru, Portugal, Recycled/Scrap, Taiwan, CID002500, DRC, Burundi, Rwanda, Tanzania, Uganda, Zambia, Aland Islands,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Excludes Covered Countries and CAHRA, L1, L1 | - | RCOI confirmed as per RMI | Myanmar, Cambodia, Malaysia, Kazakhstan, Portugal, Mongolia, Austria, Luxembourg, Korea, Republic of, Brazil, Guyana, Chile, Laos, Ecuador, Colombia, Argentina, Hungary, Japan, India, Canada, Belgium, Namibia, Taiwan, Peru, Ethiopia, Germany, Russian Fede | Not Available | Rua Curimatã, 2324  Ariquemes-RO Brazil CEP: 76870-229 | Excludes Covered Countries, L1 | Excludes Covered Countries | SOUTH AFRICA | Myanmar, Cambodia, Malaysia, Kazakhstan, Portugal, Mongolia, Austria, Luxembourg, Brazil, Korea, Republic of, Guyana, Chile, Laos, Colombia, Ecuador, Argentina, Hungary, Japan, India, Canada, Belgium, Namibia, Taiwan, Peru, Ethiopia, Germany, Russian Fede | RCOI confirmed as per RMI | Mineral sourcing L1, Not disclosed by supplier | L1 | Excludes Covered Countries | SOUTH AFRICA | RCOI confirmed as per CFSI | Myanmar, Cambodia, Malaysia, Kazakhstan, Portugal, Mongolia, Austria, Luxembourg, Brazil, Korea, Republic of, Guyana, Chile, Laos, Colombia, Ecuador, Argentina, Hungary, Japan, | Myanmar, Cambodia, Malaysia, Kazakhstan, Portugal, Austria, Mongolia, Luxembourg, Brazil, Guyana, Korea, Republic of, Chile, Laos, Ecuador, Colombia, Argentina, Hungary, Japan, India, Canada, Belgium, Namibia, Taiwan, Peru, Ethiopia, Germany, Russian Fede | Rua Curimatã, 2324  Ariquemes-RO Brazil CEP: 76870-229 | Mineral sourcing L1, not disclosed by RMI | Not Available, Mineral sourcing L1 based on RMAP-RMI's RCOI data, Myanmar, Cambodia, Malaysia, Kazakhstan, Portugal, Austria, Mongolia, Luxembourg, Brazil, Guyana, Korea, Republic of, Chile, Laos, Colombia, Ecuador, Argentina, Hungary, Japan, India, Canada, Belgium, Namibia, Taiwan, Peru, Germany, Ethiopia, Russian Federation, Viet Nam, Singapore, United States, Egypt, Sierra Leone, Madagascar, Ivory Coast, Bolivia, Thailand, Netherlands, China, Ireland, Slovakia, France, Nigeria, United Kingdom, Switzerland, Spain, Djibouti, Czech Republic, Zimbabwe, Suriname, Israel, Australia, Estonia, Indonesia, Myanmar, Cambodia, Malaysia, Kazakhstan, Portugal, Austria, Mongolia, Luxembourg, Korea, Republic of, Brazil, Guyana, Chile, Laos, Colombia,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Estonia, Indonesia, 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 Myanmar, Cambodia, Malaysia, Kazakhstan, Portugal, Mongolia, Austria, Luxembourg, Brazil, Korea, Republic of, Guyana, Chile, Laos, Ecuador, Colombia, Argentina, Hungary, Japan, India, Canada, Belgium, Namibia, Taiwan, Peru, Germany, Ethiopia, Russian Federation, Singapore, Viet Nam, United States, Egypt, Madagascar, Sierra Leone, Ivory Coast, Thailand, Bolivia, Netherlands, China, Ireland, Slovakia, Nigeria, France, United Kingdom, Switzerland, Spain, Djibouti, Czech Republic, Zimbabwe, Suriname, Israel, Australia, Indonesia, Estonia, Myanmar, Cambodia, Malaysia, Kazakhstan, Portugal, Mongolia, Austria, Luxembourg, Brazil, Korea, Republic of, Guyana, Chile, Laos, Ecuador, Colombia,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Indonesia, Estonia, RCOI confirmed as per RMI., RCOI confirmed per RMI, Recycled/Scrap, Brazil, Malaysia, Colombia, Mongolia, Myanmar, Portugal, Argentina, Peru, Germany, India, Austria, Chile, Ecuador, Japan, Belgium, Cambodia, Canada, Guyana, Hungary, Kazakhstan, Korea, Luxembourg, Ethiopia, Namibia, China, Australia, Ireland, Niger, Nigeria, Thailand, United Kingdom, Zimbabwe, Indonesia, Spain, France, Madagascar, Sierra Leone, United States, Switzerland, Singapore, Egypt, Estonia, Israel, Netherlands, Slovakia, Suriname, Djibouti, South Africa, Taiwan, Russian Federation, Viet Nam, Unknown</t>
  </si>
  <si>
    <t>0, Compliant, COMPLIANT 09/22/2015, Compliant Conformant, Conformant, Conformant Smelter, Conformant Smelter according to RMI, last cycle in 06.11.2018 with a cycle of 3 Years, Listed on the CFSI Standard Smelter List, RCOI confirmed per RMI, RMAP Conformant, This smelter/refiner is included on the RMI's Standard Smelter list but was removed from the RMAP Conformant Smelter list on March 31, 2022 for not completing a re-audit despite multiple outreach attempts. Intel has requested suppliers to remove this SOR from the supply chain.</t>
  </si>
  <si>
    <t>CID002582</t>
  </si>
  <si>
    <t>REMONDIS PMR B.V.</t>
  </si>
  <si>
    <t>Middenweg 7, 4782 PM Moerdijk, Netherlands</t>
  </si>
  <si>
    <t>Moerdijk</t>
  </si>
  <si>
    <t>Noord-Brabant</t>
  </si>
  <si>
    <t>Gold, Hiroshima, Paul Van Oosterbos, Tobias Schmiemann</t>
  </si>
  <si>
    <t>paul.van.oosterbos@remondis-argentia.nl, Remondis Argentia B.V., REMONDIS PMR B.V., Tobias.Schmiemann@remondis-argentia.nl</t>
  </si>
  <si>
    <t>Conformant, Conformant- Reaudit In Progress, no action need, No Action Required as company is RMAP conformant, Reaudit In Progress, REMONDIS PMR B.V., Supplier contacts: hyeju.lee@amkor.com; Infineon Customer Contact @infineon.com; lisa.bjornson@sanmina.com; yushin@harvatek.com</t>
  </si>
  <si>
    <t>0, CHINA | R/S | not available | Some are recycled or scrap sourced but not all, NETHERLANDS, No information, not available, not available | Some are recycled or scrap sourced but not all, R/S, RCOI confirmed per RMI, Recycled, Scrap, Recyled/Scrap, Sourced from Mines/Recyale/Scrap | Recycled, Scrap, Unknown, but some recycled/scrap</t>
  </si>
  <si>
    <t>Andorra, Bolivia (Plurinational State of), Brazil, Canada, China, Ethiopia, Japan, Malaysia, Netherlands, Philippines, Recycled/Scrap, Spain, Thailand, Andorra, Bolivia, Brazil, Canada, China, Ethiopia, Japan, Malaysia, Netherlands, Philippines, Russia, Spain, Thailand, Recycled/Scrap, Bolivia, Canada, China, Japan, Netherlands, Philippines, Russia, Thailand, recycled/scrap, CHINA | No known country of origin | Excludes Covered Countries | R/S | CHINA | No known country of origin | Recycled/Scrap Only | Does not source from DRC or covered countries | L1, R/S | Some are recycled or scrap sourced but not all, CID002582, Excludes Covered Countries, L1, R/S | Some are recycled or scrap sourced but not all | Excludes Covered Countries, LR, R/S, Mineral sourcing R/S, Mineral sourcing R/S based on RMAP-RMI's RCOI data, Netherlands, China, Philippines, Thailand, Canada, Japan, Bolivia, Recycled/Scrap, Russia, Netherlands, China, Philippines, Thailand, Canada, Japan, Bolivia, Recycled/Scrap, Russia | Mineral sourcing R/S, No information, No known country of origin, R/S, RCOI confirmed per RMI, Recycled, Scrap, Recycled/Scrap Only, Recycled/Scrap, Netherlands, China, Canada, Japan, Philippines, Thailand, Recycled/Scrap, Netherlands, China, Canada, Japan, Philippines, Thailand, Andorra, Ethiopia, Bolivia (Plurinational State of), Brazil, Malaysia, Spain, Recyled/Scrap, Unknown</t>
  </si>
  <si>
    <t>Compliant, Compliant Conformant, Conformant, Conformant Smelter, Conformant smelter according to RMI, audit valid until 2021, reassessment in progress, Conformant Smelter according to RMI, last cycle in 20.02.2020 with a cycle of 1 Year, RCOI confirmed per RMI, RMAP Conformant</t>
  </si>
  <si>
    <t>Florida</t>
  </si>
  <si>
    <t>New Zealand</t>
  </si>
  <si>
    <t>Royal Canadian Mint</t>
  </si>
  <si>
    <t>Canada</t>
  </si>
  <si>
    <t>Ottawa</t>
  </si>
  <si>
    <t>Ontario</t>
  </si>
  <si>
    <t>CID002761</t>
  </si>
  <si>
    <t>SAAMP</t>
  </si>
  <si>
    <t>France</t>
  </si>
  <si>
    <t>145, rue du Temple | 75003 Paris | France</t>
  </si>
  <si>
    <t>Paris</t>
  </si>
  <si>
    <t>Île-de-France</t>
  </si>
  <si>
    <t>Chiba, Gold, Tali Nadjar</t>
  </si>
  <si>
    <t>SAAMP, tali.nadjar@saamp.com</t>
  </si>
  <si>
    <t>Conformant-audited by RJC- valid until 04/28/2023, Conformant-audited by RMI- valid until 04/28/2023, no action need, No Action Required as company is RMAP conformant, SAAMP, Supplier contacts: hyeju.lee@amkor.com; Infineon Customer Contact @infineon.com;  lisa.bjornson@sanmina.com; yushin@harvatek.com, Validated by RJC until 04/28/2023</t>
  </si>
  <si>
    <t>0, FRANCE, No information, Not disclosed by supplier, Not disclosed by supplier | RCOI confirmed as per RMI but not disclosed by RJC, Not disclosed by supplier | Sourced from Mines/Recyale/Scrap, Not disclosed per RJC, RCOI confirmed as per RMI but not disclosed by RJC | not available | Not disclosed by supplier | Not disclosed by supplier, RCOI confirmed as per RMI., RCOI confirmed per RMI, See aggregated data below for RJC Sourcing, Unknown, but some recycled/scrap</t>
  </si>
  <si>
    <t>Argentina, Australia, Austria, Belgium, Bolivia, Brazil, Cambodia, Canada, Chile, China, Colombia, Djibouti, Ecuador, Egypt, Estonia, Ethiopia, France, Germany, Guyana, Hungary, India, Indonesia, Ireland, Israel, Italy, Japan, Kazakhstan, Luxembourg, Madagascar, Malaysia, Mexico, Mongolia, Myanmar, Namibia, Netherlands, Niger, Nigeria, Peru, Philippines, Portugal, Republic of Korea, Russia, Sierra Leone, Singapore, Slovakia, Spain, Suriname, Switzerland, Taiwan, Thailand, USA, United Kingdom, Uzbekistan, Vietnam, Zimbabwe, Recycled/Scrap, Argentina, Australia, Austria, Belgium, Brazil, Cambodia, Canada, Chile, China, Colombia, Djibouti, Ecuador, Egypt, Estonia, Ethiopia, France, Germany, Guyana, Japan, Kazakhstan, Peru, Philippines, Recycled/Scrap, Russian Federation, United States, Bolivia, Canada, China, France, Japan, Russia, USA, recycled/scrap, Canada, China, Japan, Bolivia, USA, France, Recycled/Scrap, Russia, CID002761, Mineral sourcing not disclosed by RJC, Mineral sourcing not disclosed by RJC | Canada, China, Japan, Bolivia, USA, France, Recycled/Scrap, Russia, Mineral sourcing not disclosed per RJC, No information, No known country of origin, No known country of origin | RCOI confirmed as per RMI but not disclosed by RJC | No known country of origin | Not disclosed per RJC | Does not source from DRC or covered countries | R/S and Mined (material risk not disclosed by RJC), Not disclosed per RJC, R/S and Mined (material risk not disclosed by RJC), R/S and Mined (material risk not disclosed by RJC) | RCOI confirmed as per RMI but not disclosed by RJC | No known country of origin, RCOI confirmed as per RMI., RCOI confirmed per RMI, Recycled/Scrap, France, United States, Canada, China, Japan, Recycled/Scrap, France, United States, Canada, China, Japan, Kazakhstan, Peru, Russian Federation, Philippines, Argentina, Australia, Austria, Belgium, Brazil, Cambodia, Chile, Colombia, Djibouti, Ecuador, Egypt, Estonia, Ethiopia, Germany, Guyana, Hungary, India, Indonesia, Ireland, Israel, Korea, Luxembourg, Madagascar, Malaysia, Mongolia, Myanmar, Namibia, Netherlands, Niger, Nigeria, Portugal, Sierra Leone, Singapore, Slovakia, Spain, Suriname, Switzerland, Thailand, United Kingdom, Zimbabwe, Bolivia (Plurinational State of), Mexico, Uzbekistan, Taiwan, Viet Nam, Italy, Unknown</t>
  </si>
  <si>
    <t>Compliant, Compliant Conformant, Conformant, Conformant Smelter, Conformant smelter according to RMI, audit valid until 2023, Conformant Smelter according to RMI, last cycle in 28.04.2020 with a cycle of 3 Years, RCOI confirmed per RMI, RMAP Conformant</t>
  </si>
  <si>
    <t>CID002973</t>
  </si>
  <si>
    <t>Safimet S.p.A</t>
  </si>
  <si>
    <t>San Zeno Strada B 1/3, Arezzo, 52100</t>
  </si>
  <si>
    <t>Francesco Ricciardi, Gold</t>
  </si>
  <si>
    <t>info@safimet.com, Safimet S.p.A</t>
  </si>
  <si>
    <t>Conformant-audited by RJC- valid until 08/21/2022, no action need, No Action Required as company is RMAP conformant, None; conformant to RMAP protocol, Remove from supply chain, Safimet S.p.A, Supplier contacts: hyeju.lee@amkor.com; Infineon Customer Contact @infineon.com;  lisa.bjornson@sanmina.com; yushin@harvatek.com, Validated by RJC until 08/21/2022</t>
  </si>
  <si>
    <t>0, ITALY, No information, Not disclosed by supplier, Not disclosed by supplier | Recyled, Scrap, Not disclosed per RJC, RCOI confirmed as per RMI., RCOI confirmed per RMI, See aggregated data below for RJC Sourcing, Unknown, Unknown, but some recycled/scrap</t>
  </si>
  <si>
    <t>Angola, Burundi, Central African Republic, Rwanda, South Sudan, Tanzania, Uganda, Zambia, Argentina, Australia, Austria, Belgium, Brazil, Cambodia, Canada, Chile, China, Colombia, Djibouti, Ecuador, Egypt, Estonia, Ethiopia, France, Germany, Guyana, Hungary, India, Indonesia, Ireland, Israel, Italy, Japan, Jersey, Kazakhstan, Luxembourg, Madagascar, Malaysia, Mexico, Mongolia, Mozambique, Myanmar, Namibia, Netherlands, Niger, Nigeria, Panama, Peru, Portugal, Republic of Korea, Russia, Sierra Leone, Singapore, Slovakia, Spain, Sudan, Suriname, Sweden, Switzerland, Taiwan, Thailand, USA, United Kingdom, Vietnam, Zimbabwe, Recycled/Scrap, Argentina, Austria, Belgium, Brazil, Cambodia, Canada, Chile, China, Colombia, Ecuador, Ethiopia, Germany, Guyana, Hungary, India, Italy, Japan, Kazakhstan, Korea, Luxembourg, Malaysia, Mongolia, Myanmar, Namibia, Portugal, Recycled/Scrap, United States, China, Italy, USA, CID002973, Italy, Italy, United States, China, Recycled/Scrap, Italy, United States, China, Recycled/Scrap, Brazil, Japan, Canada, Portugal, Argentina, Austria, Belgium, Cambodia, Chile, Colombia, Ecuador, Ethiopia, Germany, Guyana, Hungary, India, Kazakhstan, Korea, Luxembourg, Malaysia, Mongolia, Myanmar, Namibia, Peru, Taiwan, Jersey, Australia, Switzerland, Thailand, Djibouti, Egypt, Estonia, France, Indonesia, Ireland, Israel, Madagascar, Netherlands, Niger, Nigeria, Sierra Leone, Singapore, Slovakia, Spain, Suriname, United Kingdom, Zimbabwe, Angola, Burundi, Central African Republic, Mozambique, Rwanda, South Sudan, Sudan, Tanzania, Uganda, Zambia, Russian Federation, Panama, Sweden, Viet Nam, Mexico, Italy, USA, China, Mineral sourcing not disclosed by RJC, Mineral sourcing not disclosed per RJC, No information, Not disclosed per RJC, R/S (RJC RCOI data), R/S (RJC RCOI data) | Recyled, Scrap | Italy | Recycled/Scrap Only, RCOI confirmed as per RMI., RCOI confirmed per RMI, Unknown</t>
  </si>
  <si>
    <t>Compliant, Compliant Conformant, Conformant, Conformant Smelter, Conformant smelter according to RMI, audit valid until 2022, Conformant Smelter according to RMI, last cycle in 21.08.2019 with a cycle of 3 Years, RCOI confirmed per RMI, RMAP Conformant</t>
  </si>
  <si>
    <t>CID001798</t>
  </si>
  <si>
    <t>Toyo Smelter &amp; Refinery</t>
  </si>
  <si>
    <t>Sumitomo Metal Mining Co., Ltd.</t>
  </si>
  <si>
    <t>Toyo, Saijo, Japan</t>
  </si>
  <si>
    <t>Saijo</t>
  </si>
  <si>
    <t>Ehime</t>
  </si>
  <si>
    <t>(+81)3-3436-7701, Akira Nozaki, Akira Nozaki
Seiji Kaneko, Akira Nozaki; Seiji Kaneko, Gold, Mikito Suzuki, NA, Not disclosed, Saitama, Takanobu Hagiwara (Manager)</t>
  </si>
  <si>
    <t>Funsokobutsu_Kin_Kinzoku@ni.smm.co.jp, Funsokobutsu_Kin_Kinzoku@ni.smm.co.jp (Akira Nozaki); seiji_kaneko@ni.smm.co.jp (Seiji Kaneko), Funsokobutsu_Kin_Kinzoku@ni.smm.co.jp
seiji_kaneko@ni.smm.co.jp, Inqurities on the home page of the company, mikito.suzuki@sumitomocorp.com, NA, Not disclosed, SMM, Sumitomo Kinzoku Kozan K.K., takanobu_Hagiwara@ni.smm.co.jp Tel: +81-334367839 Tel: +81-334367705 http://www.smm.co.jp</t>
  </si>
  <si>
    <t>3rd Party Audit, CFS Compliant Smelter, Conformant-audited by LBMA RG- valid until 08/30/2022, Conformant-audited by LBMA RG- valid until 12/06/2023, Monitoring CFSI certifications., NA, no action need, No Action Required as company is RMAP conformant, None, CFS Certified, RMAP Compliant Smelter, Sumitomo Metal Mining Co., Ltd., Supplier contacts: hyeju.lee@amkor.com; catherine.pelissonnier@st.com; (Phiron) nancy.joy@materion.com; Infineon Customer Contact @infineon.com; jeffery.hung@awsc.com.tw; katsunori.hirata@jp.fujikura.com; zhengna@rohm.com.sg; nadine.jahn@aim-micro-systems.de; lisa.bjornson@sanmina.com; theodore.knudson@materion.com; yushin@harvatek.com; Demi_Lo@arimalasers.com; Emily_Hsieh@epistar.com; t.gruber@ats.net; higuchi.yasunobu.xhfos@showadenko.com; antony@elaser.com.tw; soralee@asekr.com, Validated by LBMA RG until 08/12/2022</t>
  </si>
  <si>
    <t>0, Cerro Verde Mine, Batu Hijau Mine, Candelaria Mine, Sierra Gorda, Recycled/Scrap, Ojos Del Salado, Hishikari Mine, Pogo Mine, Morenci Mine, Northparkes Mine, Ojos Del Salado Copper Mine, Toyo Smelter &amp;amp; Refinery, Hishikari, Hishikari Mine, Hishikari Mine etc., Hishikari, Cerro Verde, Candelaria, North Park, recycled, JAPAN, Morenci, Cerro Verde, Sierra Gorda, Candelaria, Ojos del Salado, Hishikari, Pogo Mine, and recycled/scrap, No information, Not disclosed per LBMA, RCOI confirmed as per RMI., RCOI confirmed per RMI, recycled, Recycled and Scrap and mines from Morenci, Cerro Verde, Sierra Gorda, Candelaria, Ojos del Salado, Hishikari, Recycled, From Pogo Mine Morenci Mine Candelaria Mine Cerro Verde Mine Ojos del Salado Copper Mine Batu Hijau Mine Northparkes Mine Hishikari Mine, Recycled, From Pogo Mine Morenci Mine Candelaria Mine Cerro Verde Mine Ojos del Salado Copper Mine Batu Hijau Mine Northparkes Mine Hishikari Mine | Hishikari Mine | RCOI confirmed as per RMI but not disclosed by LBMA | From Hishikari Mine | Some are recycled or scrap sourced but not all. | From Pogo Mine, Morenci Mine, Candelaria Mine, Cerro Verde Mine, Ojos del Salado Copper Mine, Batu Hijau Mine, Northparkes Mine, Hishikari Mine and recycled | Recycled, From Pogo Mine Morenci Mine Candelaria Mine Cerro Verde Mine Ojos del Salado Copper Mi | Not Disclosed per LBMA | Recycled | Not disclosed | Recycled and mines, from Pogo Mine
Morenci Mine
Candelaria Mine
Cerro Verde Mine
Ojos del Salado Copper Mine
Batu Hijau Mine
Northparkes Mine
Hishikari Mine | Japan
recycled, Recycled, From Pogo Mine Morenci Mine Candelaria Mine Cerro Verde Mine Ojos del Salado Copper Mine Batu Hijau Mine Northparkes Mine Hishikari Mine | RCOI confirmed as per RMI but not disclosed by LBMA, Recycling and Pogo Mine, Morenci Mine, Candelaria Mine, Cerro Verde Mine, Ojos del Salado Copper Mine, Batu Hijau Mine, Northparkes Mine, Hishikari Mine, Recycling and Pogo Mine, Morenci Mine, Candelaria Mine, Cerro Verde Mine, Ojos del Salado Copper Mine, Batu Hijau Mine, Northparkes Mine, Hishikari Mine | RCOI confirmed per RMI | (1) Pogo Mine, Morenci Mine
(2) Candelaria Mine
(3) Cerro Verde Mine, Batu Hijau Mine
(4) Ojos del Salado Copper Mine
(5) Northparkes Mine
(6) Hishikari Mine | Hishikari Mine | Recycled | recycled, See aggregated data below for LBMA Good Delivery Sourcing</t>
  </si>
  <si>
    <t>Argentina, Australia, Canada, Chile, China, Eritrea, Guinea, Hong Kong, India, Indonesia, Japan, Korea, Panama, Papua New Guinea, Peru, Philippines, Recycled/Scrap, Taiwan, United States, Argentina, Australia, Canada, Chile, China, Eritrea, Guinea, Hong Kong, India, Indonesia, Japan, Panama, Papua New Guinea, Peru, Philippines, Republic of Korea, Taiwan, USA, Recycled/Scrap, Australia, Chile, Japan, USA, recycled/scrap, CID001798, From United States, Peru, Chile, Japan, Japan, Japan etc., Japan
recycled, Japan
recycled | United States
Chile
Peru
Australia
Japan | Not disclosed per LBMA | Not disclosed per LBMA (United States, Chile, Japan) | United States, Philippines, Japan, Australia, Chile, Indonesia | RCOI confirmed as per RMI but not disclosed by LBMA | Mineral sourcing not disclosed per LBMA, Japan, recycled | Mineral sourcing L1,R/S, Not disclosed by supplier | Not disclosed per LBMA | Japan
recycled | Not disclosed per LBMA (United States, Chile, Japan) | RCOI confirmed as per CFSI but not disclosed by LBMA | United States, Philippines, Japan, Australia, Chile, Indonesia | Because it is a Conflict-Free Gold Ref | Known Countries from which LBMA Good Delivery List Refiners Source - Mined  Material (Provided by LBMA) | United States
Chile
Peru
Japan | RCOI Confirmed as per CSFI | United States, Japan, Philippines, Australia, Chile, Indonesia | Toyo, Saijo, Japan | RCOI confirmed as per RMI | Recycled | Not disclosed | United States,Chile,Peru,Indonesia,Australia,Japan | United States
Chile
Peru
Indonesia
Australia
Japan
recycled | No, Japan, Australia, Recycled/Scrap, USA, Chile, Japan, Australia, Recycled/Scrap, USA, Chile;Recycled/Scrap, Japan, Chile, United States, Australia, Indonesia, Philippines, Peru, Panama, China, Hong Kong, Guinea, Papua New Guinea, Korea, Canada, Taiwan, Argentina, Eritrea, India, Japan, Peru, Chile, Australia, recycled, Japan/Recycled, Known Countries from which LBMA Good Delivery List Refiners Source - Mined  Material (Provided by LBMA), Known Countries from which LBMA Good Delivery List Refiners Source - Mined  Material (Provided by LBMA) | RCOI confirmed as per RMI but not disclosed by LBMA | United States, Philippines, Japan, Australia, Chile, Indonesia | Toyo, Saijo, Japan, Mineral R/S and mining from United States, Peru, Chile, Japan, Mineral R/S and mining from United States, Peru, Chile, Japan | RCOI confirmed per RMI | (1) USA
(2) Chile
(3) Peru
(4) Indonesia
(5) Australia
(6)Japan | Japan
recycled | Japan/Recycled | Recycled | recycled, No information, Not disclosed per LBMA, RCOI confirmed as per RMI., RCOI confirmed per RMI, Recycled, Recycled / Japan, Recycled/Scrap, Japan, Chile, United States, Australia, Indonesia, Philippines, Peru, Recycled/Scrap, Japan, Chile, United States, Australia, Indonesia, Philippines, Peru, Panama, China, Hong Kong, Guinea, Papua New Guinea, Korea, Canada, Taiwan, Argentina, Eritrea, India, scrap, United States
Peru
Chile
Indonesia
Australia
Japan, United States, Japan, Philippines, Chile, Australia, Indonesia, United States, Peru, Chile, Japan, United States, Philippines, Japan, Chile, Australia, Indonesia, Unknown</t>
  </si>
  <si>
    <t>Compliant, COMPLIANT 09/22/2015, Compliant Conformant, Conformant, Conformant Smelter, Conformant smelter according to RMI, audit valid until 2022, Conformant Smelter according to RMI, last cycle in 12.08.2020 with a cycle of 1 Year,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Selling Agency1  : SUMITOMO METAL MINING
Smelting house: SUMITOMO METAL MINING, TOHYO (Ehime in Japan)
*SUMITOMO METAL MINING reported in writing that mineral obtained DRC or neighborhood was not used.
CFS Compliant Gold Smelter &amp;amp; Refiner
Valid until June 27,2014
Audited by LBMA, This smelter is RMI Conformant.
http://www.responsiblemineralsinitiative.org/gold-refiners-list/</t>
  </si>
  <si>
    <t>CID001955</t>
  </si>
  <si>
    <t>Torecom</t>
  </si>
  <si>
    <t>180 Unyong-ri, Dunpo-myeon, Asan-si, Chungcheongnam-do, South Korea</t>
  </si>
  <si>
    <t>Asan</t>
  </si>
  <si>
    <t>Chungcheongnam-do</t>
  </si>
  <si>
    <t>Gold, JeUk You, JooHong Ahn, Mr. JeUk You, Utah</t>
  </si>
  <si>
    <t>juyou@torecom.co.kr, ssy0919@torecom.co.kr, bhyang@torecom.co.kr, thirstymoon@torecom.co.kr, Torecom</t>
  </si>
  <si>
    <t>Conformant, Conformant-Reaudit In Progress, N/A, no action need, No Action Required as company is RMAP conformant, None, CFS certified, Reaudit In Progress, Supplier contacts: hyeju.lee@amkor.com; Infineon Customer Contact @infineon.com;  lisa.bjornson@sanmina.com; yushin@harvatek.com, Torecom</t>
  </si>
  <si>
    <t>0, KOREA, REPUBLIC OF, LR, R/S, No information, RCOI confirmed per RMI, Recycled or scrap, and mining not disclosed by supplier, Recycled, Scrap, Recycled, Scrap | Recycled/Scrap, Recycled, Scrap | Recycled/Scrap | Recycled | Recycled, Scrap | Recycled/Scrap, Recyled/Scrap, Sourced from Mines/Recyale/Scrap | Recycled or scrap, and mining not disclosed by supplier, Unknown, but some recycled/scrap</t>
  </si>
  <si>
    <t>Bolivia (Plurinational State of), Brazil, Canada, Chile, China, Indonesia, Japan, Korea, Malaysia, Mexico, Peru, Philippines, Recycled/Scrap, Russian Federation, Switzerland, Bolivia, Brazil, Canada, Chile, China, Indonesia, Japan, Malaysia, Mexico, Peru, Philippines, Republic of Korea, Russia, Switzerland, Recycled/Scrap, Bolivia, Brazil, Chile, China, Indonesia, Mexico, Republic of Korea, Russia, Switzerland, recycled/scrap, CID001955, Excludes Covered Countries and CAHRA, Excludes Covered Countries and CAHRA | Recycled/Scrap Only | Russia, China, Republic Of Korea, Brazil, Mexico, Chile, Bolivia, Indonesia, Recycled/Scrap, Switzerland | Mineral sourcing LR, R/S based on RMAP-RMI's RCOI data, Mineral sourcing LR, R/S based on RMAP-RMI's RCOI data, Mineral sourcing R/S based on RMAP-RMI's RCOI data, No information, Not disclosed | R/S | Russian Federation, China, Korea, Republic of, Brazil, Mexico, Chile, Bolivia, Indonesia | Recycled, Scrap | Recycled/Scrap | Korea | Recycled/Scrap Only | Not disclosed | Recycled | R/S | Recycled/Scrap | Russian Federation, China, Korea, Republic of, Brazil, Mexico, Chile, Bolivia, Indonesia | Recycled, Scrap | Recycled/Scrap Only | Does not source from DRC or covered countries | Korea | Mineral sourcing R | 180 Unyong-ri, Dunpo-myeon, Asan-si, Chungcheongnam-do, South Korea | Mineral sourcing R/S, R/S, R/S | Recycled/Scrap | 180 Unyong-ri, Dunpo-myeon, Asan-si, Chungcheongnam-do, South Korea | Recycled/Scrap Only, RCOI confirmed per RMI, Recycled, Recycled, Scrap, Recycled/Scrap Only, Recycled/Scrap, Korea, China, Brazil, Indonesia, Chile, Mexico, Switzerland, Russian Federation, Recycled/Scrap, Korea, China, Brazil, Indonesia, Chile, Mexico, Switzerland, Russian Federation, Bolivia (Plurinational State of), Japan, Canada, Malaysia, Peru, Philippines, Recyled/Scrap, Russia, China, Republic Of Korea, Brazil, Mexico, Chile, Bolivia, Indonesia, Recycled/Scrap, Switzerland, Russian Federation, China, Brazil, Korea, Republic of, Mexico, Bolivia, Chile, Indonesia, Russian Federation, China, Brazil, Korea, Republic of, Mexico, Chile, Bolivia, Indonesia</t>
  </si>
  <si>
    <t>Compliant, Compliant Conformant, Conformant, Conformant Smelter, Conformant smelter according to RMI, audit valid until 2022, Conformant Smelter according to RMI, last cycle in 18.05.2016 with a cycle of 3 Years, RCOI confirmed per RMI, RMAP Conformant</t>
  </si>
  <si>
    <t>Tsai Brother industries</t>
  </si>
  <si>
    <t>CID002745</t>
  </si>
  <si>
    <t>Tsai Brother Industries</t>
  </si>
  <si>
    <t>CID003195</t>
  </si>
  <si>
    <t>TSK Pretech</t>
  </si>
  <si>
    <t>Chopyeong-myeon</t>
  </si>
  <si>
    <t>Chungcheongbuk-do</t>
  </si>
  <si>
    <t>JooHwan Choi, Kwang Yong Yoo, Kwang Yong Yoo; Mr. JooHwan Choi, Mr. JooHwan Choi</t>
  </si>
  <si>
    <t>jhchoi2@tsk.co.kr, ky2715@naver.com, ky2715@naver.com; jhchoi2@tsk.co.kr</t>
  </si>
  <si>
    <t>No Action Required as company is RMAP conformant, None; conformant to RMAP protocol</t>
  </si>
  <si>
    <t>0, not available, not available | Recycled/Scrap, Recycled, Scrap, Recyled/Scrap, Unknown, Unknown, but some recycled/scrap</t>
  </si>
  <si>
    <t>Mineral sourcing R/S based on RMAP-RMI's RCOI data, R/S, R/S | Recycled/Scrap Only | Recycled/Scrap, Recycled, Scrap, Recycled/Scrap Only, Recycled/Scrap Only | R/S | Recycled/Scrap, Recycled/Scrap, Korea, Australia, Brazil, South Africa, Japan, China, Kazakhstan, Saudi Arabia, Panama, Taiwan, Germany, Recyled/Scrap, Republic Of Korea, Republic Of Korea | Recycled, Scrap | R/S | Recycled/Scrap Only, Republic of Korea, recycled/scrap, Unknown</t>
  </si>
  <si>
    <t>No, Unknown, Yes</t>
  </si>
  <si>
    <t>0, Compliant, Compliant Conformant, Conformant, Conformant Smelter, Conformant Smelter according to RMI, last cycle in 22.12.2017 with a cycle of 3 Years, RMAP Conformant, this smelter is only used in product WE-XTAL</t>
  </si>
  <si>
    <t>CID001977</t>
  </si>
  <si>
    <t>Umicore Brasil Ltda.</t>
  </si>
  <si>
    <t>Guarulhos</t>
  </si>
  <si>
    <t xml:space="preserve">	São Paulo</t>
  </si>
  <si>
    <t>Andre Alves</t>
  </si>
  <si>
    <t>andre.alves@am.umicore.com</t>
  </si>
  <si>
    <t>None, CFS Certified, None, conformant to protocol</t>
  </si>
  <si>
    <t>Recycled or Scrap, Recycled or Scrap | RCOI confirmed as per RMI but not disclosed by LBMA, Unknown</t>
  </si>
  <si>
    <t>Austria, Brazil, Japan, Known Countries from which LBMA Good Delivery List Refiners Source - Mined  Material (Provided by LBMA) | RCOI confirmed as per RMI but not disclosed by LBMA | Austria, Japan, Brazil | Guarulhos, São Paulo, Unknown</t>
  </si>
  <si>
    <t xml:space="preserve">RCOI confirmed per RMI, RMAP Conformant Smelter/Refiner, under investigation / recertification </t>
  </si>
  <si>
    <t>Umicore SA Business Unit Precious Metals Refining</t>
  </si>
  <si>
    <t>Belgium</t>
  </si>
  <si>
    <t>Hoboken</t>
  </si>
  <si>
    <t>Antwerp</t>
  </si>
  <si>
    <t>CID001993</t>
  </si>
  <si>
    <t>United Precious Metal Refining, Inc.</t>
  </si>
  <si>
    <t>2781 Townline Road, Alden, NY 14004 USA</t>
  </si>
  <si>
    <t>Alden</t>
  </si>
  <si>
    <t>Anthony Arricale, Anthony Arricale
Michael Mikolay, Gold, Michael Mikolay, Mr. Michael Mikolay, NA, Ôita</t>
  </si>
  <si>
    <t>aarricale@unitedpmr.com, aarricale@unitedpmr.com
MMikolay@unitedpmr.com, MMikolay@unitedpmr.com, NA, United Precious Metal Refining, Inc.</t>
  </si>
  <si>
    <t>Conformant- Reaudit In Progress, Conformant-audited by RMI (members / partners)- valid until 03/24/2023, NA, no action need, No Action Required as company is RMAP conformant, None Required - CFSI certifed conflict free, None Required - RMI  certifed conflict free, None Required - RMI  certified conflict free, None, CFS Certified, Reaudit In Progress, Supplier contacts: hyeju.lee@amkor.com; catherine.pelissonnier@st.com; (Phiron) nancy.joy@materion.com; Infineon Customer Contact @infineon.com;  jeffery.hung@awsc.com.tw; os.materialdeclaration@jenoptik.com; nadine.jahn@aim-micro-systems.de; lisa.bjornson@sanmina.com; theodore.knudson@materion.com; yushin@harvatek.com; Emily_Hsieh@epistar.com; t.gruber@ats.net; Ravikumar.Ramachandran@fci.com, United Precious Metal Refining, Inc.</t>
  </si>
  <si>
    <t>0, LR, R/S, NA, No information, RCOI confirmed per RMI, Recycled, Recycled and scrap, and mines not disclosed by supplier, Recycled or Scrap | Some are recycled or scrap sourced but not all. | Recyled scrap material | Some are recycled or scrap sourced but not all | Recycled | Recycled scrap material | Recycled or Scrap | Some are recycled or scrap sourced but not all | Some are recycled or scrap sourced but not all. | recycled | Recyled scrap material | Recycled | Recycled, Scrap and mines | Recycled scrap material | recycled | Recycled, Scrap and mines | Recycled, Scrap and mines, not disclosed by supplier, Recycled or scrap, and mining not disclosed by supplier, Recycled or scrap, and mining not disclosed by supplier | Recycle or Scrap | RCOI confirmed per RMI | Recycled scrap material | Recycled, Recycled scrap material, Recycled, Scrap and mines, Recycled, Scrap and mines | Some are recycled or scrap sourced but not all | scrap, Recyled scrap material, Scrap, Some are recycled or scrap sourced but not all, Some are recycled or scrap sourced but not all. , Some are recyled/scrap sourced but not all., UNITED STATES OF AMERICA, Unknown, but some recycled/scrap</t>
  </si>
  <si>
    <t>Australia, Belgium, Benin, Bolivia (Plurinational State of), Burkina Faso, Canada, Chile, China, Colombia, Ecuador, Eritrea, Ghana, Guatemala, Guinea, Guyana, Indonesia, Japan, Peru, Recycled/Scrap, Russian Federation, Switzerland, Thailand, United States, Australia, Belgium, Bolivia, Canada, China, Indonesia, Japan, Peru, Russia, Switzerland, Thailand, USA, recycled/scrap, Canada, Russia, Belgium, USA, Japan, China, Thailand, Bolivia, Australia, Switzerland, Peru, Indonesia, Recycled/Scrap, Canada, Russia, Belgium, USA, Japan, China, Thailand, Bolivia, Australia, Switzerland, Peru, Indonesia, Recycled/Scrap;Recycled/Scrap, United States, Canada, Australia, Japan, Peru, Belgium, China, Indonesia, Thailand, Switzerland, Russian Federation, Eritrea, Bolivia (Plurinational State of), Guyana, Chile, Colombia, Ecuador, Ghana, Guinea, Benin, Burkina Faso, Guatemala, Honduras, Mali, Nicaragua, Panama, Senegal, Togo, Argentina, Austria, Brazil, Germany, India, Malaysia, Namibia, Niger, Nigeria, Sierra Leone, Spain, Zimbabwe, Ethiopia, Mongolia, Portugal, Cambodia, Egypt, Estonia, France, Hungary, Ireland, Israel, Kazakhstan, Korea, Luxembourg, Madagascar, Myanmar, Netherlands, Singapore, Slovakia, Suriname, Taiwan, United Kingdom, Djibouti, Viet Nam, Mexico, Mozambique, Armenia, Azerbaijan, Bahamas, Barbados, Belarus, Bosnia and Herzegovina, Botswana, Bulgaria, Burundi, Cameroon, Croatia, Cyprus, Democratic Republic of Congo, Denmark, Dominica, Dominican Republic, El Salvador, Fiji, Finland, Gabon, Gambia, Georgia, Greece, Hong Kong, Iceland, Iran, Italy, Jordan, Kuwait, Kyrgyzstan, Latvia, Lebanon, Liberia, Libya, Liechtenstein, Lithuania, Malta, Mauritania, Mauritius, Morocco, New Caledonia, New Zealand, Norway, Oman, Pakistan, Papua New Guinea, Philippines, Poland, Puerto Rico, Romania, Rwanda, San Marino, Saudi Arabia, Serbia, Slovenia, Solomon Islands, Sweden, Tajikistan, Tanzania, Trinidad and Tobago, Tunisia, Turkey, Uganda, Ukraine, United Arab Emirates, Uruguay, Uzbekistan, Yemen, Zambia, Canada, Russian Federation, Belgium, United States, China, Japan, Bolivia, Australia, Thailand, Switzerland, Peru, Indonesia, Canada, Russian Federation, Belgium, United States, China, Japan, Thailand, Australia, Bolivia, Switzerland, Peru, Indonesia, Canada, Russian Federation, Belgium, United States, Japan, China, Bolivia, Australia, Thailand, Peru, Switzerland, Indonesia, Canada, Russian Federation, Belgium, United States, Japan, China, Thailand, Bolivia, Australia, Peru, Switzerland, Indonesia, CID001993,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Excludes Covered Countries and CAHRA | Mineral sourcing LR, R/S based on RMAP-RMI's RCOI data | Canada, Russia, Belgium, USA, Japan, China, Thailand, Bolivia, Australia, Switzerland, Peru, Indonesia, Recycled/Scrap | RCOI confirmed per RMI | Recycled | Recycled etc., L1, R/S | Recycled/Scrap Only | R/S | Canada, Russian Federation, Belgium, United States, China, Japan, Thailand, Bolivia, Australia, Peru, Switzerland, Indonesia | Some are recycled or scrap sourced but not all. | Recycled scrap material | Some are recycled or scrap sourced but not all | USA | Excludes Covered Countries | Mineral sourcing L1,R/S, Not disclosed by supplier | L1, R/S | R/S | Recycled/Scrap Only | Some are recycled or scrap sourced but not all | Canada, Russian Federation, Belgium, United States, China, Japan, Thailand, Bolivia, Australia, Peru, Switzerland, Indonesia | Some are recycled or scrap sourced but no | Canada, Russian Federation, Belgium, United States, Japan, China, Thailand, Bolivia, Australia, Switzerland, Peru, Indonesia | recycled | 2781 Townline Road, Alden, NY 14004 USA | Mineral sourcing L1,R/S, not disclosed by RMI, L1, R/S | Some are recycled or scrap sourced but not all | scrap | Canada, Russian Federation, Belgium, United States, Japan, China, Bolivia, Australia, Thailand, Peru, Switzerland, Indonesia | 2781 Townline Road, Alden, NY 14004 USA, LR, R/S, Mineral sourcing LR, R/S based on RMAP-RMI's RCOI data, Mineral sourcing LR,R/S based on RMAP-RMI's RCOI data, NA, No information, RCOI confirmed per RMI, Recycled , Recycled etc., Recycled scrap material, Recycled/Scrap, United States, Canada, Australia, Japan, Peru, Belgium, China, Indonesia, Thailand, Switzerland, Russian Federation, Some are recycled or scrap sourced but not all, Some are recycled or scrap sourced but not all. , Some are recyled/scrap sourced but not all., Unknown</t>
  </si>
  <si>
    <t>Compliant, COMPLIANT 09/22/2015, Compliant Conformant, Conformant, Conformant Smelter, Conformant smelter according to RMI, audit valid until 2021, reassessment in progress, Conformant Smelter according to RMI, last cycle in 20.09.2019 with a cycle of 1 Year, RCOI confirmed as per RMAP (LBMA Good Delivery List Refiners Source - Mined  Material, LBMA Good Delivery List Refiners Source - Recycled Material, and/or RJC Refiners Source - Mined  Material), RCOI confirmed per RMI, RMAP Conformant, RMAP Conformant Smelter, RMAP Conformant Smelter / RCOI confirmed per RMI, SC, This smelter is RMI Conformant.
http://www.responsiblemineralsinitiative.org/gold-refiners-list/, www.unitedpmr.com</t>
  </si>
  <si>
    <t>CID002854</t>
  </si>
  <si>
    <t>Universal Precious Metals Refining Zambia</t>
  </si>
  <si>
    <t>Zambia</t>
  </si>
  <si>
    <t>Lusaka</t>
  </si>
  <si>
    <t>CID003427</t>
  </si>
  <si>
    <t>Albasteel Industria e Comercio de Ligas Para Fundicao Ltd.</t>
  </si>
  <si>
    <t>CID003553</t>
  </si>
  <si>
    <t>Artek LLC</t>
  </si>
  <si>
    <t>Moscow</t>
  </si>
  <si>
    <t>Moskva</t>
  </si>
  <si>
    <t>CID003609</t>
  </si>
  <si>
    <t>Fujian Xinlu Tungsten Co., Ltd.</t>
  </si>
  <si>
    <t>Fujian Xinlu Tungsten</t>
  </si>
  <si>
    <t>Longyan</t>
  </si>
  <si>
    <t>Fujian Sheng</t>
  </si>
  <si>
    <t>Suwei Zou</t>
  </si>
  <si>
    <t>zou.suwei@cxtc.com</t>
  </si>
  <si>
    <t>Conformant-audited by RMI (members / partners)- valid until 09/08/2025, Supplier contacts: lisa.bjornson@sanmina.com</t>
  </si>
  <si>
    <t>No information, Not disclosed by supplier, Unknown</t>
  </si>
  <si>
    <t>Due diligence results pending, Includes Covered Countries and CAHRA, Includes Covered Countries and CAHRA | Mineral sourcing LR based on RMAP-RMI's RCOI data, Mineral sourcing LR based on RMAP-RMI's RCOI data, No information, No known country of origin, Unknown</t>
  </si>
  <si>
    <t>Compliant, Compliant Conformant, Conformant, RMAP Conformant Smelter</t>
  </si>
  <si>
    <t>CID000004</t>
  </si>
  <si>
    <t>ALMT Sumitomo Group</t>
  </si>
  <si>
    <t>Toyama City</t>
  </si>
  <si>
    <t>Toyama</t>
  </si>
  <si>
    <t>CID000045</t>
  </si>
  <si>
    <t>Alta Group</t>
  </si>
  <si>
    <t>Argor-Heraeus S.A.</t>
  </si>
  <si>
    <t>CID002641</t>
  </si>
  <si>
    <t>China Molybdenum Tungsten Co., Ltd.</t>
  </si>
  <si>
    <t>China Molybdenum Co., Ltd.</t>
  </si>
  <si>
    <t>He Yu Village, He Yu Town, Luanchuan County, Luoyang City, Henan Province</t>
  </si>
  <si>
    <t>Yanhua Liu</t>
  </si>
  <si>
    <t>liuyanhua@cn.cmoc.com</t>
  </si>
  <si>
    <t>Conformant-audited by RMI (members / partners)- valid until 12/28/2024, Supplier contacts: hyeju.lee@amkor.com; Infineon Customer Contact @infineon.com; lisa.bjornson@sanmina.com</t>
  </si>
  <si>
    <t>0, No information, Not disclosed by supplier, Unknown, Unknown, but some recycled/scrap</t>
  </si>
  <si>
    <t>0, Austria, Brazil, China, Japan, Liechtenstein, Recycled/Scrap, China, Austria, Brazil, Japan, Recycled/Scrap, Liechtenstein, Due diligence results pending, Excludes Covered Countries and CAHRA, Excludes Covered Countries and CAHRA | Mineral sourcing LR based on RMAP-RMI's RCOI data, Mineral sourcing LR based on RMAP-RMI's RCOI data, No information, No known country of origin, Unknown, but no reason to believe sources from covered countries</t>
  </si>
  <si>
    <t>Compliant, Compliant Conformant, Conformant, Conformant smelter according to RMI, audit valid until 2022, Conformant Smelter according to RMI, last cycle in 23.10.2020 with a cycle of 1 Year, RCOI confirmed per RMI</t>
  </si>
  <si>
    <t>CID000258</t>
  </si>
  <si>
    <t>Zhangyuan Tungsten Co Ltd</t>
  </si>
  <si>
    <t>Chongyi Zhangyuan Tungsten Co., Ltd.</t>
  </si>
  <si>
    <t>Ganzhou</t>
  </si>
  <si>
    <t>Ganzhou Jiangwu Ferrotungsten Co., Ltd.</t>
  </si>
  <si>
    <t>CID002316</t>
  </si>
  <si>
    <t>CID002317</t>
  </si>
  <si>
    <t>CID002318</t>
  </si>
  <si>
    <t>CID002319</t>
  </si>
  <si>
    <t>CID002320</t>
  </si>
  <si>
    <t>CID000281</t>
  </si>
  <si>
    <t>CNMC (Guangxi) PGMA Co., Ltd.</t>
  </si>
  <si>
    <t>Hezhou</t>
  </si>
  <si>
    <t>Guangxi Zhuangzu Zizhiqu</t>
  </si>
  <si>
    <t>0, China, Recycled/Scrap, Due diligence results pending, No known country of origin, Unknown, Unknown, but no reason to believe sources from covered countries</t>
  </si>
  <si>
    <t>CID001508</t>
  </si>
  <si>
    <t>QuantumClean</t>
  </si>
  <si>
    <t>2501 Camp Avenue, Carrollton, TX 75006 USA</t>
  </si>
  <si>
    <t>Carrollton</t>
  </si>
  <si>
    <t>Texas</t>
  </si>
  <si>
    <t>Dave Zuck; Jeff Haslem, Debie Laughlin, Tim Burrows, Western Australia</t>
  </si>
  <si>
    <t>Dave.Zuck@quantumclean.com;  jeff.haslem@quantumclean.com, DLaughlin@uct.com, Tim.Burrows@quantumclean.com</t>
  </si>
  <si>
    <t>Conformant-Reaudit In Progress, No Action Required as company is RMAP conformant, None, CFS Certified, Reaudit In Progress, Supplier contacts: Infineon Customer Contact @infineon.com; yushin@harvatek.com</t>
  </si>
  <si>
    <t>0, No information, Recycled, Scrap, Recycled, Scrap | Recycled and scrap, Recycled, scrap | Recycled/Scrap, Recycled/Scrap | Recycled/Scrap | Recycled, Scrap | Recycled, scrap | Recycled, scrap | Not disclosed by supplier, Recyled/Scrap, Unknown, but some recycled/scrap</t>
  </si>
  <si>
    <t>Australia, Bolivia (Plurinational State of), Brazil, Burundi, Canada, China, Eritrea, Ethiopia, India, Indonesia, Mozambique, Namibia, Niger, Nigeria, Poland, Recycled/Scrap, Russian Federation, Rwanda, Sierra Leone, Switzerland, United States, Zimbabwe, Australia, Bolivia, Brazil, Ethiopia, India, Mozambique, Namibia, Rwanda, Sierra Leone, Zimbabwe, Recycled/Scrap, DRC or an adjoining country (Covered Countries), Burundi, Nigeria, China, USA, Poland, Burundi, Rwanda, Australia, Bolivia, Brazil, China, Ethiopia, India, Mozambique, Namibia, Nigeria, Poland, Sierra Leone, USA, Zimbabwe, recycled/scrap, DRC, Burundi, Rwanda, Australia, Bolivia, Brazil, Canada, Chile, China, Eritrea, Ethiopia, India, Indonesia, Japan, Mozambique, Namibia, Niger, Nigeria, Peru, Poland, Russia, Sierra Leone, Switzerland, USA, Zimbabwe, Recycled/Scrap, Mineral sourcing R/S, Mineral sourcing R/S based on RMAP-RMI's RCOI data, No information, R/S, R/S | Recycled/Scrap | United States, Brazil, Poland | 2501 Camp Avenue, Carrollton, TX 75006 USA, R/S | Recycled/Scrap Only | United States, Brazil, Poland | Recycled/Scrap | R/S | Recycled/Scrap Only | Recycled/Scrap | United States, Brazil, Poland | Does not source from DRC or covered countries | Mineral sourcing R/S | 2501 Camp Avenue, Carrollton, TX 75006 USA | Not disclosed by RMI, Recycled, Scrap, Recycled/Scrap Only, Recycled/Scrap Only | Mineral sourcing R/S | Australia, Bolivia, Brazil, Ethiopia, India, Mozambique, Namibia, Rwanda, Sierra Leone, Zimbabwe, Recycled/Scrap, DRC or an adjoining country (Covered Countries), Burundi, Nigeria, China, USA, Poland, Recycled/Scrap, United States, Brazil, Poland, China, Australia, Ethiopia, India, Mozambique, Namibia, Rwanda, Sierra Leone, Zimbabwe, Burundi, Niger, Nigeria, Recycled/Scrap, United States, Brazil, Poland, China, Australia, Ethiopia, India, Mozambique, Namibia, Rwanda, Sierra Leone, Zimbabwe, Burundi, Niger, Nigeria, Eritrea, Bolivia (Plurinational State of), Russian Federation, Switzerland, Indonesia, Canada, Chile, Japan, Peru, Recyled/Scrap, United States, Brazil, Poland, United States, Poland, Brazil</t>
  </si>
  <si>
    <t>0, Compliant, Compliant Conformant, Conformant, Conformant Smelter, Conformant smelter according to RMI, audit valid until 2020, reassessment in progress, Conformant Smelter according to RMI, last cycle in 27.02.2019 with a cycle of 1 Year, RMAP Conformant</t>
  </si>
  <si>
    <t>CID002707</t>
  </si>
  <si>
    <t>Resind Indústria e Comércio Ltda.</t>
  </si>
  <si>
    <t>Resind Industria e Comercio Ltda.</t>
  </si>
  <si>
    <t>Rodovia BR 265 - Km 264 - Distrido Industrial de São João Del Rei - Minas gerais, CEP: 36315-000</t>
  </si>
  <si>
    <t>Minas gerais</t>
  </si>
  <si>
    <t>Daniel Clemente, Jeollabuk-do, Marilda Frigieri</t>
  </si>
  <si>
    <t>Desenvolvimento@resind.com.br, mfrigieri@terra.com.br</t>
  </si>
  <si>
    <t>Conformant, Conformant-Reaudit In Progress, No Action Required as company is RMAP conformant, None, CFS Certified, None; conformant to RMAP protocol, Supplier contacts: Infineon Customer Contact @infineon.com; yushin@harvatek.com, Validated by RMI until 05/09/2022</t>
  </si>
  <si>
    <t>0, LR, No information, Not disclosed by supplier, Not disclosed by supplier | RCOI confirmed as per RMI, RCOI confirmed as per RMI | not available | Not disclosed by supplier | Not disclosed by supplier, RCOI confirmed as per RMI., RCOI confirmed per RMI, Sourced from Mines/Recyale/Scrap | Not disclosed by supplier, Unknown, Unknown, but some recycled/scrap</t>
  </si>
  <si>
    <t>Argentina, Australia, Bolivia (Plurinational State of), Brazil, China, Eritrea, Ethiopia, France, Guinea, Guyana, India, Madagascar, Malaysia, Namibia, Niger, Nigeria, Recycled/Scrap, Russian Federation, Sierra Leone, Thailand, United States, Zimbabwe, Brazil, Brazil, Recycled/Scrap, United States, China, Australia, Ethiopia, Guinea, Guyana, India, Malaysia, Namibia, Niger, Nigeria, Russian Federation, Sierra Leone, Thailand, Zimbabwe, Bolivia (Plurinational State of), France, Madagascar, Eritrea, Argentina, Austria, Canada, Germany, Ghana, Indonesia, Japan, Mexico, Mongolia, Peru, Portugal, Spain, Mozambique, Turkey, Liechtenstein, Armenia, Azerbaijan, Bahamas, Barbados, Belarus, Belgium, Benin, Bosnia and Herzegovina, Botswana, Bulgaria, Burkina Faso, Cambodia, Cameroon, Chile, Colombia, Croatia, Cyprus, Denmark, Dominica, Dominican Republic, Ecuador, Egypt, El Salvador, Estonia, Fiji, Finland, Gabon, Gambia, Georgia, Greece, Guatemala, Honduras, Hong Kong, Hungary, Iceland, Iran, Ireland, Israel, Italy, Jordan, Kazakhstan, Korea, Kuwait, Kyrgyzstan, Latvia, Lebanon, Liberia, Libya, Lithuania, Luxembourg,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Ukraine, United Arab Emirates, United Kingdom, Uruguay, Uzbekistan, Yemen,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Due diligence results pending, Excludes Covered Countries, Excludes Covered Countries | No known country of origin | RCOI confirmed as per RMI | Excludes Covered Countries | No known country of origin | L1 | Does not source from DRC or covered countries | Mineral sourcing L1, not disclosed by supplier | Rodovia BR 265 - Km 264 - Distrido Industrial de São João Del Rei - Minas gerais, CEP: 36315-000 | LR | Mineral sourcing L1, not disclosed by RMI | L1, Excludes Covered Countries and CAHRA, Excludes Covered Countries and CAHRA | Mineral sourcing LR based on RMAP-RMI's RCOI data | From Brazil, From Brazil, L1 | LR | RCOI confirmed as per RMI | Rodovia BR 265 - Km 264 - Distrido Industrial de São João Del Rei - Minas gerais, CEP: 36315-000, LR, Mineral sourcing LR based on RMAP-RMI's RCOI data, No information, No known country of origin, RCOI confirmed as per RMI., RCOI confirmed per RMI, Unknown, but no reason to believe sources from covered countries</t>
  </si>
  <si>
    <t>Compliant, Compliant Conformant, Conformant, Conformant Smelter, Conformant smelter according to RMI, audit valid until 2022, Conformant Smelter according to RMI, last cycle in 09.05.2019 with a cycle of 3 Years, Listed on CFSI Conflict Free Smelter List, RCOI confirmed per RMI, RMAP Conformant</t>
  </si>
  <si>
    <t>RFH</t>
  </si>
  <si>
    <t>Hunan</t>
  </si>
  <si>
    <t>CID001522</t>
  </si>
  <si>
    <t>Yanling Jincheng Tantalum &amp; Niobium Co., Ltd.</t>
  </si>
  <si>
    <t>Solikamsk Metal Works</t>
  </si>
  <si>
    <t>Solikamsk</t>
  </si>
  <si>
    <t>CID001769</t>
  </si>
  <si>
    <t>Solikamsk Magnesium Works OAO</t>
  </si>
  <si>
    <t>Solikamsk Magnesium Works OAO, 9 Pravda Str, Solikamsk Perm Region 618541, Russia</t>
  </si>
  <si>
    <t>Permskiy kray</t>
  </si>
  <si>
    <t>Andrei Kudlai, Kanagawa, Mr. Andrei Kudlai (Head of Marketing), Mr. Dmitry L. Melnik, Valery Vydrin Mikhail Ivashov</t>
  </si>
  <si>
    <t>akudlai@smw.ru, smw@smw.ru, vgv@szd.ru ivashov@szd.ru</t>
  </si>
  <si>
    <t>Conformant, No Action Required as company is RMAP conformant, None, CFS Certified, None; conformant to RMAP protocol, Validated by RMI until 10/31/2021</t>
  </si>
  <si>
    <t>0, From Lovozerskiy Mining &amp;amp; Concentration Works OOO, From Lovozerskiy Mining &amp;amp; Concentration Works OOO | RCOI confirmed as per RMI, L1, Lovozerskiy Mining &amp;amp; Concentration Works, No information, Not disclosed by supplier | RCOI Confirmed as per CSFI | RCOI confirmed as per RMI | From Lovozerskiy Mining &amp;amp; Concentration Works | RCOI confirmed as per CFSI | Not disclosed by supplier | RCOI Confirmed as per CSFI | From Lovozerskiy Mining &amp;amp; Concentration Works OOO | From Lovozerskiy Mining &amp;amp; Concentration Works OOO, RCOI confirmed as per RMI., RCOI confirmed per RMI</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</si>
  <si>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Suriname, Switzerland, Taiwan, Thailand, United Kingdom, USA, Vietnam, Zimbabwe, Argentina, Austria, Belgium, Brazil, Cambodia, Canada, Chile, China, Colombia, Ecuador, Ethiopia, Germany, Guyana, Hungary, India, Japan, Kazakhstan, Korea, Luxembourg, Malaysia, Mongolia, Myanmar, Namibia, Peru, Portugal, Recycled/Scrap, Taiwan, Thailand, DRC, Burundi, Rwanda,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Mongolia, Myanmar, Namibia, Netherlands, Nicaragua, Niger, Nigeria, Panama, Peru, Philippines, Portugal, Republic of Korea, Russia, Sierra Leone, Singapore, Slovakia, Spain, Suriname, Switzerland, Taiwan, Thailand, Togo, USA, United Kingdom, Uzbekistan, Vietnam, Zimbabwe, Recycled/Scrap, Excludes Covered Countries, Excludes Covered Countries and CAHRA, L1, L1 | Excludes Covered Countries | Myanmar, Cambodia, Malaysia, Kazakhstan, Portugal, Mongolia, Austria, Luxembourg, Guyana, Korea, Republic of, Brazil, Chile, Laos, Colombia, Ecuador, Argentina, Hungary, Japan, India, Canada, Belgium, Namibia, Taiwan, Peru, Germany, Ethiopia, Russian Fede | RCOI Confirmed as per CSFI | RCOI confirmed as per RMI | Mineral sourcing L1, Not disclosed by supplier | L1 | Excludes Covered Countries | RCOI confirmed as per CFSI | Myanmar, Cambodia, Malaysia, Kazakhstan, Portugal, Mongolia, Austria, Luxembourg, Guyana, Korea, Republic of, Brazil, Chile, Laos, Colombia, Ecuador, Argentina, Hungary, Japan, India, Canada, | Myanmar, Cambodia, Malaysia, Kazakhstan, Portugal, Mongolia, Austria, Luxembourg, Korea, Republic of, Brazil, Guyana, Chile, Laos, Ecuador, Colombia, Argentina, Hungary, Japan, India, Canada, Belgium, Namibia, Taiwan, Peru, Germany, Ethiopia, Russian Fede | Solikamsk Magnesium Works OAO, 9 Pravda Str, Solikamsk Perm Region 618541, Russia | Russia | Mineral sourcing L1, Russia, L1 | RCOI confirmed as per RMI | Myanmar, Cambodia, Malaysia, Kazakhstan, Portugal, Mongolia, Austria, Luxembourg, Guyana, Korea, Republic of, Brazil, Chile, Laos, Ecuador, Colombia, Argentina, Hungary, Japan, India, Canada, Belgium, Namibia, Taiwan, Peru, Germany, Ethiopia, Russian Fede | Solikamsk Magnesium Works OAO, 9 Pravda Str, Solikamsk Perm Region 618541, Russia, Mineral sourcing L1 based on RMAP-RMI's RCOI data, Myanmar, Cambodia, Malaysia, Kazakhstan, Portugal, Austria, Mongolia, Luxembourg, Brazil, Korea, Republic of, Guyana, Chile, Laos, Ecuador, Colombia, Argentina, Hungary, Japan, India, Canada, Belgium, Namibia, Taiwan, Peru, Germany, Ethiopia, Russian Federation, Singapore, Viet Nam, United States, Egypt, Sierra Leone, Madagascar, Ivory Coast, Thailand, Bolivia, Netherlands, China, Ireland, Slovakia, Nigeria, France, United Kingdom, Switzerland, Djibouti, Czech Republic, Zimbabwe, Suriname, Israel, Australia, Estonia, Indonesia, Myanmar, Cambodia, Malaysia, Kazakhstan, Portugal, Austria, Mongolia, Luxembourg, Guyana, Brazil, Korea, Republic of, Chile, Laos, Colombia, Ecuador, Argentina, Hungary, Japan, India, Canada, Belgium, Namibia, Taiwan, Peru, Ethiopia, Germany, Russian Federation, Singapore, Viet Nam, United States, Egypt, Madagascar, Sierra Leone, Ivory Coast, Bolivia, Thailand, Netherlands, China, Ireland, Slovakia, France, Nigeria, United Kingdom, Switzerland, Djibouti, Czech Republic, Zimbabwe, Suriname, Israel, Australia, Estonia, Indonesia, Myanmar, Cambodia, Malaysia, Kazakhstan, Portugal, Austria, Mongolia, Luxembourg, Korea, Republic of, Guyana, Brazil, Chile, Laos, Ecuador, Colombia, Argentina, Hungary, Japan, India, Canada, Belgium, Namibia, Taiwan, Peru, Germany, Ethiopia, Russian Federation, Singapore, Viet Nam, United States, Egypt, Madagascar, Sierra Leone, Ivory Coast, Thailand, Bolivia, Netherlands, Ireland, China, Slovakia, Nigeria, France, United Kingdom, Switzerland, Djibouti, Czech Republic, Zimbabwe, Suriname, Israel, Australia, Indonesia, Estonia, 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 No information, RCOI confirmed as per RMI., RCOI confirmed per RMI, 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 Recycled/Scrap, Brazil, Malaysia, India, Guyana, Namibia, Ethiopia, Japan, Colombia, Mongolia, Myanmar, Portugal, Canada, Argentina, Austria, Chile, Ecuador, Belgium, Cambodia, Hungary, Kazakhstan, Korea, Luxembourg, Peru, Germany, China, Thailand, Australia, France, Madagascar, Niger, Nigeria, Sierra Leone, United States, Zimbabwe, Indonesia, Ireland, United Kingdom, Netherlands, Djibouti, Egypt, Estonia, Israel, Singapore, Slovakia, Suriname, Switzerland, Burundi, Rwanda, Russian Federation, Taiwan, Viet Nam, Bolivia (Plurinational State of), Guinea, Mali, Spain, Uzbekistan, Ghana, Panama, Philippines, Benin, Eritrea, Mauritania, Nicaragua, Togo</t>
  </si>
  <si>
    <t>Compliant, Compliant Conformant, Conformant, Conformant Smelter, Conformant smelter according to RMI, audit valid until 2021, reassessment in progress, Conformant Smelter according to RMI, last cycle in 31.10.2018 with a cycle of 3 Years, Listed on CFSI Conflict Free Smelter List, RCOI confirmed per RMI, RMAP Conformant</t>
  </si>
  <si>
    <t>CID001869</t>
  </si>
  <si>
    <t>Taki Chemicals</t>
  </si>
  <si>
    <t>Taki Chemical Co., Ltd.</t>
  </si>
  <si>
    <t>Taki Chemical Co. Ltd., 346, Miyanishi, Harima-Cho, Kako-gun, Hyogo-ken, 675-0145, Japan</t>
  </si>
  <si>
    <t>Harima</t>
  </si>
  <si>
    <t>Conflidential, Henan, Mr. Yukihiko Yoshimi, Taki Chemical Co. Lt, Yukihiko Yoshimi</t>
  </si>
  <si>
    <t>0, Confidential, yoshimi@takichem.co.jp</t>
  </si>
  <si>
    <t>Conformant-audited by RMI (members / partners)- valid until 09/30/2022, Conformant-audited by RMI (members / partners)- valid until 10/14/2023, No Action Required as company is RMAP conformant, None, CFS Certified, Supplier contacts: Infineon Customer Contact @infineon.com; yushin@harvatek.com, Validated by RMI until 09/25/2022</t>
  </si>
  <si>
    <t>0, No information, R/S, Recycled, Scrap, Recycled, Scrap and mines, Recycled, Scrap and mines | Some are recycled, scrap or covered countries sourced but not all, Recyled/Scrap, Some are recycled, scrap or cover countries sourced but not all. | Some are recycled, scrap or covered countries sourced but not all | Not disclosed by supplier | Recycled | Some are recycled, scrap or covered countries sourced but not all | Some are recycled, scrap or cover countries sourced but not all. | Recycled, Scrap and mines | Recycled, Scrap and mines, Some are recycled/scrap, high risk countries, and covered countries sourced but not all., Sourced from Mines/Recyale/Scrap | Recycled, Scrap, Unknown, but some recycled/scrap</t>
  </si>
  <si>
    <t>Angola, Argentina, Austria, Brazil, Burundi, Cambodia, Canada, Chile, Colombia, Congo, Ecuador, Guyana, Hungary, India, Japan, Kazakhstan, Korea, Luxembourg, Malaysia, Mongolia, Myanmar, Portugal, Recycled/Scrap, Rwanda, South Sudan, Sudan, Tanzania, Zambia, Angola, Burundi, Central African Republic, Congo Republic, Rwanda, South Sudan, Tanzania, Uganda, Zambia,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Burundi,Rwanda, CC, R/S | Some are recycled, scrap or covered countries sourced but not all | Myanmar, Angola, Cambodia, Malaysia, Kazakhstan, Portugal, Austria, Mongolia, Luxembourg, Guyana, Brazil, Korea, Republic of, Chile, Laos, Colombia, Ecuador, Argentina, South Sudan, Hungary, Japan, Tanzania, Zambia, Congo (Brazzaville), India, Canada, Bel | the DRC or an adjoining country(covered countries) | Taki Chemical Co. Ltd., 346, Miyanishi, Harima-Cho, Kako-gun, Hyogo-ken, 675-0145, Japan, DRC, Angola, Burundi, Central African Republic, Rwanda, South Sudan, Tanzania, Uganda, Zambia, Andorra, Argentina, Australia, Austria, Belgium, Bolivia, Brazil, Cambodia, Canada, Chile, China, Colombia, Djibouti, Ecuador, Egypt, Eritrea, Estonia, Ethiopia, France, Germany, Guinea, Guyana, Hong Kong, Hungary, India, Indonesia, Ireland, Israel, Ivory Coast, Japan, Kazakhstan, Laos, Luxembourg, Madagascar, Malaysia, Mongolia, Myanmar, Namibia, Netherlands, Niger, Nigeria, Panama, Peru, Portugal, Republic of Korea, Russia, Sierra Leone, Singapore, Slovakia, Spain, Sudan, Suriname, Sweden, Switzerland, Taiwan, Thailand, USA, United Kingdom, Vietnam, Zimbabwe, Recycled/Scrap, Includes Covered Countries, L1, R/S | Includes Covered Countries | Myanmar, Angola, Cambodia, Malaysia, Kazakhstan, Portugal, Mongolia, Austria, Luxembourg, Guyana, Korea, Republic of, Brazil, Chile, Laos, Colombia, Ecuador, Argentina, South Sudan, Hungary, Japan, Tanzania, Zambia, Congo (Brazzaville), India, Canada, Bel | L1, L2, L3, R/S | Japan | Some are recycled, scrap or covered countries sourced but not all | Mineral sourcing L1, L3, R/S, Not disclosed by supplier | L1, R/S | L1, L3, R/S | Recycled | Includes Covered Countries | Some are recycled, scrap or covered countries sourced but not all | Myanmar, Angola, Cambodia, Malaysia, Kazakhstan, Portugal, Mongolia, Austria, Luxembourg, Guyana, Korea, Republic of, Brazi | the DRC or an adjoining country(covered countries) | Myanmar, Angola, Cambodia, Malaysia, Kazakhstan, Portugal, Mongolia, Austria, Luxembourg, Guyana, Brazil, Korea, Republic of, Chile, Laos, Colombia, Ecuador, Argentina, Hungary, South Sudan, Japan, Tanzania, Zambia, Congo (Brazzaville), India, Canada, Bel | Taki Chemical Co. Ltd., 346, Miyanishi, Harima-Cho, Kako-gun, Hyogo-ken, 675-0145, Japan | Burundi,Rwanda | CC, R/S | Mineral sourcing CC, R/S, not disclosed by RMI, Mineral sourcing R/S, Mineral sourcing R/S based on RMAP-RMI's RCOI data, Myanmar, Angola, Cambodia, Malaysia, Kazakhstan, Portugal, Austria, Mongolia, Luxembourg, Guyana, Brazil, Korea, Republic of, Chile, Laos, Ecuador, Colombia, Argentina, Hungary, South Sudan, Japan, Tanzania, Zambia, Congo (Brazzaville), India, Canada, Belgium, Namibia, Taiwan, Central African Republic, Peru, Germany, Ethiopia, Russian Federation, Burundi, Singapore, Viet Nam, United States, Egypt, Madagascar, Sierra Leone, Ivory Coast, Thailand, Bolivia, Netherlands, China, Ireland, Slovakia, France, Nigeria, Rwanda, United Kingdom, Switzerland, Spain, Djibouti, Czech Republic, Zimbabwe, Uganda, Suriname, Israel, Australia, Indonesia, Estonia, Myanmar, Angola, Cambodia, Malaysia, Kazakhstan, Portugal, Mongolia, Austria, Luxembourg, Brazil, Guyana, Korea, Republic of, Chile, Laos, Ecuador, Colombia, Argentina, Hungary, South Sudan, Japan, Tanzania, Zambia, Congo (Brazzaville), India, Canada, Belgium, Namibia, Taiwan, Central African Republic, Peru, Ethiopia, Germany, Russian Federation, Burundi, Singapore, Viet Nam, United States, Egypt, Madagascar, Sierra Leone, Ivory Coast, Thailand, Bolivia, Netherlands, Ireland, China, Slovakia, France, Nigeria, Rwanda, United Kingdom, Switzerland, Spain, Djibouti, Czech Republic, Uganda, Zimbabwe, Suriname, Israel, Australia, Indonesia, Estonia, Myanmar, Angola, Cambodia, Malaysia, Kazakhstan, Portugal, Mongolia, Austria, Luxembourg, Brazil, Korea, Republic of, Guyana, Chile, Laos, Colombia, Ecuador, Argentina, South Sudan, Hungary, Japan, Tanzania, Zambia, Congo (Brazzaville), India, Canada, Belgium, Namibia, Taiwan, Central African Republic, Peru, Ethiopia, Germany, Russian Federation, Burundi, Viet Nam, Singapore, United States, Egypt, Madagascar, Sierra Leone, Ivory Coast, Thailand, Bolivia, Netherlands, Ireland, China, Slovakia, France, Nigeria, Rwanda, United Kingdom, Switzerland, Spain, Djibouti, Czech Republic, Uganda, Zimbabwe, Suriname, Israel, Australia, Estonia, Indonesia, Myanmar, Angola, Cambodia, Malaysia, Kazakhstan, Portugal, Mongolia, Austria, Luxembourg, Korea, Republic of, Guyana, Brazil, Chile, Laos, Ecuador, Colombia, Argentina, Hungary, South Sudan, Japan, Tanzania, Zambia, Congo (Brazzaville), India, Canada, Belgium, Namibia, Taiwan, Central African Republic, Peru, Ethiopia, Germany, Burundi, Russian Federation, Singapore, Viet Nam, United States, Egypt, Madagascar, Sierra Leone, Ivory Coast, Thailand, Bolivia, Netherlands, Ireland, China, Slovakia, Nigeria, France, Rwanda, United Kingdom, Switzerland, Spain, Djibouti, Czech Republic, Uganda, Zimbabwe, Suriname, Israel, Australia, Indonesia, Estonia, 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 , 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 No information, R/S, R/S, CC, HR, Recycled, Scrap, Recycled/Scrap Only, Recycled/Scrap Only | Myanmar, Angola, Cambodia, Malaysia, Kazakhstan, Portugal, Mongolia, Austria, Luxembourg, Republic Of Korea, Brazil, Guyana, Chile, Laos, Ecuador, Colombia, Argentina, South Sudan, Hungary, Japan, Tanzania, Zambia, DRC or an adjoining country (Covered Cou | Mineral sourcing R/S | Burundi,Rwanda, Recycled/Scrap, Japan, Burundi, Rwanda, Korea, Canada, Brazil, Guyana, Malaysia, Myanmar, Tanzania, Zambia, Angola, Argentina, Austria, Cambodia, Chile, Colombia, Ecuador, Hungary, Kazakhstan, Luxembourg, Mongolia, Portugal, South Sudan, Sudan, India, China, Australia, United States, Ethiopia, France, Madagascar, Namibia, Sierra Leone, Thailand, Niger, Nigeria, Zimbabwe, Belgium, Central African Republic, Egypt, Germany, Ireland, Netherlands, Peru, Singapore, Slovakia, Indonesia, Uganda, Djibouti, Estonia, Israel, Spain, Suriname, Switzerland, United Kingdom, Congo, Russian Federation, Viet Nam, Taiwan, Panama, Recyled/Scrap</t>
  </si>
  <si>
    <t>Compliant, Compliant Conformant, Conformant, Conformant Smelter, Conformant smelter according to RMI, audit valid until 2022, Conformant Smelter according to RMI, last cycle in 25.09.2020 with a cycle of 1 Year, Listed on CFSI Conflict Free Smelter List, Part or all material comes from Covered Country, RMAP Conformant, RMAP Conformant Smelter, This smelter is CFS. http://www.responsiblemineralsinitiative.org/tantalum-conformant-smelters/, This smelter is CFS.
http://www.conflictfreesmelter.org/CompliantTantalumSmelterList.htm, This smelter is RMI Conformant.
http://www.responsiblemineralsinitiative.org/tantalum-smelters-list/</t>
  </si>
  <si>
    <t>TANIOBIS Co., Ltd.</t>
  </si>
  <si>
    <t>Thailand</t>
  </si>
  <si>
    <t>Map Ta Phut</t>
  </si>
  <si>
    <t>Rayong</t>
  </si>
  <si>
    <t>TANIOBIS GmbH</t>
  </si>
  <si>
    <t>Niedersachsen</t>
  </si>
  <si>
    <t>CID001399</t>
  </si>
  <si>
    <t>PT Babel Inti Perkasa</t>
  </si>
  <si>
    <t>PT Artha Cipta Langgeng</t>
  </si>
  <si>
    <t>Jl. TPA Lingkungan Kenanga Permai Kelurahan Kenanga, Kecamatan Sungailiat, Kabupaten Bangka, Propinsi Kepulauan Kepulauan Bangka Belitung</t>
  </si>
  <si>
    <t>Sungailiat</t>
  </si>
  <si>
    <t>customer care, Isa Suhardiman, NA, Tin</t>
  </si>
  <si>
    <t>info@resources-capital.com, isa.suhardiman@gmail.com, NA, PT Artha Cipta Langgeng</t>
  </si>
  <si>
    <t>Conformant- Reaudit In Progress, Conformant-Reaudit In Progress, N.A. (CFS apporved Smelter), NA, no action need, No Action Required as company is RMAP conformant, None, CFS Certified, PT Artha Cipta Langgeng, Reaudit In Progress, RMI Conformant, Supplier contacts: hyeju.lee@amkor.com; catherine.pelissonnier@st.com; oh-dongho@auk.co.kr; Infineon Customer Contact @infineon.com; nutthaphon@focuz-mfg.com; lisa.bjornson@sanmina.com; theodore.knudson@materion.com; yushin@harvatek.com; andreas.schwender@saxonia-tm.de; Emily_Hsieh@epistar.com; cindy.dodd@avx.com; zenglan.fei@wlcsp.com; Ajeannin@dymax.com; Ravikumar.Ramachandran@fci.com; oh-dongho@auk.co.kr</t>
  </si>
  <si>
    <t>(Offshore) Penyusuk Luar, Penyusuk Dalam,
Simping &amp;amp; (Onshore) Batu Rusa., (Offshore) Penyusuk, Luar, Penyusuk Dalam, Simping &amp;amp; (Onshore) Batu Rusa., 0, Batu Rusa. Sungailiat, Pt Artha Cipta Langge, Recycled/Scrap, Pt Artha Cipta Langgeng, Simping, Penyusuk Dalam, Penyusuk Luar, From Sungailiat, INDONESIA, LR, NA, No information, RCOI confirmed as per RMI., RCOI confirmed per RMI, RCOI confirmed per RMI | (Offshore) Penyusuk, Luar, Penyusuk Dalam, Simping &amp;amp; (Onshore) Batu Rusa. | Sourced from Mines/Recyale/Scrap, Sungailiat, Bangka, Sungailiat, Bangka | RCOI confirmed as per RMI, Sungailiat, Bangka, and recycled/scrap, UNITED STATES OF AMERICA | Sungailiat, Bangka | RCOI confirmed per CFSI. | RCOI confirmed as per RMI | RCOI confirmed as per CFSI | Not disclosed by supplier | Not disclosed by supplier | UNITED STATES OF AMERICA | Sungailiat, Bangka | RCOI confirmed as per CFSI | Pitinga Mine | RCOI confirmed per CFSI. | PT Artha Cipta Langgeng | Pitinga Mine</t>
  </si>
  <si>
    <t>0, Argentina, Australia, Austria, Belgium, Bolivia, Cambodia, Canada, Chile, China, Colombia, Czech Republic, Djibouti, Ecuador, Egypt, Estonia, Ethiopia, France, Germany, Guyana, Hungary, India, Indonesia, Ireland, Israel, Ivory Coast, Japan, Kazakhstan, Laos, Luxembourg, Madagascar, Malaysia, Mexico, Mongolia, Myanmar, Namibia, Netherlands, Nigeria, Peru, Portugal, Republic of Korea, Russia, Sierra Leone, Singapore, Slovakia, Spain, Suriname, Switzerland, Taiwan, Thailand, United Kingdom, USA, Uzbekistan, Vietnam, Zimbabwe, recycled/scrap, Argentina, Austria, Belgium, Brazil, Cambodia, Canada, Chile, China, Colombia, Ecuador, Ethiopia, Germany, Guyana, Hungary, India, Indonesia, Japan, Kazakhstan, Korea, Luxembourg, Malaysia, Mongolia, Myanmar, Namibia, Niger, Peru, Portugal, Recycled/Scrap, Taiwan, CID001399, DRC, Argentina, Australia, Austria, Belgium, Bolivia, Brazil, Cambodia, Canada, Chile, China, Colombia, Djibouti, Ecuador, Egypt, Eritrea,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Suriname, Switzerland, Taiwan, Thailand, USA, United Kingdom, Uzbekistan, Vietnam, Zimbabwe, Recycled/Scrap, Excludes Covered Countries, Excludes Covered Countries and CAHRA, Excludes Covered Countries and CAHRA | RCOI confirmed per RMI | From Indonesia | Indonesia, Myanmar, Cambodia, Malaysia, Kazakhstan, Portugal, Mongolia, Austria, Luxembourg, Republic Of Korea, Guyana, Brazil, Chile, Laos, Colombia, Ecuador, Argentina, Hungary, Japan, India, Canada, Belgium, Namibia, China, Peru, Germany, Ethiopia, Rus, From Indonesia, Indonesia, Indonesia, Myanmar, Cambodia, Malaysia, Kazakhstan, Portugal, Mongolia, Austria, Luxembourg, Republic Of Korea, Guyana, Brazil, Chile, Laos, Colombia, Ecuador, Argentina, Hungary, Japan, India, Canada, Belgium, Namibia, China, Peru, Germany, Ethiopia, Rus;Recycled/Scrap,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 Bolivia (Plurinational State of), Eritrea, Ghana, Guinea, Mozambique, 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 L1, L1 | Excludes Covered Countries | Sungailiat, Bangka | UNITED STATES OF AMERICA | Myanmar, Cambodia, Malaysia, Kazakhstan, Portugal, Austria, Mongolia, Luxembourg, Korea, Republic of, Guyana, Brazil, Chile, Laos, Ecuador, Colombia, Argentina, Hungary, Japan, India, Canada, Belgium, Namibia, Taiwan, Peru, Germany, Ethiopia, Russian Fede | RCOI confirmed per CFSI. | RCOI confirmed as per RMI | RCOI confirmed as per CFSI | Mineral sourcing L1, Not disclosed by supplier | L1 | Excludes Covered Countries | UNITED STATES OF AMERICA | RCOI confirmed as per CFSI | Myanmar, Cambodia, Malaysia, Kazakhstan, Portugal, Austria, Mongolia, Luxembourg, Korea, Republic of, Guyana, Brazil, Chile, Laos, Ecuador, Colombia, Argentina, Hung | Myanmar, Cambodia, Malaysia, Kazakhstan, Portugal, Mongolia, Austria, Luxembourg, Korea, Republic of, Guyana, Brazil, Chile, Laos, Ecuador, Colombia, Argentina, Hungary, Japan, India, Canada, Belgium, Namibia, Taiwan, Peru, Germany, Ethiopia, Russian Fede | Amazon, Brazil | Mineral sourcing L1, not disclosed by RMI | No | Not Available, L1 | RCOI confirmed as per RMI | Myanmar, Cambodia, Malaysia, Kazakhstan, Portugal, Mongolia, Austria, Luxembourg, Guyana, Korea, Republic of, Brazil, Chile, Laos, Ecuador, Colombia, Argentina, Hungary, Japan, India, Canada, Belgium, Namibia, Taiwan, Peru, Ethiopia, Germany, Russian Fede | Not Available, Mineral sourcing LR from Bangka, Myanmar, Cambodia, Malaysia, Kazakhstan, Portugal, Austria, Mongolia, Luxembourg, Korea, Republic of, Brazil, Guyana, Chile, Laos, Ecuador, Colombia, Argentina, Hungary, Japan, India, Canada, Belgium, Namibia, Taiwan, Peru, Ethiopia, Germany, Russian Federation, Viet Nam, Singapore, United States, Egypt, Madagascar, Sierra Leone, Ivory Coast, Thailand, Bolivia, Netherlands, Ireland, China, Slovakia, France, Nigeria, Uzbekistan, United Kingdom, Switzerland, Spain, Djibouti, Czech Republic, Zimbabwe, Mexico, Suriname, Israel, Australia, Estonia, Indonesia, Myanmar, Cambodia, Malaysia, Kazakhstan, Portugal, Mongolia, Austria, Luxembourg, Brazil, Guyana, Korea, Republic of, Chile, Laos, Colombia, Ecuador, Argentina, Hungary, Japan, India, Canada, Belgium, Namibia, Taiwan, Peru, Ethiopia, Germany, Russian Federation, Viet Nam, Singapore, United States, Egypt, Sierra Leone, Madagascar, Ivory Coast, Thailand, Bolivia, Netherlands, China, Ireland, Slovakia, France, Nigeria, Uzbekistan, United Kingdom, Switzerland, Spain, Djibouti, Czech Republic, Mexico, Zimbabwe, Suriname, Israel, Australia, Indonesia, Estonia, Myanmar, Cambodia, Malaysia, Kazakhstan, Portugal, Mongolia, Austria, Luxembourg, Guyana, Korea, Republic of, Brazil, Chile, Laos, Ecuador, Colombia, Argentina, Hungary, Japan, India, Canada, Belgium, Namibia, Taiwan, Peru, Ethiopia, Germany, Russian Federation, Viet Nam, Singapore, United States, Egypt, Sierra Leone, Madagascar, Ivory Coast, Bolivia, Thailand, Netherlands, China, Ireland, Slovakia, France, Nigeria, Uzbekistan, United Kingdom, Switzerland, Spain, Djibouti, Czech Republic, Mexico, Zimbabwe, Suriname, Israel, Australia, Estonia, Indonesia, Myanmar, Cambodia, Malaysia, Kazakhstan, Portugal, Mongolia, Austria, Luxembourg, Korea, Republic of, Brazil, Guyana, Chile, Laos, Colombia, Ecuador, Argentina, Hungary, Japan, India, Canada, Belgium, Namibia, Taiwan, Peru, Ethiopia, Germany, Russian Federation, Singapore, Viet Nam, United States, Egypt, Sierra Leone, Madagascar, Ivory Coast, Thailand, Bolivia, Netherlands, China, Ireland, Slovakia, France, Nigeria, Uzbekistan, United Kingdom, Switzerland, Spain, Djibouti, Czech Republic, Zimbabwe, Mexico, Suriname, Israel, Australia, Indonesia, Estonia, NA, No information, RCOI confirmed as per RMI., RCOI confirmed per RMI, Recycled/Scrap, India, Indonesia, Brazil, Argentina, Malaysia, Mongolia, Portugal, Colombia, Myanmar, Germany, Peru, Austria, Guyana, Cambodia, Chile, Ecuador, Hungary, Kazakhstan, Korea, Luxembourg, Japan, Canada, Namibia, Ethiopia, Belgium, China, Niger, Nigeria, Thailand, Zimbabwe, Ireland, United Kingdom, Australia, United States, Mexico, Sierra Leone, Spain, Djibouti, Egypt, France, Madagascar, Netherlands, Singapore, Slovakia, Suriname, Switzerland, Uzbekistan, Estonia, Israel, Taiwan, Viet Nam, Russian Federation</t>
  </si>
  <si>
    <t>Compliant, COMPLIANT 09/22/2015, Compliant Conformant, Conformant, Conformant Smelter, Conformant smelter according to RMI, audit valid until 2022, reassessment in progress, Conformant Smelter according to RMI, last cycle in 11.05.2016 with a cycle of 3 Years, http://s562922515.initial-website.com/conflict-mineral-policy/, RCOI confirmed per RMI, RMAP Conformant, RMAP Conformant Smelter, RMAP Conformant Smelter / RCOI confirmed per RMI</t>
  </si>
  <si>
    <t>CID001424</t>
  </si>
  <si>
    <t>PT BilliTin Makmur Lestari</t>
  </si>
  <si>
    <t>PT ATD Makmur Mandiri Jaya</t>
  </si>
  <si>
    <t>Bangka</t>
  </si>
  <si>
    <t>COMPLIANT 09/22/2015</t>
  </si>
  <si>
    <t>CID000707</t>
  </si>
  <si>
    <t>Heraeus Metals Hong Kong Ltd.</t>
  </si>
  <si>
    <t>Fanling</t>
  </si>
  <si>
    <t>Pangkal Pinang</t>
  </si>
  <si>
    <t>CID001476</t>
  </si>
  <si>
    <t>PT Supra Sukses Trinusa</t>
  </si>
  <si>
    <t>PT Tambang Timah</t>
  </si>
  <si>
    <t>INDONESIA</t>
  </si>
  <si>
    <t>PT Timah Nusantara</t>
  </si>
  <si>
    <t>CID002539</t>
  </si>
  <si>
    <t>KEMET de Mexico</t>
  </si>
  <si>
    <t>KEMET Blue Metals</t>
  </si>
  <si>
    <t>Carlos Salazar 15, 67192 Matamoros, Tamaulipas, Mexico</t>
  </si>
  <si>
    <t>Matamoros</t>
  </si>
  <si>
    <t>Tamaulipas</t>
  </si>
  <si>
    <t>Carlota Garza, Joel Sherman, Noord-Brabant</t>
  </si>
  <si>
    <t>carlota.garza@yageo.com, CarlotaGarza@kemet.com, JoelSherman@kemet.com; T. 864-967-6871</t>
  </si>
  <si>
    <t>Conformant-audited by RMI (members / partners)- valid until 08/19/2022, Conformant-Reaudit In Progress, No Action Required as company is RMAP conformant, None, CFS Certified, None; conformant to RMAP protocol, Reaudit In Progress, Supplier contacts: Infineon Customer Contact @infineon.com; yushin@harvatek.com</t>
  </si>
  <si>
    <t>0, Kisengo and recycled/scrap, LR, R/S, No information, RCOI confirmed per RMI, Recycled and mining not disclosed by supplier, Recycled and mining not disclosed by supplier | Sourced from Mines/Recyale/Scrap, Recycled and scrap, and mines not disclosed by supplier, Recycled, Scrap and mines, Recycled, Scrap and mines | Some are recycled or scrap sourced but not all, recycled/scrap | SWITZERLAND | Some are recycled or scrap sourced but not all | recycled/scrap | SWITZERLAND | Some are recycled, scrap, covered countries or DRC sourced but not all. | Some are recycled, scrap, cover countries or DRC sourced but not all. | Recycled, Scrap and mines | Recycled, Scrap and mines | Not disclosed by supplier, Some are recycled, scrap or covered countries sourced but not all. | RCOI confirmed per RMI, Some are recycled, scrap, covered countries or DRC sourced but not all, Some are recyled/scrap sourced but not all., Unknown, but some recycled/scrap</t>
  </si>
  <si>
    <t>Angola, Argentina, Australia, Austria, Brazil, Cambodia, Chile, Colombia, Democratic Republic of Congo, Ecuador, Guyana, Hungary, Japan, Kazakhstan, Korea, Luxembourg, Malaysia, Mali, Mexico, Mongolia, Mozambique, Myanmar, Portugal, Recycled/Scrap, South Sudan, Sudan, Tanzania, Zambia, DRC- Congo (Kinshasa), Myanmar, Angola, Cambodia, Malaysia, Kazakhstan, Portugal, Mongolia, Austria, Mozambique, Mali, Luxembourg, Guyana, Brazil, Korea, Republic of, Chile, Laos, Colombia, Ecuador, Argentina, Hungary, South Sudan, Japan, Tanzania, Zambia, Ghana, Congo (Brazzaville), India, Canada, Belgium, Namibia, Taiwan, South Africa, Central African Republic, Peru, Ethiopia, Germany, Burundi, Russian Federation, Viet Nam, Singapore, Guinea, United States, Egypt, Madagascar, Sierra Leone, Ivory Coast, Bolivia, Thailand, Netherlands, Ireland, China, Slovakia, Nigeria, France, Niger, Rwanda, United Kingdom, Switzerland, Spain, Djibouti, Czech Republic, Zimbabwe, Mexico, Uganda, Suriname, Israel, Australia, Estonia, Indonesia, DRC- Congo (Kinshasa), Myanmar, Angola, Cambodia, Malaysia, Kazakhstan, Portugal, Mongolia, Austria, Mozambique, Mali, Luxembourg, Guyana, Korea, Republic of, Brazil, Chile, Laos, Colombia, Ecuador, Argentina, South Sudan, Hungary, Japan, Tanzania, Zambia, Ghana, Congo (Brazzaville), India, Canada, Belgium, Namibia, Taiwan, South Africa, Central African Republic, Peru, Ethiopia, Germany, Burundi, Russian Federation, Viet Nam, Singapore, Guinea, United States, Egypt, Sierra Leone, Madagascar, Ivory Coast, Thailand, Bolivia, Netherlands, China, Ireland, Slovakia, Nigeria, France, Niger, Rwanda, United Kingdom, Switzerland, Spain, Djibouti, Czech Republic, Zimbabwe, Uganda, Mexico, Suriname, Israel, Australia, Indonesia, Estonia, DRC- Congo (Kinshasa), Myanmar, Angola, Cambodia, Malaysia, Kazakhstan, Portugal, Mongolia, Austria, Mozambique, Mali, Luxembourg, Guyana, Korea, Republic of, Brazil, Chile, Laos, Colombia, Ecuador, Argentina, South Sudan, Hungary, Japan, Tanzania, Zambia, Ghana, Congo (Brazzaville), India, Canada, Belgium, Namibia, Taiwan, South Africa, Central African Republic, Peru, Germany, Ethiopia, Burundi, Russian Federation, Viet Nam, Singapore, Guinea, United States, Egypt, Madagascar, Sierra Leone, Ivory Coast, Bolivia, Thailand, Netherlands, Ireland, China, Slovakia, France, Nigeria, Niger, Rwanda, United Kingdom, Switzerland, Spain, Djibouti, Czech Republic, Zimbabwe, Mexico, Uganda, Suriname, Israel, Australia, Estonia, Indonesia, DRC- Congo (Kinshasa), Myanmar, Angola, Cambodia, Malaysia, Kazakhstan, Portugal, Mongolia, Austria, Mozambique, Mali, Luxembourg, Korea, Republic of, Brazil, Guyana, Chile, Laos, Colombia, Ecuador, Argentina, Hungary, South Sudan, Japan, Tanzania, Zambia, Ghana, Congo (Brazzaville), India, Canada, Belgium, Namibia, Taiwan, South Africa, Central African Republic, Peru, Ethiopia, Germany, Burundi, Russian Federation, Singapore, Viet Nam, United States, Guinea, Egypt, Madagascar, Sierra Leone, Ivory Coast, Bolivia, Thailand, Netherlands, China, Ireland, Slovakia, Nigeria, France, Niger, Rwanda, United Kingdom, Switzerland, Spain, Djibouti, Czech Republic, Zimbabwe, Uganda, Mexico, Suriname, Israel, Australia, Indonesia, Estonia, DRC- Congo (Kinshasa), Myanmar, Angola, Cambodia, Malaysia, Kazakhstan, Portugal, Mongolia, Austria, Mozambique, Mali, Luxembourg, Korea, Republic of, Guyana, Brazil, Chile, Laos, Ecuador, Colombia, Argentina, South Sudan, Hungary, Japan, Tanzania, Ghana, Zambia, Congo (Brazzaville), India, Canada, Belgium, Namibia, Taiwan, South Africa, Central African Republic, Peru, Germany, Ethiopia, Burundi, Russian Federation, Viet Nam, Singapore, United States, Guinea, Egypt, Sierra Leone, Madagascar, Ivory Coast, Thailand, Bolivia, Netherlands, China, Ireland, Slovakia, France, Nigeria, Niger, Rwanda, United Kingdom, Switzerland, Spain, Djibouti, Czech Republic, Uganda, Zimbabwe, Mexico, Suriname, Israel, Australia, Indonesia, Estonia, 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 DRC, Angola, Burundi, Central African Republic, Congo Republic, Rwanda, South Sudan, Tanzania, Uganda, Zambia, Argentina, Australia, Austria, Belgium, Bolivia, Brazil, Cambodia, Canada, Chile, China, Colombia, Czech Republic, Djibouti, Ecuador, Egypt, Estonia, Ethiopia, France, Germany, Ghana, Guinea, Guyana, Hungary, India, Indonesia, Ireland, Israel, Ivory Coast, Japan, Kazakhstan, Laos, Luxembourg, Madagascar, Malaysia, Mali, Mexico, Mongolia, Mozambique, Myanmar, Namibia, Netherlands, Niger, Nigeria, Peru, Portugal, Republic of Korea, Russia, Sierra Leone, Singapore, Slovakia, South Africa, Spain, Suriname, Switzerland, Taiwan, Thailand, United Kingdom, USA, Vietnam, Zimbabwe, recycled/scrap, DRC, Angola, Burundi, Central African Republic, Rwanda, South Sudan, Tanzania, Uganda, Zambia, Andorra, Argentina, Australia, Austria, Belgium, Bolivia, Brazil, Cambodia, Canada, Chile, China, Colombia, Djibouti, Ecuador, Egypt, Estonia, Ethiopia, France, Germany, Ghana, Guinea, Guyana, Hungary, India, Indonesia, Ireland, Israel, Italy, Ivory Coast, Japan, Kazakhstan, Laos, Luxembourg, Madagascar, Malaysia, Mali, Mexico, Mongolia, Mozambique, Myanmar, Namibia, Netherlands, Niger, Nigeria, Peru, Philippines, Portugal, Republic of Korea, Russia, Sierra Leone, Singapore, Slovakia, South Africa, Spain, Sudan, Suriname, Switzerland, Taiwan, Thailand, Turkey, USA, United Kingdom, Vietnam, Zimbabwe, Recycled/Scrap, Includes Covered Countries, Includes Covered Countries and CAHRA, Includes Covered Countries and CAHRA | Mineral R/S and mineral sourcing not disclosed | DRC or an adjoining country (Covered Countries), Myanmar, Angola, Cambodia, Malaysia, Kazakhstan, Portugal, Mongolia, Austria, Mozambique, Mali, Luxembourg, Guyana, Republic Of Korea, Brazil, Chile, Laos, Colombia, Ecuador, Argentina, South Sudan, Hungary, L1, CC, R/S, L1, CC, R/S | Some are recycled or scrap sourced but not all | DRC- Congo (Kinshasa), Myanmar, Angola, Cambodia, Malaysia, Kazakhstan, Portugal, Austria, Mongolia, Mozambique, Mali, Luxembourg, Korea, Republic of, Brazil, Guyana, Chile, Laos, Ecuador, Colombia, Argentina, South Sudan, Hungary, Japan, Tanzania, Zambia | Carlos Salazar 15, 67192 Matamoros, Tamaulipas, Mexico, Mineral R/S and mineral sourcing not disclosed, Mineral sourcing LR,R/S based on RMAP-RMI's RCOI data, No information, RCOI confirmed per RMI, recycled/scrap | Includes Covered Countries | L1, L3, DRC, R/S | SWITZERLAND | DRC- Congo (Kinshasa), Myanmar, Angola, Cambodia, Malaysia, Kazakhstan, Portugal, Mongolia, Austria, Mozambique, Mali, Luxembourg, Korea, Republic of, Brazil, Guyana, Chile, Laos, Colombia, Ecuador, Argentina, Hungary, South Sudan, Japan, Tanzania, Ghana, | RCOI confirmed as per CFSI | Some are recycled or scrap sourced but not all | recycled/scrap | Includes Covered Countries | L1, L3, DRC, R/S | SWITZERLAND | Some are recycled, scrap, covered countries or DRC sourced but not all. | DRC- Congo (Kinshasa), Myanmar, Angola, Cambodia, Malaysia, Kazakhstan, Portugal, Mongolia, Austria, M | DRC- Congo (Kinshasa), Myanmar, Angola, Cambodia, Malaysia, Kazakhstan, Portugal, Austria, Mongolia, Mozambique, Mali, Luxembourg, Brazil, Guyana, Korea, Republic of, Chile, Laos, Colombia, Ecuador, Argentina, Hungary, South Sudan, Japan, Tanzania, Ghana, | Carlos Salazar 15, 67192 Matamoros, Tamaulipas, Mexico | L1, CC, R/S | Mineral sourcing L1,R/S, not disclosed by RMI, Recycled/Scrap, Mexico, Brazil, Malaysia, Guyana, Austria, Mongolia, Mozambique, Portugal, Angola, Cambodia, Chile, Kazakhstan, Korea, Luxembourg, Mali, Myanmar, Argentina, Colombia, Ecuador, South Sudan, Sudan, Japan, Hungary, Tanzania, Australia, Zambia, Ghana, China, Thailand, Ethiopia, Guinea, India, Namibia, Sierra Leone, United States, Niger, Nigeria, Zimbabwe, Burundi, Madagascar, France, Rwanda, Spain, Switzerland, Canada, Germany, Peru, Indonesia, Belgium, Central African Republic, Egypt, Singapore, South Africa, Djibouti, Estonia, Ireland, Israel, Netherlands, Slovakia, Suriname, Uganda, United Kingdom, Democratic Republic of Congo, Russian Federation, Congo, Viet Nam, Taiwan, Some are recycled, scrap, covered countries or DRC sourced but not all, Some are recyled/scrap sourced but not all.</t>
  </si>
  <si>
    <t>Compliant, Compliant Conformant, Conformant, Conformant Smelter, Conformant smelter according to RMI, audit valid until 2022, Conformant Smelter according to RMI, last cycle in 21.02.2019 with a cycle of 1 Year, One of many on the Kemet CFSI page, Part or all material comes from Covered Country, RCOI confirmed as per RMAP, RCOI confirmed per RMI, RMAP Conformant, RMAP Conformant Smelter</t>
  </si>
  <si>
    <t>CID001969</t>
  </si>
  <si>
    <t>Ulba Metallurgical Plant JSC</t>
  </si>
  <si>
    <t>Ulba Metallurgical Plant JSC, 102, Abay Ave., 070005, Ust-Kamenogorsk, Republic of Kazakhstan</t>
  </si>
  <si>
    <t>Ust-Kamenogorsk</t>
  </si>
  <si>
    <t>Andrey Kapustin, Andrey Kapustin, Alexey Tsorayev, Andrey Zelenin , Mr. Andrey Zelenin, Valerie Domas, Valerie Domas, Andrey Kapustin, Viktor Kuznetsov</t>
  </si>
  <si>
    <t xml:space="preserve">DomasVV@ulba.kz, domasvv@ulba.kz, kapustinaa@ulba.kz, kapustinAA@ulba.kz, KapustinAA@ulba.kz, TsorayevAA@ulba.kz, kuznetsovvv@ulba.kz, marketing_ta@ulba.kz, zeleninav@ulba.kz </t>
  </si>
  <si>
    <t>Conformant- Reaudit In Progress, Conformant-audited by RMI (members / partners)- valid until 05/26/2023, N/A, RMI certified smelter, NA, no action need, No Action Required as company is RMAP conformant, None, CFS Certified, Reaudit In Progress, Supplier contacts: Infineon Customer Contact @infineon.com; theodore.knudson@materion.com; yushin@harvatek.com</t>
  </si>
  <si>
    <t>0, Exotech (dealer), Zabaykalsky GOK, Lovozersky GOK, Akanyamwishyura, Bitango, Gaseke, Gasura, Gihinga, Kababara, Nyamirama, Rukagarata, Simba, Rushoka, Kahendwa, Katonge, Kisengo, Kiyambi, Luena, Shori, and recycled/scrap, From Exotech (dealer), Zabaykalsky GOK, Lovozersky GOK and Scrap | RCOI Confirmed as per CSFI | Not disclosed | Some are recycled, scrap, covered countries or DRC sourced but not all. | From Zabaykalsky GOK, Lovozersky GOK, some are recycled, scrap, cover countries or DRC sourced but not all. | Some are recycled, scrap, covered countries or DRC sourced but not all. | Ta pentoxide | From Exotech (dealer), Zabaykalsky GOK, Lovozersky GOK a | From Exotech (dealer), Zabaykalsky GOK, Lovozersky GOK, AKANYAMWISHYURA, BITANGO,  GASEKE, GASURA, GIHINGA, KABABARA, NYAMIRAMA, RUKAGARATA, SIMBA, RUSHOKA and Scrap | Recycled, Scrap and mines from Kahendwa, Katonge, Kisengo, Kiyambi, Luena, Bitango,  Shori, From Exotech (dealer), Zabaykalsky GOK, Lovozersky GOK, AKANYAMWISHYURA, BITANGO,  GASEKE, GASURA, GIHINGA, KABABARA, NYAMIRAMA, RUKAGARATA, SIMBA, RUSHOKA and Scrap, From Exotech (dealer), Zabaykalsky GOK, Lovozersky GOK, AKANYAMWISHYURA, BITANGO,  GASEKE, GASURA, GIHINGA, KABABARA, NYAMIRAMA, RUKAGARATA, SIMBA, RUSHOKA and Scrap | Some are recycled, scrap, covered countries or DRC sourced but not all., Kahendwa, Katonge, Kisengo, Kiyambi, Luena, 
Bitango,  Shori, Kahendwa, Katonge, Kisengo, Kiyambi, Luena, Bitango,  Shori, LR, HR, CC, DRC, R/S, No information, RCOI confirmed per RMI, Recycled and scrap, and mines from Japan, Europe and USA, Recycled or scrp, and mining
(1) Kahendwa, Katonge, Kisengo, Kiyambi, Luena, Bitango,  Shori
(2) AKANYAMWISHYURA, BITANGO,  GASEKE, GASURA, GIHINGA, KABABARA, NYAMIRAMA, RUKAGARATA, SIMBA, RUSHOKA | RCOI confirmed per RMI | Recycling and Kahendwa, Katonge, Kisengo, Kiyambi, Luena, Bitango,  Shori, AKANYAMWISHYURA, BITANGO,  GASEKE, GASURA, GIHINGA, KABABARA, NYAMIRAMA, RUKAGARATA, SIMBA, RUSHOKA | Ta scrap, Recycling and Kahendwa, Katonge, Kisengo, Kiyambi, Luena, Bitango,  Shori, AKANYAMWISHYURA, BITANGO,  GASEKE, GASURA, GIHINGA, KABABARA, NYAMIRAMA, RUKAGARATA, SIMBA, RUSHOKA     , scrap /recycled, Shori, Katonge, Nyamirama, Rukagarata, Kiyambi, Gaseke, Recycled/Scrap, Akanyamwishyura, Kahendwa, Simba, Luena, Kababara, Bitango, Rushoka, Kisengo, Gihinga, Gasura, Lovozersky and Zabaykalsky Gok, Some are recycled, scrap, covered countries or DRC sourced but not all, Some are recycled/scrap, covered countries and DRC sourced but not all., Some are recycled/scrap, high risk countries, covered countries, and DRC sourced but not all.</t>
  </si>
  <si>
    <t>Angola, Argentina, Australia, Austria, Brazil, Cambodia, Chile, Colombia, Democratic Republic of Congo, Ecuador, Ethiopia, Guyana, Hungary, India, Japan, Kazakhstan, Korea, Luxembourg, Malaysia, Mongolia, Mozambique, Myanmar, Portugal, Recycled/Scrap, Rwanda, Sierra Leone, South Sudan, Sudan, Tanzania, United States, Zambia, Zimbabwe, DRC- Congo (Kinshasa), Myanmar, Angola, Cambodia, Malaysia, Kazakhstan, Portugal, Austria, Mongolia, Mozambique, Luxembourg, Brazil, Korea, Republic of, Guyana, Chile, Laos, Ecuador, Colombia, Argentina, Hungary, South Sudan, Japan, Tanzania, Zambia, Congo (Brazzaville), Belarus, India, Canada, Belgium, Namibia, Taiwan, Central African Republic, Peru, Ethiopia, Germany, Russian Federation, Burundi, Singapore, Viet Nam, United States, Egypt, Sierra Leone, Madagascar, Ivory Coast, Thailand, Bolivia, Netherlands, China, Ireland, Slovakia, Nigeria, France, Rwanda, United Kingdom, Switzerland, Spain, Djibouti, Czech Republic, Zimbabwe, Uganda, Suriname, Israel, Australia, Estonia, Indonesia, DRC- Congo (Kinshasa), Myanmar, Angola, Cambodia, Malaysia, Kazakhstan, Portugal, Austria, Mongolia, Mozambique, Luxembourg, Brazil, Korea, Republic of, Guyana, Chile, Laos, Ecuador, Colombia, Argentina, Hungary, South Sudan, Japan, Tanzania, Zambia, Congo (Brazzaville), Belarus, India, Canada, Belgium, Namibia, Taiwan, Central African Republic, Peru, Ethiopia, Germany, Russian Federation, Burundi, Viet Nam, Singapore, United States, Egypt, Sierra Leone, Madagascar, Ivory Coast, Bolivia, Thailand, Netherlands, China, Ireland, Slovakia, France, Nigeria, Rwanda, United Kingdom, Switzerland, Spain, Djibouti, Czech Republic, Zimbabwe, Uganda, Suriname, Israel, Australia, Indonesia, Estonia, DRC- Congo (Kinshasa), Myanmar, Angola, Cambodia, Malaysia, Kazakhstan, Portugal, Austria, Mongolia, Mozambique, Luxembourg, Guyana, Korea, Republic of, Brazil, Chile, Laos, Ecuador, Colombia, Argentina, Hungary, South Sudan, Japan, Tanzania, Zambia, Congo (Brazzaville), Belarus, India, Canada, Belgium, Namibia, Taiwan, Central African Republic, Peru, Germany, Ethiopia, Russian Federation, Burundi, Singapore, Viet Nam, United States, Egypt, Sierra Leone, Madagascar, Ivory Coast, Thailand, Bolivia, Netherlands, Ireland, China, Slovakia, France, Nigeria, Rwanda, United Kingdom, Switzerland, Spain, Djibouti, Czech Republic, Uganda, Zimbabwe, Suriname, Israel, Australia, Indonesia, Estonia, DRC- Congo (Kinshasa), Myanmar, Angola, Cambodia, Malaysia, Kazakhstan, Portugal, Mongolia, Austria, Mozambique, Luxembourg, Guyana, Brazil, Korea, Republic of, Chile, Laos, Colombia, Ecuador, Argentina, South Sudan, Hungary, Japan, Tanzania, Zambia, Congo (Brazzaville), Belarus, India, Canada, Belgium, Namibia, Taiwan, Central African Republic, Peru, Ethiopia, Germany, Burundi, Russian Federation, Viet Nam, Singapore, United States, Egypt, Sierra Leone, Madagascar, Ivory Coast, Thailand, Bolivia, Netherlands, Ireland, China, Slovakia, France, Nigeria, Rwanda, United Kingdom, Switzerland, Spain, Djibouti, Czech Republic, Uganda, Zimbabwe, Suriname, Israel, Australia, Indonesia, Estonia, DRC, Angola, Burundi, Central African Republic, Rwanda, South Sudan, Tanzania, Uganda, Zambia, Andorra, Antarctica, Argentina, Aruba, Australia, Austria, Belarus, Belgium, Benin, Bolivia, Brazil, Cambodia, Canada, Chile, China, Colombia, Djibouti, Ecuador, Egypt, Eritrea, Estonia, Ethiopia, France, Germany, Ghana, Guinea, Guyana, Hungary, India, Indonesia, Ireland, Israel, Italy, Ivory Coast, Japan, Kazakhstan, Laos, Luxembourg, Madagascar, Malawi, Malaysia, Mexico, Mongolia, Mozambique, Myanmar, Namibia, Netherlands, Niger, Nigeria, Panama, Peru, Portugal, Republic of Korea, Russia, Sierra Leone, Singapore, Slovakia, South Africa, Spain, Sudan, Suriname, Switzerland, Taiwan, Thailand, USA, United Kingdom, Vietnam, Zimbabwe, Recycled/Scrap, DRC, Katanga, DRC, Katanga, Rwanda, DRC, Rwanda, Australia, Bolivia, Brazil, Ethiopia, India, Japan, Mozambigue, Sierra Leone, Zimbabwe, recycled/scrap, Includes Covered Countries, Includes Covered Countries and CAHRA, Includes Covered Countries and CAHRA | (1) Katanga, RDC, Not DRC
(2) Rwanda | RCOI confirmed per RMI | Mineral sourcing R/S, LR, HR, DRC, CC | Japan, 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 L1, CC, DRC, R/S | Some are recycled, scrap, covered countries or DRC sourced but not all. | DRC- Congo (Kinshasa), Myanmar, Angola, Cambodia, Malaysia, Kazakhstan, Portugal, Austria, Mongolia, Mozambique, Luxembourg, Korea, Republic of, Guyana, Brazil, Chile, Laos, Ecuador, Colombia, Argentina, Hungary, South Sudan, Japan, Tanzania, Zambia, Cong | the DRC or an adjoining country(covered countries) | Ulba Metallurgical Plant JSC, 102, Abay Ave., 070005, Ust-Kamenogorsk, Republic of Kazakhstan | Includes Covered Countries, L1, L3, DRC, R/S | Includes Covered Countries | DRC- Congo (Kinshasa), Myanmar, Angola, Cambodia, Malaysia, Kazakhstan, Portugal, Austria, Mongolia, Mozambique, Luxembourg, Brazil, Korea, Republic of, Guyana, Chile, Laos, Colombia, Ecuador, Argentina, South Sudan, Hungary, Japan, Tanzania, Zambia, Cong | RCOI confirmed as per CFSI | RCOI Confirmed as per CSFI | Not disclosed | the DRC or an adjoining country(covered countirs) | Some are recycled, scrap, covered countries or DRC sourced but not all. | Mineral sourcing L1,L3,DRC,R/S, Russia, Kazakhstan | L1, L3, DRC, R/S | Includes Covered Countries | Some are recycled, scrap, covered countries or DRC sourced but not all. | DRC- Congo (Kinshasa), Myanmar, Angola, Cambodia, Malaysia, Kazakhstan, Portugal, Austria, Mongolia, Mozambique, Luxembourg, Brazil, | the DRC or an adjoining country(covered countries) | DRC- Congo (Kinshasa), Myanmar, Angola, Cambodia, Malaysia, Kazakhstan, Portugal, Mongolia, Austria, Mozambique, Luxembourg, Guyana, Korea, Republic of, Brazil, Chile, Laos, Colombia, Ecuador, Argentina, Hungary, South Sudan, Japan, Tanzania, Zambia, Cong | Ulba Metallurgical Plant JSC, 102, Abay Ave., 070005, Ust-Kamenogorsk, Republic of Kazakhstan | L1, CC, DRC, R/S | Russia, Zimbabwe, USA, Japan, Rwanda, DRC | Mineral sourcing L1, CC, DRC, R/S, Australia, Bolivia, Brazil, DRC, Ethiopia, EU, India, Katanga, Kazakhstan, Mozambigue, Rwanda, USA, Russia, Sierra Leone, Zimbabwe, LR, HR, CC, DRC, R/S, Mineral sourcing LR, HR, CC, DRC, R/S, from Europe, USA and Japan, Mineral sourcing R/S, LR, HR, DRC, CC , No information, R/S, RCOI confirmed per RMI, Recycled/Scrap, Kazakhstan, Japan, Rwanda, Brazil, Zimbabwe, Australia, Ethiopia, India, Sierra Leone, United States, Mozambique, Malaysia, Guyana, Austria, Myanmar, Mongolia, Portugal, Cambodia, Korea, Chile, Luxembourg, Argentina, Colombia, Ecuador, Hungary, Angola, Tanzania, Zambia, South Sudan, Sudan, Namibia, Canada, Germany, Peru, Belgium, Nigeria, Suriname, China, Burundi, Niger, Thailand, France, Madagascar, Indonesia, Spain, Uganda, Belarus, Egypt, Singapore, Djibouti, Estonia, Ireland, Israel, Netherlands, Slovakia, Switzerland, United Kingdom, Democratic Republic of Congo, Taiwan, Russian Federation, Congo, Viet Nam, Central African Republic, Some are recycled, scrap, covered countries or DRC sourced but not all, Some are recycled/scrap, high risk countries, covered countries, and DRC sourced but not all.</t>
  </si>
  <si>
    <t>Compliant, COMPLIANT 09/22/2015, Compliant Conformant, Conformant, Conformant Smelter, Conformant Smelter - some material may be sourced from the covered countries, Conformant smelter according to RMI, audit valid until 2022, Conformant Smelter according to RMI, last cycle in 19.07.2019 with a cycle of 1 Year, Part or all material comes from Covered Country, RCOI confirmed as per RMAP, RCOI confirmed per RMI, RMAP certified Conflict Free. Some material sourced from the covered countries., RMAP Conformant, RMAP Conformant Smelter, RMAP Conformant Smelter / RCOI confirmed per RMI</t>
  </si>
  <si>
    <t>XIMEI RESOURCES (GUANGDONG) LIMITED</t>
  </si>
  <si>
    <t>Yingde</t>
  </si>
  <si>
    <t>CID002508</t>
  </si>
  <si>
    <t>XinXing HaoRong Electronic Material Co., Ltd.</t>
  </si>
  <si>
    <t>Rencun Industrial Zone, Xinxing County, Yunfu City, Guangdong Province, China</t>
  </si>
  <si>
    <t>YunFu City</t>
  </si>
  <si>
    <t>Dubayy, Mr. Yongqiang Wang , Mr. Yongqiang Wang (Vice-General Manager), Yongqiang Wang</t>
  </si>
  <si>
    <t>wyq0099@163.com</t>
  </si>
  <si>
    <t>Conformant, No Action Required as company is RMAP conformant, None, CFSP Certified, None; conformant to RMAP protocol, Supplier contacts: Infineon Customer Contact @infineon.com; yushin@harvatek.com, Validated by RMI until 12/27/2021</t>
  </si>
  <si>
    <t>0, No information, Not disclosed by supplier, Not disclosed by supplier | Some are recycled or scrap sourced but not all, RCOI confirmed as per RMI | RCOI confirmed as per CFSI | Some are DRC sourced but not all. | Not disclosed by supplier | Not disclosed by supplier | Some are recycled or scrap sourced but not all, RCOI confirmed per RMI, Recycled and scrap, and mines not disclosed by supplier, Some are recycled, scrap, covered countries or DRC sourced but not all, Some are recycled, scrap, covered countries or DRC sourced but not all. | RCOI confirmed per RMI, Some are recycled/scrap, and high risk sourced but not all., Sourced from Mines/Recyale/Scrap | Not disclosed by supplier, Unknown, but some recycled/scrap</t>
  </si>
  <si>
    <t>Australia, Bolivia (Plurinational State of), Brazil, China, Colombia, Ethiopia, France, Guinea, Guyana, India, Kazakhstan, Madagascar, Malaysia, Namibia, Niger, Nigeria, Recycled/Scrap, Russian Federation, Sierra Leone, Thailand, United States, Zimbabwe, China, China, DRC or an adjoining country (Covered Countries), Kazakhstan, Recycled/Scrap, DRC, Rwanda, Argentina, Australia, Austria, Belgium, Bolivia, Brazil, Cambodia, Canada, Chile, China, Colombia, Djibouti, Ecuador, Egypt, Estonia, Ethiopia, France, Germany, Ghana, Guinea, Guyana, Hungary, India, Indonesia, Ireland, Israel, Japan, Kazakhstan, Luxembourg, Madagascar, Malaysia, Mali, Mongolia, Mozambique, Myanmar, Namibia, Netherlands, Niger, Nigeria, Peru, Portugal, Republic of Korea, Russia, Sierra Leone, Singapore, Slovakia, Spain, Suriname, Switzerland, Taiwan, Thailand, USA, United Kingdom, Uzbekistan, Vietnam, Zimbabwe, Recycled/Scrap, Includes CAHRA, Includes Covered Countries, Includes Covered Countries | China | RCOI confirmed as per RMI | Includes Covered Countries | RCOI confirmed as per CFSI | China | L1, L2, DRC | Excludes Covered Countries | No reason to believe sources from DRC or covered countries | Mineral sourcing L1, not disclosed by supplier | Rencun Industrial Zone, Xinxing County, Yunfu City, Guangdong Province, China | L1, L2, DRC | Mineral sourcing L1,R/S, not disclosed by RMI | Some are recycled or scrap sourced but not all, Includes Covered Countries and CAHRA, Includes Covered Countries and CAHRA | China, DRC or an adjoining country (Covered Countries), Kazakhstan, Recycled/Scrap | Mineral R/S and mining from China, Kazakhstan, L1, L2, DRC, L1, L2, DRC | Some are recycled or scrap sourced but not all | China | Rencun Industrial Zone, Xinxing County, Yunfu City, Guangdong Province, China, Mineral R/S and mining from China, Kazakhstan, Mineral sourcing LR, HR, R/S based on RMAP-RMI's RCOI data, No information, RCOI confirmed per RMI, Recycled/Scrap, China, Kazakhstan, Recycled/Scrap, China, Kazakhstan, Australia, Brazil, Ethiopia, Niger, Nigeria, France, Madagascar, Malaysia, Russian Federation, Sierra Leone, Thailand, United States, Guyana, India, Namibia, Zimbabwe, Guinea, Bolivia (Plurinational State of), Colombia, Indonesia, Ireland, Mongolia, Myanmar, Peru, Portugal, Spain, Taiwan, United Kingdom, Mozambique, Argentina, Austria, Belgium, Cambodia, Canada, Chile, Djibouti, Ecuador, Egypt, Estonia, Germany, Hungary, Israel, Japan, Korea, Luxembourg, Netherlands, Rwanda, Singapore, Slovakia, Suriname, Switzerland, Viet Nam, Ghana, Mali, Uzbekistan, Some are recycled, scrap, covered countries or DRC sourced but not all, Some are recycled/scrap, and high risk sourced but not all., Unspecified covered country, China, Kazakhstan, recycled/scrap</t>
  </si>
  <si>
    <t>Compliant, Compliant Conformant, Conformant, Conformant Smelter, Conformant smelter according to RMI, audit valid until 2022, Conformant Smelter according to RMI, last cycle in 27.12.2019 with a cycle of 1 Year, Part or all material comes from Covered Country, RCOI confirmed per RMI, RMAP Conformant</t>
  </si>
  <si>
    <t>CID000292</t>
  </si>
  <si>
    <t>Cookson (Alpha Metals Taiwan)</t>
  </si>
  <si>
    <t>Alpha Metals</t>
  </si>
  <si>
    <t>Altoona</t>
  </si>
  <si>
    <t>0, Brian Conrad, Dan Weaver, NA, Steef Nuijens, Tin</t>
  </si>
  <si>
    <t>0, Alpha Metals Taiwan, bconrad@cooksonelectronics.com, gruehl@cookselectronics.com,  gruehl@cooksonelectronics.com, dweaver@alent.com, NA, phu@alent.com, snuijens@alent.com, Steef.Nuijens@AlphaAssembly.com</t>
  </si>
  <si>
    <t>Alpha, Conformant-audited by RMI (members / partners)- valid until 06/08/2024, N.A. (CFS apporved Smelter), NA, no action need, No Action Required as company is RMAP conformant, No Action Required as smelter is RMAP conformant, None, CFS Certified, recycled, RMAP Compliant Smelter, Supplier contacts: hyeju.lee@amkor.com; catherine.pelissonnier@st.com; oh-dongho@auk.co.kr; Infineon Customer Contact @infineon.com; lisa.bjornson@sanmina.com; theodore.knudson@materion.com; yushin@harvatek.com; Emily_Hsieh@epistar.com; cindy.dodd@avx.com; t.gruber@ats.net; s.rossi@varioprint.ch; Ravikumar.Ramachandran@fci.com; oh-dongho@auk.co.kr, Validated by RMI until 09/26/2021</t>
  </si>
  <si>
    <t>0, JAPAN | Some are recycled, scrap, cover countries or DRC sourced but not all. | Recycled | Some are recycled or scrap sourced but not all. | RCOI Confirmed as per CSFI | Not disclosed | Some are recycled or scrap sourced but not all | Some are recycled or scrap sourced but not all. | JAPAN | Some are recycled, scrap, cover countries or DRC sourced but not all. | Recycled | Some are recycled or scrap sourced but not all | recycled + scrap sourced | RCOI Confirmed as per CSFI | Not discl | Recycled, Scrap and mines, NA, No information, RCOI confirmed per RMI, Recycled, Recycled and scrap, and mines not disclosed by supplier, Recycled or scrap, and mining not disclosed by supplier, Recycled or scrap, and mining not disclosed by supplier | (1) Recycled or scrp,
(2) Mining | RCOI confirmed per RMI, Recycled, Scrap and mines, Recycled, Scrap and mines | Some are recycled or scrap sourced but not all, Some are recycled, scrap, covered countries or DRC sourced but not all, Some are recycled, scrap, covered countries or DRC sourced but not all. , Some are recycled, scrap, covered countries or DRC sourced but not all. | RCOI confirmed per RMI, Some are recyled/scrap sourced but not all., UNITED STATES OF AMERICA, Unknown, but some recycled/scrap</t>
  </si>
  <si>
    <t>Argentina, Austria, Belgium, Brazil, Cambodia, Canada, Chile, China, Colombia, Ecuador, Ethiopia, Germany, Guyana, Hungary, India, Japan, Jersey, Kazakhstan, Korea, Luxembourg, Malaysia, Mongolia, Myanmar, Namibia, Peru, Portugal, Recycled/Scrap, Taiwan, United States, CID000292,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Jersey,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Includes Covered Countries and CAHRA | Mineral sourcing LR, R/S based on RMAP-RMI's RCOI data | (1) Domestic USA &amp;amp; North American sources
(2) Mineral sourcing L1,R/S, USA | RCOI confirmed per RMI | Not coverd countries area, L1, CC, DRC, R/S, L1, CC, DRC, R/S | Some are recycled or scrap sourced but not all | Myanmar, Cambodia, Malaysia, Kazakhstan, Portugal, Mongolia, Austria, Luxembourg, Brazil, Korea, Republic of, Guyana, Jersey, Chile, Laos, Colombia, Ecuador, Argentina, Hungary, Japan, India, Canada, Belgium, Namibia, Taiwan, Peru, Ethiopia, Germany, Russ | the DRC or an adjoining country(covered countries) | Not Available | Includes Covered Countries | 4100 Sixth Avenue, Altoona PA 16602, L1, R/S | Includes Covered Countries | JAPAN | L1, L3, DRC, R/S | Recycled | Myanmar, Cambodia, Malaysia, Kazakhstan, Portugal, Austria, Mongolia, Luxembourg, Guyana, Korea, Republic of, Brazil, Jersey, Chile, Laos, Ecuador, Colombia, Argentina, Hungary, Japan, India, Canada, Belgium, Namibia, Taiwan, Peru, Ethiopia, Germany, Russ | Mineral sourcing L1,R/S, Some are recycled or scrap sourced but not all. | RCOI confirmed as per CFSI | Some are recycled, scrap, cover countries or DRC sourced but not all. | RCOI Confirmed as per CSFI | Not disclosed | Some are recycled or scrap sourced but not all | Mineral sourcing L1, R/S | L1, R/S | Includes Covered Countries | JAPAN | L1, L3, DRC, R/S | Recycled | Some are recycled or scrap sourced but not all | Myanmar, Cambodia, Malaysia, Kazakhstan, Portugal, Austria, Mongolia, Luxembourg, Guyana, Korea, Republic of, Brazil, Jersey, Chi | the DRC or an adjoining country(covered countries) | Myanmar, Cambodia, Malaysia, Kazakhstan, Portugal, Austria, Mongolia, Luxembourg, Korea, Republic of, Guyana, Brazil, Jersey, Chile, Laos, Ecuador, Colombia, Argentina, Hungary, Japan, India, Canada, Belgium, Namibia, Taiwan, Peru, Germany, Ethiopia, Russ | 4100 Sixth Avenue, Altoona PA 16602 | Not coverd countries area | L1, CC, DRC, R/S | Mineral sourcing L1, R/S, not disclosed by supplier | UNITED STATES OF AMERICA | Not Available, Mineral sourcing LR, R/S, Mineral sourcing LR, R/S based on RMAP-RMI's RCOI data, Myanmar, Cambodia, Malaysia, Kazakhstan, Portugal, Austria, Mongolia, Luxembourg, Brazil, Guyana, Korea, Republic of, Jersey, Chile, Laos, Colombia, Ecuador, Argentina, Hungary, Japan, India, Canada, Belgium, Namibia, Taiwan, Peru, Germany, Ethiopia, Russian Federation, Singapore, Viet Nam, United States, Egypt, Madagascar, Sierra Leone, Ivory Coast, Thailand, Bolivia, Sweden, Netherlands, Ireland, China, Slovakia, France, Nigeria, Recycle/Scrap, United Kingdom, Switzerland, Spain, Djibouti, Czech Republic, Zimbabwe, Suriname, Israel, Australia, Indonesia, Estonia, Myanmar, Cambodia, Malaysia, Kazakhstan, Portugal, Austria, Mongolia, Luxembourg, Brazil, Guyana, Korea, Republic of, Jersey, Chile, Laos, Colombia, Ecuador, Argentina, Hungary, Japan, India, Canada, Belgium, Namibia, Taiwan, Peru, Germany, Ethiopia, Russian Federation, Viet Nam, Singapore, United States, Egypt, Madagascar, Sierra Leone, Ivory Coast, Thailand, Bolivia, Netherlands, Sweden, China, Ireland, Slovakia, Nigeria, France, Recycle/Scrap, United Kingdom, Switzerland, Spain, Djibouti, Czech Republic, Zimbabwe, Suriname, Israel, Australia, Indonesia, Estonia, Myanmar, Cambodia, Malaysia, Kazakhstan, Portugal, Austria, Mongolia, Luxembourg, Guyana, Brazil, Korea, Republic of, Jersey, Chile, Laos, Ecuador, Colombia, Argentina, Hungary, Japan, India, Canada, Belgium, Namibia, Taiwan, Peru, Ethiopia, Germany, Russian Federation, Singapore, Viet Nam, United States, Egypt, Sierra Leone, Madagascar, Ivory Coast, Thailand, Bolivia, Netherlands, Sweden, China, Ireland, Slovakia, Nigeria, France, Recycle/Scrap, United Kingdom, Switzerland, Spain, Djibouti, Czech Republic, Zimbabwe, Suriname, Israel, Australia, Estonia, Indonesia, 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Brazil, 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 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RussiaUSA, Brazil, Myanmar, Cambodia, Malaysia, Kazakhstan, Portugal, Mongolia, Austria, Luxembourg, Guyana, Korea, Republic of, Brazil, Jersey, Chile, Laos, Colombia, Ecuador, Argentina, Hungary, Japan, India, Canada, Belgium, Namibia, Taiwan, Peru, Ethiopia, Germany, Russian Federation, Singapore, Viet Nam, United States, Egypt, Sierra Leone, Madagascar, Ivory Coast, Bolivia, Thailand, Netherlands, Sweden, Ireland, China, Slovakia, France, Nigeria, Recycle/Scrap, United Kingdom, Switzerland, Spain, Djibouti, Czech Republic, Zimbabwe, Suriname, Israel, Australia, Indonesia, Estonia, No information, Not coverd countries area, RCOI confirmed per RMI, Recycled, Recycled/Scrap, United States, Japan, Argentina, Brazil, Malaysia, Mongolia, Portugal, Colombia, Myanmar, Peru, Germany, Austria, Guyana, Chile, Ecuador, Cambodia, Hungary, Kazakhstan, Korea, Luxembourg, India, Ethiopia, Canada, Namibia, Belgium, China, Australia, Niger, Nigeria, Thailand, Zimbabwe, Ireland, United Kingdom, Indonesia, Sierra Leone, Spain, France, Madagascar, Egypt, Israel, Netherlands, Singapore, Slovakia, Suriname, Sweden, Switzerland, Djibouti, Estonia, Jersey, Taiwan, Russian Federation, Viet Nam, Eritrea, Some are recycled, scrap, cover countries or DRC sourced but not all. , Some are recycled, scrap, covered countries or DRC sourced but not all, Some are recycled, scrap, covered countries or DRC sourced but not all. , Some are recyled/scrap sourced but not all., the DRC or an adjoining country(covered countries), Unspecified covered country,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Russia, Sierra Leone, Singapore, Slovakia, Spain, Suriname, Sweden, Switzerland, Thailand, United Kingdom, USA, Vietnam, Zimbabwe, recycled/scrap</t>
  </si>
  <si>
    <t>Compliant, COMPLIANT 09/22/2015, Compliant Conformant, Conformant, Conformant Smelter, Conformant Smelter - some material may be sourced from the covered countries, Conformant smelter according to RMI, audit valid until 2020, reassessment in progress, Conformant Smelter according to RMI, last cycle in 26.09.2019 with a cycle of 1 Year, http://alphaassembly.com/en/Solutions/Compliance/Conflict-Minerals, One of many on the Kemet CFSI page, Part or all material comes from Covered Country, RCOI confirmed as per RMAP, RCOI confirmed per RMI, RMAP certified Conflict Free. Some material sourced from the covered countries., RMAP Conformant, RMAP Conformant Smelter, RMAP Conformant Smelter / RCOI confirmed per RMI, This smelter is RMI Conformant.
http://www.responsiblemineralsinitiative.org/tin-smelters-list/</t>
  </si>
  <si>
    <t>Cookson</t>
  </si>
  <si>
    <t>Alpha Metals Taiwan</t>
  </si>
  <si>
    <t>CID000049</t>
  </si>
  <si>
    <t>American Iron and Metal</t>
  </si>
  <si>
    <t>Viet Nam</t>
  </si>
  <si>
    <t>Quy Hop</t>
  </si>
  <si>
    <t>Nghệ An</t>
  </si>
  <si>
    <t>CID002545</t>
  </si>
  <si>
    <t>H.C. Starck Tantalum and Niobium GmbH</t>
  </si>
  <si>
    <t>Plant Goslar, Im Schleeke 78-91, 38642 Goslar</t>
  </si>
  <si>
    <t>Goslar</t>
  </si>
  <si>
    <t>CID001482</t>
  </si>
  <si>
    <t>Timah Indonesian State Tin Corporation</t>
  </si>
  <si>
    <t>PT Timah Tbk Mentok</t>
  </si>
  <si>
    <t>RAYA TIMAH ROAD NUMBER 1 MENTOK, WEST BANGKA, BANGKA BELITUNG ISLANDS PROVINCE</t>
  </si>
  <si>
    <t>Mentok</t>
  </si>
  <si>
    <t>Abdul Kamaroes, Abrun Abubakar, ABRUN ABUBAKAR  Head of Corporate Secretary, Agung Nugroho, Ahmad Fajri Akhinov, Bernard.Rademakers@metallo.com, Conflidential, Mr. Abdul Kamaroes, Ms. Diana Budiani Rahmawati, Sales - Operations, Sales - Operations
Ahmad Fajri Akhinov, Tin, WINDRA, Wiyono</t>
  </si>
  <si>
    <t>Abrun &amp;lt;ABRUN@pttimah.co.id&amp;gt;, abrun@pttimah.co.id, ahmad.fajri@pttimah.co.id, akamaroes@pttimah.co.id, Confidential, corsec@pttimah.co.id, corsec@pttimah.co.id
timah@pt.timah.co.id
ahmad.fajri@pttimah.co.id, corsec@pttimah.co.id; timah@pt.timah.co.id, diana@pttimah.co.id, m.eggert@grillohandel.de, PT Timah Tbk Mentok, timah@pttimah.co.id, wiyono@pttimah.co.id</t>
  </si>
  <si>
    <t>Conformant- Reaudit In Progress, Conformant-Reaudit In Progress, Documentation review, http://www.responsiblemineralsinitiative.org/tin-conformant-smelters/                                                                                                           Conflict-Free Smelter Audit Review Committee (ARC) reviewed.
PT Timah (Persero) Tbk Mentok  is compliant with the RMI Program Supply Chain Transparency Smelter Audit Protocol. , Monitoring CFSI certifications., N.A. (CFS apporved Smelter), N/A, compliant smelter, no action need, No Action Required as company is RMAP conformant, none, None Required - RMI  certifed conflict free, None Required - RMI  certified conflict free, None, CFS Certified, PT Timah Tbk Mentok, RMAP Compliant Smelter, RMAP Conformant, Supplier contacts: hyeju.lee@amkor.com; catherine.pelissonnier@st.com; oh-dongho@auk.co.kr; hikhor@carsem.com; Infineon Customer Contact @infineon.com; joanne.ambat@nepeshayyim.com;  nutthaphon@focuz-mfg.com; julieli@chipbond.com.tw; soralee@asekr.com; eagle@solartech.com.tw; wooicheong_leow@globetronics.com.my; hwwang@viseratech.com; lisa.bjornson@sanmina.com; theodore.knudson@materion.com; yushin@harvatek.com; andreas.schwender@saxonia-tm.de; shelly.ding@inari-amertron.com.cn; Demi_Lo@arimalasers.com; Emily_Hsieh@epistar.com; andre.dinther@possehlelectronics.nl; cindy.dodd@avx.com; t.gruber@ats.net; Chih-Hung.Chen@opto.com.tw; zenglan.fei@wlcsp.com; Ajeannin@dymax.com; s.rossi@varioprint.ch; Ravikumar.Ramachandran@fci.com; td40_0138@mail.tsujiden.co.jp; Mia_Moh@aseglobal.com; oh-dongho@auk.co.kr, Validated by RMI until 09/05/2021</t>
  </si>
  <si>
    <t>0, BANGKA - BELITUNG ISLAND MINING AREA, Bangka &amp;amp; Belitung Mines, Bangka &amp;amp; Belitung Mines, PT Tambang Timah, Bangka Belitung Mines, From Bangka, Jawa Barat, Various locations in Bangka, Belitung, Karimun, Singkep and Kundur Islands | RCOI confirmed as per RMI | Kepulauan Bangka Belitung Mine, Bangka Mine, Belitung Mine, Bangka Selatan Mine, Bangka Tengah Mine | Nondisclosure, From Bangka, Mentok, Belitung Mines, INDONESIA, Kepulauan Bangka Belitung Mine, Bangka Mine, Belitung Mine, Bangka Selatan Mine, Bangka Tengah Mine, KUNDUR ISLAND MINING AREA, Kundur, Singkep, Karimun Island mining operation | This column would be traced/certified by CFS program. | CHINA | From Mentok, Bangka, Beiltung Islands, Kundur, Indonesia | 自社鉱区であり鉱山名無し | KUNDUR ISLAND MINING AREA | Tin Mine in Indonesia(No Name of Tin Mine) | RCOI confirmed per CFSI. | From Bangka, Jawa Barat, Various locations in Bangka, Belitung, Karimun, Singkep and Kundur Islands | PT TIMAH (Persero) Tbk | RCOI Confirmed as per CSFI | PT Tambang Timah | PT.TIMAH | RCOI confirmed as per CFSI | Nondisclosure | RCOI confirmed as per RMI | Bangka &amp;amp; Belitung Mines | RECYCLED | Kundur, Singkep, Karimun Island mining operation | This column would be traced/certified by CFS program. | From Bangka, Jawa Barat, Various locations in Bangka, Belitung, Karimun, Singkep and Kundur Islands | PT Tambang Timah | From  PT Tambang Timah | CH | own concession mining areas | Indonesia | From PT Tambang Timah | Indonesia ore (No mine name) | Mentok, Bangka, Beiltung Islands, Indonesia | RCOI confirmed per RMI., LR, Mentok, Bangka, Beiltung Islands, Indonesia, Mentok, Bangka, Belitung Islands, PT Tambang Timah, and recycled/scrap, No information, own concession mining areas | Bangka &amp;amp; Belitung Mines, PT Tambang Timah | RCOI confirmed per RMI | (1) Bangka &amp;amp; Belitung Mines
(2) Mentok, Bangka, Beiltung Islands, Indonesia
(3) PT Timah (Persero) Tbk Mentok | Bangka Belitung Mines | PT Tambang Timah, Bangka&amp;amp; Belitung  Island | PT Timah (Persero) Tbk Kundur, Pt Tambang Timah, Persero, Own Concession Mining Areas, Belitung Mines, Tbk Mentok, Nil, Tbk Kundur, PT Timah (Persero) Tbk Kundur, RCOI confirmed as per RMI, RCOI confirmed as per RMI., RCOI confirmed per RMI, Unknown</t>
  </si>
  <si>
    <t>0, Argentina, Austria, Belgium, Brazil, Cambodia, Canada, Chile, China, Colombia, Ecuador, Estonia, Ethiopia, Germany, Guyana, Hungary, India, Indonesia, Japan, Kazakhstan, Korea, Luxembourg, Malaysia, Mongolia, Myanmar, Namibia, Peru, Portugal, Recycled/Scrap, Taiwan, Bangka, Bangka and Belitung Island, Indonesia | INDONESIA | This column would be traced/certified by CFS program. | Excludes Covered Countries | Bangka, Indonesia | L1 | CHINA | インドネシア | DRC- Congo (Kinshasa), Myanmar, Cambodia, Malaysia, Kazakhstan, Portugal, Austria, Mongolia, Luxembourg, Korea, Republic of, Brazil, Guyana, Chile, Laos, Colombia, Ecuador, Argentina, Hungary, Japan, India, Canada, Belgium, Namibia, Taiwan, Peru, Ethiopia | Indonesia | RCOI Confirmed as per CSFI | RCOI confirmed as per CFSI | Nondisclosure | Nondisclosure (except for Democratic Republic of Congo or an adjoining Country) | RCOI confirmed as per RMI | RECYCLED | INDONESIA | This column would be traced/certified by CFS program. | L1 | Bangka, Indonesia | Mineral sourcing L1
Indonesia,Bangka | Excludes Covered Countries | CHINA | インドネシア | RCOI confirmed as per CFSI | DRC- Congo (Kinshasa), Myanmar, Cambodia, Malays | Bangka (Indonesia) | Myanmar, Cambodia, Malaysia, Kazakhstan, Portugal, Austria, Mongolia, Luxembourg, Korea, Republic of, Guyana, Brazil, Chile, Laos, Ecuador, Colombia, Argentina, Hungary, Japan, India, Canada, Belgium, Namibia, Taiwan, Peru, Germany, Ethiopia, Russian Fede | RAYA TIMAH ROAD NUMBER 1 MENTOK, WEST BANGKA, BANGKA BELITUNG ISLANDS PROVINCE | Mineral sourcing L1, Indonesia | No | Not Available, Bangka and Belitung Island,
Indonesia, CID001482, Confidential, DRC, Aland Islands,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From Indonesia, INDONESIA, Indonesia | Excludes Covered Countries and CAHRA | From Indonesia | the DRC or an adjoining country(covered countries) | RCOI confirmed per RMI | Bangka, Indonesia | Recycled/Scrap, Indonesia, India, Canada, Belgium, Malaysia, Brazil, Peru, Estonia, Portugal, Mongolia, Myanmar, Argentina, Colombia, Germany, Japan, China, Chile, Austria, Cambodia, Kazakhstan, Guyana, Ecuador, Hungary, Korea, Luxembourg, Namibia, Ethiop | INDONESIA, Indonesia, Recycled/Scrap, L1 | RCOI confirmed as per RMI | Myanmar, Cambodia, Malaysia, Kazakhstan, Portugal, Austria, Mongolia, Luxembourg, Korea, Republic of, Guyana, Brazil, Chile, Laos, Colombia, Ecuador, Argentina, Hungary, Japan, India, Canada, Belgium, Namibia, Taiwan, Peru, Ethiopia, Germany, Russian Fede | Not Available | Bangka | Excludes Covered Countries | RAYA TIMAH ROAD NUMBER 1 MENTOK, WEST BANGKA, BANGKA BELITUNG ISLANDS PROVINCE | Nondisclosure, Mineral sourcing LR, from Indonesia, Myanmar, Cambodia, Malaysia, Kazakhstan, Portugal, Austria, Mongolia, Luxembourg, Korea, Republic of, Brazil, Guyana, Chile, Laos, Ecuador, Colombia,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 Myanmar, Cambodia, Malaysia, Kazakhstan, Portugal, Austria, Mongolia, Luxembourg, Korea, Republic of, Guyana, Brazil, Chile, Laos, Colombia, Ecuador, Argentina, Hungary, Japan, India, Canada, Belgium, Namibia, Taiwan, Peru, Ethiopia, Germany, Russian Federation, Viet Nam, Singapore, United States, Egypt, Sierra Leone, Madagascar, Ivory Coast, Bolivia, Thailand, Netherlands, China, Ireland, Slovakia, Nigeria, France, United Kingdom, Switzerland, Spain, Djibouti, Czech Republic, Zimbabwe, Suriname, Israel, Australia, Estonia, Indonesia, 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Indonesia, Estonia, Myanmar, Cambodia, Malaysia, Kazakhstan, Portugal, Mongolia, Austria, Luxembourg, Brazil, Guyana, Korea, Republic of, Chile, Laos, Ecuador, Colombia,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Suriname, Israel, Australia, Indonesia, Estonia, Myanmar, Cambodia, Malaysia, Kazakhstan, Portugal, Mongolia, Austria, Luxembourg, Guyana, Brazil, Korea, Republic of, Chile, Laos, Ecuador, Colombia,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Indonesia, Estonia, Myanmar, Cambodia, Malaysia, Kazakhstan, Portugal, Mongolia, Austria, Luxembourg, Korea, Republic of, Brazil, Guyana, Chile, Laos, Ecuador, Colombia,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Indonesia, Estonia, No information, RCOI confirmed as per RMI, RCOI confirmed as per RMI., RCOI confirmed per RMI, Recycled/Scrap, Indonesia, India, Canada, Belgium, Malaysia, Brazil, Peru, Estonia, Portugal, Mongolia, Myanmar, Argentina, Colombia, Germany, Japan, China, Chile, Austria, Cambodia, Kazakhstan, Guyana, Ecuador, Hungary, Korea, Luxembourg, Namibia, Ethiopia, Taiwan, Australia, Switzerland, Thailand, Niger, Nigeria, Russian Federation, Zimbabwe, United Kingdom, Viet Nam, Ireland, United States, Sierra Leone, Spain, Egypt, France, Israel, Madagascar, Netherlands, Singapore, Slovakia, Suriname, Djibouti, the DRC or an adjoining country(covered countries), インドネシア</t>
  </si>
  <si>
    <t>Compliant, COMPLIANT 09/22/2015, Compliant Conformant, Conformant, Conformant Smelter, Conformant smelter according to RMI, audit valid until 2021, reassessment in progress, Conformant Smelter according to RMI, last cycle in 05.09.2018 with a cycle of 3 Years, http://www.timah.com/v2/css/img/uploaded/Letter%20of%20statement_24%20maret%202014_2.pdf, RCOI confirmed per RMI / RCOI confirmed per CFSI, Reviewed the composition of the raw materials, RMAP Conformant, RMAP Conformant Smelter, RMAP Conformant Smelter / RCOI confirmed per RMI, This smelter is CFS.
http://www.conflictfreesmelter.org/CompliantTinSmelterList.htm, This smelter is RMI Conformant.
http://www.responsiblemineralsinitiative.org/tin-smelters-list/, under investigation / recertification , Yes,Compliant with the RMI Program Supply Chain  Smelter</t>
  </si>
  <si>
    <t>CID002180</t>
  </si>
  <si>
    <t>Yuntinic Resources</t>
  </si>
  <si>
    <t>Yunnan Tin Company Limited</t>
  </si>
  <si>
    <t>No. 1 Smelting Road, Jinhu West Road, Gejiu Yunnan, China</t>
  </si>
  <si>
    <t>Gejiu</t>
  </si>
  <si>
    <t>Yunnan Sheng</t>
  </si>
  <si>
    <t>Mr. Lei, Mr. Yun Zheng, Mr. Zhang Peng, Ms. Vera Yang, Ms. Yang Wei
Mr. Zhang Peng, NA, not available, YANGWEI, Zhang Peng, 张先生</t>
  </si>
  <si>
    <t>customerservice@ytc.cn, info@ytc.cn, NA, not available, sjfw_rs@163.com, yangwei2907@163.com, yangwei2907@163.com
ytczp@126.com, ytczp@126.com</t>
  </si>
  <si>
    <t>Conformant-Reaudit In Progress, due diligence needed, N.A. (CFS apporved Smelter), NA, NO, No Action Required as company is RMAP conformant, None, CFS Certified, Reaudit In Progress, Supplier contacts: hyeju.lee@amkor.com; (Haining) sunyan@lfdjg.com; hikhor@carsem.com; Infineon Customer Contact @infineon.com; lisa.bjornson@sanmina.com; theodore.knudson@materion.com; andreas.schwender@saxonia-tm.de; shelly.ding@inari-amertron.com.cn; yunhong.wang@refond.com; cindy.dodd@avx.com; Chih-Hung.Chen@opto.com.tw</t>
  </si>
  <si>
    <t>0, Chang Feng, Gejiu Yunnan, Yunnan WuChang Ping Tin, Tin Chenzhou Mining and Metallurgy Co., Ltd., Gejiu Laochang Tin Mine, Song Shujiao Tin, Card Room Branch Yunnan Tin Co., Ltd., Yunnan Tin Company Limited Datun Old Factory Branch, and recycled/scrap, Datun Tin Mine, Malage Tin Mine,Songshujiao Tin Mine, From Gejiu Laochang Tin Mine, Song Shujiao Tin Mine, NA, No information, Nondisclosure, Recycled/Scrap, From Gejiu Laochang Tin Mine, Gejiu Laocha, Yunnan Tin Company Limited, Yunnan Wuchang Ping Tin Tin Chenzhou Mining and Metallurgy Co Ltd, Song Shujiao Tin Mine, /, RCOI confirmed per RMI, Recycled, Scrap and mines from Gejiu Laochang Tin Mine/Song Shujiao Tin Mine, Recycled, Scrap and mines from Gejiu Laochang Tin Mine/Song Shujiao Tin Mine | Some are recycled or scrap sourced but not all | recycled, Recycling and Datun Tin Mine, Malage Tin Mine,Songshujiao Tin Mine,Gejiu Laochang Tin Mine, Recycling and Datun Tin Mine, Malage Tin Mine,Songshujiao Tin Mine,Gejiu Laochang Tin Mine | RCOI confirmed per RMI, Some are recycled, scrap, covered countries or DRC sourced but not all, Some are recycled, scrap, covered countries or DRC sourced but not all. , Some are recycled/scrap sourced but not all., Yunnan Tin Co., card room Branch Yunnan Tin Co., Ltd. Yunnan Tin tin Datun old factory branch(云南锡业股份有限公司卡房分公司 云南锡业股份有限公司大屯锡矿 云南锡业股份有限公司老厂分公司), Yunnan Tin Company, Ltd., Yunnan Tin Group (Holding) Company Limited | Yunnan Tin Company Limited | Some are recycled, scrap, covered countries or DRC sourced but not all. | Nondisclosure | RCOI confirmed per RMI</t>
  </si>
  <si>
    <t>Australia, Belgium, Bolivia (Plurinational State of), Brazil, Canada, Chile, China, Colombia, Ethiopia, Germany, Hong Kong, Indonesia, Ireland, Japan, Malaysia, Mongolia, Myanmar, Niger, Nigeria, Peru, Recycled/Scrap, United Kingdom, United States, Australia, Belgium, Bolivia, Brazil, Canada, China, Ethiopia, Germany, Hong Kong, Indonesia, Malaysia, Myanmar, Peru, USA, recycled/scrap, China, DRC, Burundi, Rwanda, Uganda,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Includes Covered Countries, Includes Covered Countries and CAHRA, L1, CC, DRC, R/S, L1, CC, DRC, R/S | Some are recycled or scrap sourced but not all | Not Available | the DRC or an adjoining country(covered countries) | No. 1 Smelting Road, Jinhu West Road, Gejiu Yunnan, China | Includes Covered Countries, Mineral sourcing L1,R/S, from China, Mineral sourcing LR, HR, DRC, R/S based on RMAP-RMI's RCOI data, Mineral sourcing LR, HR, DRC, R/S based on RMAP-RMI's RCOI data | RCOI confirmed per RMI | China | Includes Covered Countries and CAHRA | Recycled/Scrap, China, Brazil, Malaysia, Australia, Indonesia, Myanmar, Peru, Canada, Germany, United States, Ethiopia, Belgium, Hong Kong, Myanmar, China, USA, Malaysia, Bolivia, Canada, Belgium, Brazil, Australia, Peru, Ethiopia, Germany, Indonesia, DRC or an adjoining country (Covered Countries), Recycled/Scrap, , Myanmar, China, USA, Malaysia, Bolivia, Canada, Belgium, Brazil, Australia, Peru, Ethiopia, Germany, Indonesia, DRC or an adjoining country (Covered Countries), Recycled/Scrap, | CHINA | Some are recycled, scrap, covered countries or DRC sourced but not all. | China | Nondisclosure | the DRC or an adjoining country(covered countries) | RCOI confirmed per RMI | Recycled/Scrap, Singapore, China, Myanmar, India, Brazil, USA | Includes Covered Countries, Myanmar, China, USA, Malaysia, Bolivia, Canada, Belgium, Brazil, Australia, Peru, Ethiopia, Germany, Indonesia, DRC or an adjoining country (Covered Countries), Recycled/Scrap,;Recycled/Scrap, China, Brazil, Malaysia, Australia, Indonesia, Myanmar, Peru, Canada, Germany, United States, Ethiopia, Belgium, Hong Kong, United Kingdom, Chile, Japan, Bolivia (Plurinational State of), Colombia, Ireland, Mongolia, Niger, Nigeria, Portugal, Russian Federation, Thailand, Argentina, Zimbabwe, Viet Nam, India, Singapore, France, Madagascar, Mali, Sierra Leone, Spain, Taiwan, Uzbekistan, Ghana, Eritrea, Austria, Benin, Ecuador, Guinea, Mauritania, Nicaragua, Togo, Armenia, Azerbaijan, Bahamas, Barbados, Belarus, Bosnia and Herzegovina, Botswana, Bulgaria, Burkina Faso, Cambodia, Cameroon, Croatia, Cyprus, Denmark, Dominica, Dominican Republic, Egypt, El Salvador, Estonia, Fiji, Finland, Gabon, Gambia, Georgia, Greece, Guatemala, Guyana, Honduras, Hungary, Iceland, Iran, Israel, Italy, Jordan, Kazakhstan, Korea, Kuwait, Kyrgyzstan, Latvia, Lebanon, Liberia, Libya, Liechtenstein, Lithuania, Luxembourg, Malta, Mauritius, Mexico, Morocco, Namibia, Netherlands, New Caledonia, New Zealand, Norway, Oman, Pakistan, Panama, Papua New Guinea, Philippines, Poland, Puerto Rico, Romania, San Marino, Saudi Arabia, Senegal, Serbia, Slovakia, Slovenia, Solomon Islands, Suriname, Sweden, Switzerland, Tajikistan, Trinidad and Tobago, Tunisia, Turkey, Ukraine, United Arab Emirates, Uruguay, Yemen, Burundi, Democratic Republic of Congo, Rwanda, Uganda, Myanmar, Hong Kong, United States, Malaysia, Bolivia, Canada, Belgium, China, Brazil, Australia, Peru, Germany, Ethiopia, Indonesia, No information, RCOI confirmed as per RMI., RCOI confirmed per RMI, Recycled, Recycled/Scrap, China, Brazil, Malaysia, Australia, Indonesia, Myanmar, Peru, Canada, Germany, United States, Ethiopia, Belgium, Hong Kong, Some are recycled, scrap, covered countries or DRC sourced but not all, Some are recycled, scrap, covered countries or DRC sourced but not all. , Some are recycled/scrap sourced but not all., the DRC or an adjoining country(covered countries), Unknown</t>
  </si>
  <si>
    <t>Active, ACTIVE 09/22/2015, Compliant, Compliant Conformant, Conformant, Conformant Smelter, Conformant Smelter - some material may be sourced from the covered countries, Conformant smelter according to RMI, audit valid until 2022, Conformant Smelter according to RMI, last cycle in 13.07.2018 with a cycle of 1 Year, Outreach to supply chain, Part or all material comes from Covered Country, RCOI confirmed as per RMAP, RCOI confirmed per RMI, RMAP certified Conflict Free. Some material sourced from the covered countries., RMAP Conformant, RMAP Conformant Smelter, RMAP Conformant Smelter / RCOI confirmed per RMI, This smelter is Active Tin smelter and engaged in the RMAP.
http://www.responsiblemineralsinitiative.org/tin-smelters-list/</t>
  </si>
  <si>
    <t>CID002181</t>
  </si>
  <si>
    <t>CID003397</t>
  </si>
  <si>
    <t>Yunnan Yunfan Non-ferrous Metals Co., Ltd.</t>
  </si>
  <si>
    <t>Babaoshu, Zhadian, Jijie Town, Gejiu, Honghe State, Yunnan Province</t>
  </si>
  <si>
    <t>0, Li Haiying, Li Jinling, Tin</t>
  </si>
  <si>
    <t>0, 395124028@qq.com, 745992996@qq.com, Yunnan Yunfan Non-ferrous Metals Co., Ltd.</t>
  </si>
  <si>
    <t>no action need, No Action Required as company is RMAP conformant, Validated by RMI until 06/23/2022, Yunnan Yunfan Non-ferrous Metals Co., Ltd.</t>
  </si>
  <si>
    <t>0, CHINA, not available, RCOI confirmed per RMI, Recycled and scrap, and mines not disclosed by supplier, Some are recycled or scrap sourced but not all. , Some are recycled or scrap sourced but not all. | RCOI confirmed per RMI, Some are recycled/scrap sourced but not all., Unknown,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</si>
  <si>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Australia, Brazil, China, Colombia, Ethiopia, France, Indonesia, Ireland, Madagascar, Malaysia, Mongolia, Myanmar, Niger, Nigeria, Peru, Portugal, Recycled/Scrap, Russian Federation, Sierra Leone, Spain, Taiwan, Thailand, United Kingdom, United States, CID003397, Due diligence results pending, Due diligence results pending;Recycled/Scrap, China, Australia, Brazil, Colombia, Ethiopia, France, Indonesia, Ireland, Madagascar, Malaysia, Mongolia, Myanmar, Niger, Nigeria, Peru, Portugal, Russian Federation, Sierra Leone, Spain, Taiwan, Thailand, United Kingdom, United States, Argentina, Austria, Chile, Ecuador, India, Japan, Belgium, Cambodia, Canada, Egypt, Estonia, Germany, Guyana, Hungary, Israel, Kazakhstan, Korea, Luxembourg, Namibia, Netherlands, Singapore, Slovakia, Suriname, Switzerland, Zimbabwe, Djibouti, Viet Nam, Mali, Uzbekistan, Ghana, Benin, Bolivia (Plurinational State of), Eritrea, Guinea, Mauritania, Nicaragua, Togo, Liechtenstein,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Lithuania, Malta, Mauritius, Mexico, Morocco, New Caledonia, New Zealand, Norway, Oman, Pakistan, Panama, Papua New Guinea, Philippines, Poland, Puerto Rico, Romania, San Marino, Saudi Arabia, Senegal, Serbia, Slovenia, Solomon Islands, Sweden, Tajikistan, Trinidad and Tobago, Tunisia, Turkey, Ukraine, United Arab Emirates, Uruguay, Yemen, Excludes Covered Countries, Excludes Covered Countries and CAHRA, L1, R/S, L1, R/S | Not Available, Mineral sourcing L1,R/S based on RMAP-RMI's RCOI data, No known country of origin, Not Available, RCOI confirmed per RMI, Recycled/Scrap, Some are recycled or scrap sourced but not all. , Some are recycled/scrap sourced but not all., Unknown, Unknown, but no reason to believe sources from covered countries</t>
  </si>
  <si>
    <t xml:space="preserve">0, Compliant, Compliant Conformant, Conformant, Conformant Smelter, Conformant Smelter according to RMI, last cycle in 23.06.2020 with a cycle of 1 Year, RCOI confirmed as per RMAP, RCOI confirmed per RMI, RMAP Conformant, This smelter/refiner is included on the RMI's Standard Smelter list but was removed from the RMAP Conformant Smelter list on February 3, 2022 for not completing a re-audit despite multiple outreach attempts. Our Supplier Intel has requested suppliers to remove this SOR from the supply chain.	</t>
  </si>
  <si>
    <t>CID002196</t>
  </si>
  <si>
    <t>Zhangzhou Hiromi Non-ferrous Metals Co., Ltd.</t>
  </si>
  <si>
    <t>CID002197</t>
  </si>
  <si>
    <t>Zhangzhou Xiangcheng Hongyu Building</t>
  </si>
  <si>
    <t>Guangdong</t>
  </si>
  <si>
    <t>CID002220</t>
  </si>
  <si>
    <t>Zhongshan Jinye Smelting Co.,Ltd</t>
  </si>
  <si>
    <t>CID002223</t>
  </si>
  <si>
    <t>ZhongShi</t>
  </si>
  <si>
    <t>CID002229</t>
  </si>
  <si>
    <t>Zhuhai Horyison Solder Co., Ltd.</t>
  </si>
  <si>
    <t>CID002833</t>
  </si>
  <si>
    <t>ACL Metais Eireli</t>
  </si>
  <si>
    <t>Araçariguama</t>
  </si>
  <si>
    <t>Andréia Camargo, Yang Mei (Vice Gener, Yuri Darian</t>
  </si>
  <si>
    <t>aclmetais@aclmetais.com.br, yangmei@hengdong-wolfram.com</t>
  </si>
  <si>
    <t>Conformant- Reaudit In Progress, No Action Required as company is RMAP conformant, Remove from supply chain, Supplier contacts: hyeju.lee@amkor.com; catherine.pelissonnier@st.com; Infineon Customer Contact @infineon.com;  lisa.bjornson@sanmina.com; yushin@harvatek.com, Validated by RMI until 08/28/2021</t>
  </si>
  <si>
    <t>0, L1, No information, Not disclosed by supplier, RCOI confirmed as per RMI | Not disclosed by supplier, RCOI confirmed as per RMI | RCOI confirmed as per CFSI | not available | Not disclosed by supplier | Not disclosed by supplier, RCOI confirmed as per RMI., RCOI confirmed per RMI, Unknown, Unknown, but some recycled/scrap</t>
  </si>
  <si>
    <t>0,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Guam,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Ecuador, Ethiopia, Germany, Guam, Guyana, Hungary, India, Japan, Kazakhstan, Korea, Luxembourg, Malaysia, Mongolia, Morocco, Myanmar, Peru, Portugal, Recycled/Scrap, Russian Federation, Taiwan, Brazil, Japan, Brazil, Japan, Guam, India, Morocco, Recycled/Scrap, Mongolia, Portugal, Russian Federation, Austria, Canada, Ethiopia, Malaysia, Myanmar, Peru, Taiwan, Korea, Argentina, Belgium, Cambodia, Chile, Ecuador, Germany, Guyana, Hungary, Kazakhstan, Luxembourg, Namibia, China, Australia, Ireland, Niger, Nigeria, Spain, United Kingdom, United States, Colombia, Viet Nam, Uzbekistan, Bolivia (Plurinational State of), Mexico, Panama, France, Indonesia, Madagascar, Sierra Leone, Thailand, Egypt, Estonia, Israel, Netherlands, Slovakia, Suriname, Switzerland, Zimbabwe, Djibouti, Singapore, Ghana, Mali, Turkey, Armenia, Azerbaijan, Bahamas, Barbados, Belarus, Benin, Bosnia and Herzegovina, Botswana, Bulgaria, Burkina Faso, Cameroon, Croatia, Cyprus, Denmark, Dominica, Dominican Republic, El Salvador, Eritrea, Fiji, Finland, Gabon, Gambia, Georgia, Greece, Guatemala, Guinea, Honduras, Hong Kong, Iceland, Iran, Italy, Jordan, Kuwait, Kyrgyzstan, Latvia, Lebanon, Liberia, Libya, Liechtenstein, Lithuania, Malta, Mauritania, Mauritius, New Caledonia, New Zealand, Nicaragua, Norway, Oman, Pakistan, Papua New Guinea, Philippines, Poland, Puerto Rico, Romania, San Marino, Saudi Arabia, Senegal, Serbia, Slovenia, Solomon Islands, Sweden, Tajikistan, Togo, Trinidad and Tobago, Tunisia, Ukraine, United Arab Emirates, Uruguay, Yemen, Excludes Covered Countries, Excludes Covered Countries and CAHRA, From Brazil and Japan, Mineral sourcing L1 based on RMAP-RMI's RCOI data, No information, No known country of origin, No known country of origin | RCOI confirmed as per RMI | São Paulo | RCOI confirmed as per CFSI | No known country of origin | L1 | Does not source from DRC or covered countries | São Paulo | Mineral sourcing L1, not disclosed by supplier | RUA SÃO MARCOS, 237 DISTRITO INDUSTRIAL | L1 | Mineral sourcing L1, not disclosed by RMI | Excludes Covered Countries, RCOI confirmed as per RMI | L1 | RUA SÃO MARCOS, 237 DISTRITO INDUSTRIAL | Excludes Covered Countries, RCOI confirmed as per RMI., RCOI confirmed per RMI, Unknown</t>
  </si>
  <si>
    <t>Compliant Conformant, Conformant, Conformant Smelter, Conformant smelter according to RMI, audit valid until 2021, reassessment in progress, Conformant Smelter according to RMI, last cycle in 28.08.2018 with a cycle of 3 Years, Listed on CFSI Conflict Free Smelter List, RCOI confirmed per RMI, RMAP Conformant</t>
  </si>
  <si>
    <t>CID002778</t>
  </si>
  <si>
    <t>WIELAND Edelmetalle GmbH</t>
  </si>
  <si>
    <t>Schwenninger Straße 13, 75119 Pforzheim</t>
  </si>
  <si>
    <t>Gold, NA, Nadine Kastner, Stefan Helmling</t>
  </si>
  <si>
    <t>helmling@wieland-edelmetalle.de, helmling@wieland-edelmetalle.de
Stefan.Helmling@wieland-edelmetalle.de, helmling@wieland-edelmetalle.de, Stefan.Helmling@wieland-edelmetalle.de, NA, Nadine.Kastner@wieland-edelmetalle.de, WIELAND Edelmetalle GmbH</t>
  </si>
  <si>
    <t>Conformant-audited by RJC- valid until 07/21/2025, Conformant-audited by RJC- valid until 12/18/2022, NA, no action need, No Action Required as company is RMAP conformant, RCOI validated by RMI Protocols , Supplier contacts: hyeju.lee@amkor.com; catherine.pelissonnier@st.com; (Phiron) nancy.joy@materion.com; Infineon Customer Contact @infineon.com;  jeffery.hung@awsc.com.tw; nadine.jahn@aim-micro-systems.de; lisa.bjornson@sanmina.com; theodore.knudson@materion.com; yushin@harvatek.com; andreas.schwender@saxonia-tm.de; s.rossi@varioprint.ch, Validated by RJC until 12/18/2022, WIELAND Edelmetalle GmbH</t>
  </si>
  <si>
    <t>0, GERMANY, NA, No information, Not disclosed per RJC, RCOI confirmed as per RMI., RCOI confirmed per RMI, Recycled and mining not disclosed by supplier, Recycled and mining not disclosed by supplier | Sourced from Mines/Recyale/Scrap | RCOI confirmed per RMI, Recycled and scrap, and mines not disclosed by supplier, Recycled, Scrap and mines, Recycled, Scrap and mines | Some are recycled or scrap sourced but not all, Schrott, scrap, See aggregated data below for RJC Sourcing, Some are recycled or scrap sourced but not all | Some are recycled or scrap sourced but not all | recycled + scrap sourced | Not disclosed by supplier | Recycled, Scrap and mines | Not disclosed by supplier | Recycled, Scrap and mines, Some are recycled or scrap sourced but not all. , Some are recycled/scrap sourced but not all., Unknown, but some recycled/scrap</t>
  </si>
  <si>
    <t>Andorra, Australia, Austria, Benin, Bolivia, Brazil, Burkina Faso, Canada, Chile, China, Colombia, Ecuador, Eritrea, Ethiopia, France, Germany, Ghana, Guatemala, Guinea, Guyana, Honduras, Indonesia, Ireland, Madagascar, Malaysia, Mali, Mongolia, Myanmar, Nicaragua, Niger, Nigeria, Panama, Peru, Portugal, Russia, Senegal, Sierra Leone, Spain, Switzerland, Taiwan, Thailand, Togo, USA, United Kingdom, Uzbekistan, Recycled/Scrap, Benin, Bolivia (Plurinational State of), Burkina Faso, Canada, Chile, Colombia, Ecuador, Eritrea, Germany, Ghana, Guatemala, Guinea, Guyana, Honduras, Mali, Nicaragua, Panama, Peru, Recycled/Scrap, Russian Federation, Senegal, Switzerland, United States, CID002778, Excludes Covered Countries, Germany, Germany | Some are recycled or scrap sourced but not all | Excludes Covered Countries | Some are recycled or scrap sourced but not all | Germany | L1, R/S | Recycled/Scrap Only | Does not source from DRC or covered countries | Mineral sourcing L1, R/S, not disclosed by supplier | L1, R/S | Schwenninger Straße 13, 75119 Pforzheim | Mineral sourcing L1, R/S, not disclosed by RMI, Germany, Switzerland, Recycled/Scrap, Germany, Switzerland, Recycled/Scrap;Recycled/Scrap, Germany, Switzerland, Peru, Russian Federation, Colombia, Ghana, Mali, United States, Benin, Bolivia (Plurinational State of), Burkina Faso, Canada, Chile, Ecuador, Eritrea, Guatemala, Guinea, Guyana, Honduras, Nicaragua, Panama, Senegal, Togo, Andorra, China, Australia, Brazil, Ethiopia, France, Indonesia, Ireland, Madagascar, Malaysia, Mongolia, Myanmar, Niger, Nigeria, Portugal, Sierra Leone, Spain, Taiwan, Thailand, United Kingdom, Uzbekistan, Austria, L1, R/S, L1, R/S | Some are recycled or scrap sourced but not all | Germany | Schwenninger Straße 13, 75119 Pforzheim | Excludes Covered Countries, Mineral R/S and mining from Germany, Switzerland, Mineral R/S and mining from Germany, Switzerland | Germany, Switzerland, Recycled/Scrap | RCOI confirmed per RMI, Mineral sourcing not disclosed per RJC, NA, No information, Not disclosed per RJC, RCOI confirmed as per RMI., RCOI confirmed per RMI, Recycled/Scrap, Germany, Switzerland, Recycled/Scrap, Germany, Switzerland, Peru, Russian Federation, Colombia, Ghana, Mali, United States, Benin, Bolivia (Plurinational State of), Burkina Faso, Canada, Chile, Ecuador, Eritrea, Guatemala, Guinea, Guyana, Honduras, Nicaragua, Panama, Senegal, Togo, Andorra, China, Australia, Brazil, Ethiopia, France, Indonesia, Ireland, Madagascar, Malaysia, Mongolia, Myanmar, Niger, Nigeria, Portugal, Sierra Leone, Spain, Taiwan, Thailand, United Kingdom, Uzbekistan, Austria, Schrott, scrap, Some are recycled or scrap sourced but not all. , Unknown</t>
  </si>
  <si>
    <t>Compliant, Compliant Conformant, Conformant, Conformant Smelter, Conformant smelter according to RMI, audit valid until 2022, Conformant Smelter according to RMI, last cycle in 18.12.2019 with a cycle of 3 Years, RCOI confirmed as per RMAP (LBMA Good Delivery List Refiners Source - Mined  Material, LBMA Good Delivery List Refiners Source - Recycled Material, and/or RJC Refiners Source - Mined  Material), RCOI confirmed per RMI, RMAP Conformant, RMAP Conformant Smelter, RMAP Conformant Smelter / RCOI confirmed per RMI, SC</t>
  </si>
  <si>
    <t>CID002063</t>
  </si>
  <si>
    <t>Wuzhong Group</t>
  </si>
  <si>
    <t>CID002076</t>
  </si>
  <si>
    <t>Xiamen JInbo Metal Co., Ltd.</t>
  </si>
  <si>
    <t>Xiamen Jinbo Metal Co., Ltd.</t>
  </si>
  <si>
    <t>CID002548</t>
  </si>
  <si>
    <t>Materion Newton Inc.</t>
  </si>
  <si>
    <t>H.C. Starck Inc.</t>
  </si>
  <si>
    <t>45 Industrial Place, Newton, MA 02461-1951</t>
  </si>
  <si>
    <t>Newton</t>
  </si>
  <si>
    <t>Massachusetts</t>
  </si>
  <si>
    <t>Dale Lathrop, Jai Subramanian, Mark Smolinsky, Mark Smolinsky
Mr John Roberts, Mr. Chang Yu Zhoug, Toscana</t>
  </si>
  <si>
    <t>dales.lathrop@HCStarck.com, dept1@cniecjx.com, Jai.Subramanian@hcstarck.com, mark.smolinsky@hcstarck.com, mark.smolinsky@hcstarck.com
john.roberts@hcstarck.com, mark.smolinsky@taniobis.com</t>
  </si>
  <si>
    <t>Conformant, Conformant-audited by RMI (members / partners)- valid until 11/09/2023, N/A, N/A, CFS certified smelter., no action need, No Action Required as company is RMAP conformant, None, CFS Certified, Reaudit In Progress, RMAP Conformant Smelters, Supplier contacts: Infineon Customer Contact @infineon.com; theodore.knudson@materion.com; yushin@harvatek.com</t>
  </si>
  <si>
    <t>0, From Jiangxi Dajichan Tungsten Industry Ltd, Mibra, Kenticha,Talison., From Jiangxi Dajichan Tungsten Industry Ltd, Mibra, Kenticha,Talison. | Some are recycled or scrap sourced but not all, Jiangxi Dajichan Tungsten Industry Ltd., Mibra, Kenticha, Talison, and recycled/scrap, LR, R/S, NA, No information, Raw material is sourced from multiple conflict-free mines globally. Industry standard traceability schemes and other information sources are utilzed. Names and locations of all mines are disclosed to the auditor during the CSI audit., RCOI confirmed per RMI, Recycled and mining not disclosed by supplier, Recycled and mining not disclosed by supplier | Recycled or scrp, and mining
Raw material is sourced from multiple conflict-free mines globally. Industry standard traceability schemes and other information sources are utilzed. Names and locations of all mines are disclosed to the auditor during the CSI | RCOI confirmed per RMI, Recycled and scrap, and from various mines, Talison, Some are recycled, scrap, covered countries or DRC sourced but not all, Some are recycled, scrap, covered countries or DRC sourced but not all. | RCOI confirmed per RMI, Some are recyled/scrap sourced but not all., SWEDEN | From Mibra, Kenticha,Talison | RCOI Confirmed as per CSFI | Not disclosed | Some are recycled or scrap sourced but not all | Various mines, Talison | From Mibra, GAM, Kenticha,Talison, some are recycled, scrap  but not all. | SWEDEN | Some are recycled or scrap sourced but not all | Various mines, Talison | From Mibra, Kenticha,Talison | RCOI Confirmed as per CSFI | Not disclosed | From Jiangxi Dajicha | From Jiangxi Dajichan Tungsten Industry Ltd, Mibra, Kenticha,Talison. | From various mines, Talison, Talison, Kenticha, Recycled/Scrap, Mibra</t>
  </si>
  <si>
    <t>Australia, Bolivia, Brazil, Burundi, Democratic Republic of Congo, Ethiopia, India, Mozambique, Namibia, Nigeria, Rwanda, Sierra Leone, Zimbabwe, Australia, Bolivia, Brazil, Ethiopia, India, Mozambique, Namibia, Rwanda, Sierra Leone, Zimbabwe, Burundi, Namibia, Nigeria, DRC or an adjoining country (Covered Countries), USA, Japan, Canada, China, Germany, Recycled/Scrap, Russia, Australia, Slovenia, Australia, Brazil, Burundi, Canada, China, Congo, Democratic Republic of Congo, Eritrea, Ethiopia, Germany, India, Japan, Mozambique, Namibia, Niger, Nigeria, Recycled/Scrap, Rwanda, Sierra Leone, Slovenia, United States, Zimbabwe, Burundi, Congo Republic, Rwanda, Australia, Australia, Bolivia, Brazil, Canada, China, Ethiopia, Germany, India, Japan, Mozambique, Namibia, Namibia, Nigeria, Russia, Sierra Leone, Slovenia, USA, Zimbabwe, recycled/scrap, Burundi, United States, Japan, Rwanda, Sierra Leone, Congo (Brazzaville), Bolivia, India, Canada, Mozambique, China, Namibia, Brazil, Zimbabwe, Australia, Nigeria, Germany, Ethiopia, Burundi, United States, Japan, Rwanda, Sierra Leone, Congo (Brazzaville), Bolivia, India, Canada, Mozambique, Namibia, China, Brazil, Zimbabwe, Australia, Nigeria, Ethiopia, Germany, DRC, Burundi, Rwanda, Andorra, Argentina, Aruba, Australia, Austria, Benin, Bolivia, Brazil, Burkina Faso, Cambodia, Canada, Chile, China, Colombia, Dominican Republic, Ecuador, Eritrea, Ethiopia, France, Germany, Ghana, Guatemala, Guinea, Guyana, Honduras, India, Indonesia, Ireland, Japan, Madagascar, Malaysia, Mali, Mexico, Mongolia, Mozambique, Myanmar, Namibia, Nicaragua, Niger, Nigeria, Panama, Peru, Portugal, Russia, Senegal, Sierra Leone, Slovenia, Spain, Sweden, Taiwan, Thailand, Togo, USA, United Kingdom, Uzbekistan, Vietnam, Zimbabwe, Recycled/Scrap, Includes Covered Countries, Includes Covered Countries and CAHRA, Includes Covered Countries and CAHRA | Mineral R/S and mining from Brazil, India, Zimbabwe, Ethiopia, Sierra Leone, Niger, Nigeria, Mozambique, Rwanda, United States, Burundi, Australia, Namibia, China, Germany, Japan, Canada, Slovenia, Congo, Democratic Republic of Congo | Mineral sourcing LR, R/S, Australia, Bolivia, Brazil, Burundi, Democratic Republic of Congo, Ethiopia, India, Mozambique, Namibia, Nigeria, Rwanda, Sierra Leone, Zimbabwe | RCOI confirmed per RMI | Not coverd countries area, L1, CC, DRC, R/S, L1, CC, DRC, R/S | Some are recycled or scrap sourced but not all | Burundi, United States, Japan, Rwanda, Sierra Leone, Congo (Brazzaville), Bolivia, India, Canada, Mozambique, Namibia, China, Brazil, Zimbabwe, Nigeria, Australia, Germany, Ethiopia | the DRC or an adjoining country(covered countries) | Includes Covered Countries | 45 Industrial Place, Newton, MA 02461-1951, L1, R/S | Includes Covered Countries | SWEDEN | Burundi, United States, Japan, Rwanda, Sierra Leone, Congo (Brazzaville), Bolivia, India, Canada, Mozambique, China, Namibia, Brazil, Zimbabwe, Australia, Nigeria, Ethiopia, Germany | RCOI confirmed as per CFSI | L1, L3, DRC, R/S | RCOI Confirmed as per CSFI | Not disclosed | Some are recycled or scrap sourced but not all | Bolivia, Brazil, Burundi, Ethiopia, India, Mozambique, Nambia, Rwanda, Sierra Leone, Zimbabwe, Nigeria, DRC | L1, R/S | L1/RS | Includes Covered Countries | SWEDEN | Some are recycled or scrap sourced but not all | Burundi, United States, Japan, Rwanda, Sierra Leone, Congo (Brazzaville), Bolivia, India, Canada, Mozambique, China, Namibia, Brazil, Zimbabwe, Austra | the DRC or an adjoining country(covered countries) | Burundi, United States, Japan, Rwanda, Sierra Leone, Congo (Brazzaville), Bolivia, India, Canada, Mozambique, Namibia, China, Brazil, Zimbabwe, Nigeria, Australia, Ethiopia, Germany | 45 Industrial Place, Newton, MA 02461-1951 | Not coverd countries area | L1, CC, DRC, R/S | Unknown. The smelter refused to disclose its COI publicly. | Mineral sourcing LR, R/S, Bolivia, Brazil, Burundi, Ethiopia, India, Mozambique, Nambia, Rwanda, Sierra Leone, Zimbabwe, Nigeria, DRC, Mineral R/S and mining from Brazil, India, Zimbabwe, Ethiopia, Sierra Leone, Niger, Nigeria, Mozambique, Rwanda, United States, Burundi, Australia, Namibia, China, Germany, Japan, Canada, Slovenia, Congo, Democratic Republic of Congo, Mineral sourcing LR, R/S, Australia, Bolivia, Brazil, Burundi, Democratic Republic of Congo, Ethiopia, India, Mozambique, Namibia, Nigeria, Rwanda, Sierra Leone, Zimbabwe, NA, No information, Not coverd countries area, RCOI confirmed per RMI, Recycled/Scrap, Brazil, India, Zimbabwe, Ethiopia, Sierra Leone, Niger, Nigeria, Mozambique, Rwanda, United States, Burundi, Australia, Namibia, China, Germany, Japan, Canada, Slovenia, Congo, Democratic Republic of Congo, Some are recycled, scrap, covered countries or DRC sourced but not all, Some are recyled/scrap sourced but not all.</t>
  </si>
  <si>
    <t>Compliant, COMPLIANT 09/22/2015, Compliant Conformant, Conformant, Conformant Smelter, Conformant smelter according to RMI, audit valid until 2022, Conformant Smelter according to RMI, last cycle in 20.11.2019 with a cycle of 1 Year, Listed on CFSI Conflict Free Smelter List, Part or all material comes from Covered Country, RCOI confirmed as per RMAP, RCOI confirmed per RMI, RMAP certified Conflict Free. Some material sourced from the covered countries., RMAP Conformant, RMAP Conformant Smelter, RMAP Conformant Smelter / RCOI confirmed per RMI, This smelter is CFS. http://www.responsiblemineralsinitiative.org/tantalum-conformant-smelters/, This smelter is RMI Conformant.
http://www.responsiblemineralsinitiative.org/tantalum-smelters-list/</t>
  </si>
  <si>
    <t>CID002549</t>
  </si>
  <si>
    <t>TANIOBIS Japan Co., Ltd.</t>
  </si>
  <si>
    <t>H.C. Starck Ltd.</t>
  </si>
  <si>
    <t>Mito</t>
  </si>
  <si>
    <t>Ibaraki</t>
  </si>
  <si>
    <t>CID002550</t>
  </si>
  <si>
    <t>TANIOBIS Smelting GmbH &amp; Co. KG</t>
  </si>
  <si>
    <t>H.C. Starck Smelting GmbH &amp; Co. KG</t>
  </si>
  <si>
    <t>Plant Rhina, Ferroweg 1, 79725 Laufenburg (Baden)</t>
  </si>
  <si>
    <t>Laufenburg</t>
  </si>
  <si>
    <t>Baden-Württemberg, Frank Habig</t>
  </si>
  <si>
    <t>frank.habig@hcstarck.com, frank.habig@hcstark.com, Frank.Habig@taniobis.com, frank.habig@taniobis.copm</t>
  </si>
  <si>
    <t>Conformant- Reaudit In Progress, Conformant-Reaudit In Progress, N/A, RMI certified smelter, NA, no action need, No Action Required as company is RMAP conformant, None, CFS Certified, Reaudit In Progress, RMAP Conformant Smelters, Supplier contacts: Infineon Customer Contact @infineon.com; theodore.knudson@materion.com; yushin@harvatek.com</t>
  </si>
  <si>
    <t>0, CANADA | Some are recycled, scrap, cover countries or DRC sourced but not all. | Not disclosed | Some are recycled, scrap or DRC sourced but not all | From Several mines around the world. All mines are conflict free.Name of the mines is confidential by business reasons. All mines checked during CFSI Audit | CANADA | Some are recycled, scrap or DRC sourced but not all | Raw material is sourced from multi | Recycled, Scrap and mines | Recycled, Scrap and mines, not disclosed by supplier | Some are recycled, scrap, covered countries or DRC sourced but not all., LR, R/S, No information, Raw material is sourced from multiple conflict-free mines globally. Industry standard traceability schemes and other information sources are utilzed. Names and locations of all mines are disclosed to the auditor during the CSI audit., RCOI confirmed per RMI, Recycled and mining not disclosed by supplier, Recycled and mining not disclosed by supplier | Recycled or scrp, and mining
Raw material is sourced from multiple conflict-free mines globally. Industry standard traceability schemes and other information sources are utilzed. Names and locations of all mines are disclosed to the auditor during the CSI | RCOI confirmed per RMI, Recycled, Scrap and mines, Recycled, Scrap and mines | Some are recycled, scrap, covered countries or DRC sourced but not all., Recycled, Scrap, Raw material is sourced from multiple conflict-free mines globally., Some are recycled, scrap, covered countries or DRC sourced but not all, Some are recycled, scrap, covered countries or DRC sourced but not all. | RCOI confirmed per RMI, Some are recycled/scrap, high risk countries, covered countries, and DRC sourced but not all., Unknown, but some recycled/scrap</t>
  </si>
  <si>
    <t>Argentina, Australia, Austria, Belgium, Brazil, Burundi, Cambodia, Canada, Chile, Colombia, Congo, Democratic Republic of Congo, Ecuador, Ethiopia, Germany, Guyana, Hungary, India, Japan, Kazakhstan, Korea, Luxembourg, Malaysia, Mongolia, Mozambique, Myanmar, Namibia, Niger, Nigeria, Portugal, Recycled/Scrap, Rwanda, Sierra Leone, Zimbabwe, Australia, Bolivia, Brazil, Burundi, Democratic Republic of Congo, Ethiopia, India, Mozambique, Namibia, Nigeria, Rwanda, Sierra Leone, Zimbabwe, Australia, Bolivia, Brazil, Burundi, DRC or an adjoining country (Covered Countries), Ethiopia, India, Mozambique, Namibia, Nigeria, Rwanda, Sierra Leone, Zimbabwe, Recycled/Scrap, Australia, Bolivia, Brazil, Burundi, DRC or an adjoining country (Covered Countries), Ethiopia, India, Mozambique, Namibia, Nigeria, Rwanda, Sierra Leone, Zimbabwe, Recycled/Scrap | Some are recycled, scrap, covered countries or DRC sourced but not all. | the DRC or an adjoining country(covered countries) | RCOI confirmed per RMI | Austria, Indonesia, China, Japan, Recycled/Scrap, Peru, Colombia, Mongolia, Italy | Includes Covered Countries and CAHRA, Australia, Bolivia, Brazil, Burundi, DRC or an adjoining country (Covered Countries), Ethiopia, India, Mozambique, Namibia, Nigeria, Rwanda, Sierra Leone, Zimbabwe, Recycled/Scrap;Recycled/Scrap,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 Peru, Bolivia (Plurinational State of), Guinea, Italy, Panama, Eritrea, Ghana, Mexico, Tanzania, Uganda, Zambia, Benin, South Africa, Andorra, Aruba, Saudi Arabia, DRC- Congo (Kinshasa), Myanmar, Cambodia, Malaysia, Kazakhstan, Portugal, Austria, Mongolia, Mozambique, Luxembourg, Brazil, Guyana, Korea, Republic of, Chile, Laos, Colombia, Ecuador, Argentina, Hungary, Japan, Congo (Brazzaville), India, Canada, Belgium, Namibia, Taiwan, Ethiopia, Germany, Russian Federation, Burundi, Viet Nam, Singapore, United States, Egypt, Madagascar, Sierra Leone, Ivory Coast, Thailand, Bolivia, Netherlands, China, Ireland, Slovakia, France, Nigeria, Rwanda, United Kingdom, Switzerland, Spain, Djibouti, Czech Republic, Zimbabwe, Suriname, Israel, Australia, Estonia, Indonesia, DRC- Congo (Kinshasa), Myanmar, Cambodia, Malaysia, Kazakhstan, Portugal, Austria, Mongolia, Mozambique, Luxembourg, Guyana, Brazil, Korea, Republic of, Chile, Laos, Colombia, Ecuador, Argentina, Hungary, Japan, Congo (Brazzaville), India, Canada, Belgium, Namibia, Taiwan, Ethiopia, Germany, Burundi, Russian Federation, Singapore, Viet Nam, United States, Egypt, Madagascar, Sierra Leone, Ivory Coast, Thailand, Bolivia, Netherlands, Ireland, China, Slovakia, France, Nigeria, Rwanda, United Kingdom, Switzerland, Spain, Djibouti, Czech Republic, Zimbabwe, Suriname, Israel, Australia, Estonia, Indonesia, DRC- Congo (Kinshasa), Myanmar, Cambodia, Malaysia, Kazakhstan, Portugal, Mongolia, Austria, Mozambique, Luxembourg, Brazil, Guyana, Korea, Republic of, Chile, Laos, Ecuador, Colombia, Argentina, Hungary, Japan, Congo (Brazzaville), India, Canada, Belgium, Namibia, Taiwan, Ethiopia, Germany, Russian Federation, Burundi, Singapore, Viet Nam, United States, Egypt, Madagascar, Sierra Leone, Ivory Coast, Bolivia, Thailand, Netherlands, Ireland, China, Slovakia, Nigeria, France, Rwanda, United Kingdom, Switzerland, Spain, Djibouti, Czech Republic, Zimbabwe, Suriname, Israel, Australia, Indonesia, Estonia, DRC- Congo (Kinshasa), Myanmar, Cambodia, Malaysia, Kazakhstan, Portugal, Mongolia, Austria, Mozambique, Luxembourg, Guyana, Korea, Republic of, Brazil, Chile, Laos, Colombia, Ecuador, Argentina, Hungary, Japan, Congo (Brazzaville), India, Canada, Belgium, Namibia, Taiwan, Ethiopia, Germany, Burundi, Russian Federation, Singapore, Viet Nam, United States, Egypt, Sierra Leone, Madagascar, Ivory Coast, Bolivia, Thailand, Netherlands, Ireland, China, Slovakia, France, Nigeria, Rwanda, United Kingdom, Switzerland, Spain, Djibouti, Czech Republic, Zimbabwe, Suriname, Israel, Australia, Estonia, Indonesia, DRC, Angola, Burundi, Central African Republic, Rwanda, South Sudan, Tanzania, Uganda, Zambia, Andorra, Argentina, Aruba,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Philippines, Portugal, Republic of Korea, Russia, Saudi Arabia, Sierra Leone, Singapore, Slovakia, South Africa, Spain, Sudan, Suriname, Switzerland, Taiwan, Thailand, USA, United Kingdom, Vietnam, Zimbabwe, Recycled/Scrap, DRC, Burundi, Rwanda, Australia, Bolivia, Brazil, Ethiopia, India, Mozambique, Namibia, Nigeria, Sierra Leone, Zimbabwe, recycled/scrap, Includes Covered Countries, Includes Covered Countries and CAHRA, Includes Covered Countries and CAHRA | Mineral sourcing LR,R/S from Australia, Bolivia, Brazil, Burundi, Democratic Republic of Congo, Ethiopia, India, Mozambique, Namibia, Nigeria, Rwanda, Sierra Leone, Zimbabwe | Oceania : Australia,
South America: Bolivia, Brazil, 
South Asia: India,
Africa : Burundi, Democratic Republic of Congo, Ethiopia,  Mozambique, Namibia, Nigeria, Rwanda, Sierra Leone, Zimbabwe | RCOI confirmed per RMI, L1, CC, DRC, R/S | Some are recycled, scrap, covered countries or DRC sourced but not all. | DRC- Congo (Kinshasa), Myanmar, Cambodia, Malaysia, Kazakhstan, Portugal, Austria, Mongolia, Mozambique, Luxembourg, Guyana, Korea, Republic of, Brazil, Chile, Laos, Colombia, Ecuador, Argentina, Hungary, Japan, Congo (Brazzaville), India, Canada, Belgium | the DRC or an adjoining country(covered countries) | Includes Covered Countries | Plant Rhina, Ferroweg 1, 79725 Laufenburg (Baden), L1, DRC, R/S | Includes Covered Countries | CANADA | DRC- Congo (Kinshasa), Myanmar, Cambodia, Malaysia, Kazakhstan, Portugal, Mongolia, Austria, Mozambique, Luxembourg, Guyana, Korea, Republic of, Brazil, Chile, Laos, Colombia, Ecuador, Argentina, Hungary, Japan, Congo (Brazzaville), India, Canada, Belgium | RCOI confirmed as per CFSI | L1, L3, DRC, R/S | Not disclosed | the DRC or an adjoining country(covered countirs) | Some are recycled, scrap or DRC sourced but not all | Mineral sourcing L1,R/S, Not disclosed by supplier | L1, DRC, R/S | Includes Covered Countries | CANADA | Some are recycled, scrap or DRC sourced but not all | DRC- Congo (Kinshasa), Myanmar, Cambodia, Malaysia, Kazakhstan, Portugal, Mongolia, Austria, Mozambique, Luxembourg, Guyana, Korea, Republic of, Bra | the DRC or an adjoining country(covered countries) | DRC- Congo (Kinshasa), Myanmar, Cambodia, Malaysia, Kazakhstan, Portugal, Austria, Mongolia, Mozambique, Luxembourg, Korea, Republic of, Guyana, Brazil, Chile, Laos, Ecuador, Colombia, Argentina, Hungary, Japan, Congo (Brazzaville), India, Canada, Belgium | Plant Rhina, Ferroweg 1, 79725 Laufenburg (Baden) | L1, CC, DRC, R/S | Unknown. The smelter refused to disclose its COI publicly. | Mineral sourcing LR, CC, DRC, R/S, Australia, Bolivia, Brazil, Burundi, Democratic Republic of Congo, Ethiopia, India, Mozambique, Namibia, Nigeria, Rwanda, Sierra Leone, Zimbabwe | Some are recycled, scrap, covered countries or DRC sourced but not all., LR, CC, DRC, R/S, Mineral sourcing LR, CC, DRC, HR, R/S, from Australia, Bolivia, Brazil, Burundi, Democratic Republic of Congo, Ethiopia, India, Mozambique, Namibia, Nigeria, Rwanda, Sierra Leone, Zimbabwe, Mineral sourcing LR,R/S from Australia, Bolivia, Brazil, Burundi, Democratic Republic of Congo, Ethiopia, India, Mozambique, Namibia, Nigeria, Rwanda, Sierra Leone, Zimbabwe, No information, RCOI confirmed per RMI, Recycled/Scrap, Brazil, India, Mozambique, Australia, Ethiopia, Namibia, Niger, Nigeria, Zimbabwe, Sierra Leone, Burundi, Rwanda, Democratic Republic of Congo, Germany, Guyana, Malaysia, Japan, Austria, Mongolia, Colombia, Myanmar, Portugal, Congo, Cambodia, Kazakhstan, Korea, Luxembourg, Canada, Argentina, Ecuador, Chile, Belgium, Hungary, Taiwan, China, United States, Russian Federation, Thailand, France, Madagascar, Indonesia, Spain, Djibouti, Egypt, Estonia, Ireland, Israel, Netherlands, Singapore, Slovakia, Suriname, Switzerland, United Kingdom, Viet Nam, Some are recycled, scrap, covered countries or DRC sourced but not all, Some are recycled/scrap, high risk countries, covered countries, and DRC sourced but not all., the DRC or an adjoining country(covered countries)</t>
  </si>
  <si>
    <t>Compliant, COMPLIANT 09/22/2015, Compliant Conformant, Conformant, Conformant Smelter, Conformant smelter according to RMI, audit valid until 2020, reassessment in progress, Conformant Smelter according to RMI, last cycle in 19.11.2019 with a cycle of 1 Year, Listed on CFSI Conflict Free Smelter List, Part or all material comes from Covered Country, RCOI confirmed as per RMAP, RCOI confirmed per RMI, RMAP certified Conflict Free. Some material sourced from the covered countries., RMAP Conformant, RMAP Conformant Smelter, RMAP Conformant Smelter / RCOI confirmed per RMI</t>
  </si>
  <si>
    <t>CV Makmur Jaya</t>
  </si>
  <si>
    <t>CV Nurjanah</t>
  </si>
  <si>
    <t>CID002706</t>
  </si>
  <si>
    <t>Daniel Clemente, Marilda Frigieri, Oruro, Tin</t>
  </si>
  <si>
    <t>Desenvolvimento@resind.com.br, mfrigieri@terra.com.br, mfrigieri@terra.com.br (Marilda Frigieri); laborat, Resind Industria e Comercio Ltda.</t>
  </si>
  <si>
    <t>Conformant, Conformant-Reaudit In Progress, no action need, No Action Required as company is RMAP conformant, None, CFS Certified, None; conformant to RMAP protocol, Resind Industria e Comercio Ltda., Supplier contacts: hyeju.lee@amkor.com; catherine.pelissonnier@st.com; Infineon Customer Contact @infineon.com; lisa.bjornson@sanmina.com; yushin@harvatek.com; Emily_Hsieh@epistar.com, Validated by RMI until 05/09/2022</t>
  </si>
  <si>
    <t>0, BRAZIL, Excludes Covered Countries, LR, No information, Not disclosed by supplier, Not disclosed by supplier | RCOI confirmed as per RMI, Not disclosed by supplier | RCOI confirmed as per RMI | RCOI confirmed as per CFSI | not available | Not disclosed by supplier | RCOI confirmed as per CFSI, RCOI confirmed as per RMI., RCOI confirmed per RMI, Unknown, but some recycled/scrap</t>
  </si>
  <si>
    <t>0, Argentina, Australia, Austria, Belgium, Brazil, Cambodia, Canada, Chile, China, Colombia, Djibouti, Ecuador, Egypt, Estonia, Ethiopia, France, Germany, Guyana, Hungary, India, Indonesia, Ireland, Israel, Japan, Niger, Nigeria, Recycled/Scrap, Zimbabwe, Burundi, Rwanda, Argentina, Australia, Austria, Belgium, Bolivia, Brazil, Cambodia, Canada, Chile, China, Colombia, Czech Republic, Djibouti, Ecuador, Egypt, Estonia, Ethiopia, France, Germany, Guyana, Hungary, India, Indonesia, Ireland, Israel, Ivory Coast, Japan, Kazakhstan, Mozambique, Namibia, Nigeria, Sierra Leone, USA, Zimbabwe, recycled/scrap, CID002706,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L1 | No known country of origin | Minas gerais | RCOI confirmed as per RMI | RCOI confirmed as per CFSI | Mineral sourcing L1, Not disclosed by supplier | L1 | Excludes Covered Countries | RCOI confirmed as per CFSI | No known country of origin | Minas gerais | Mineral sourcing L1, Not disclosed by supplier | Does not source from DRC or covered countries | Mineral sourcing L1, not disclosed by supplier | Rodovia BR 265 - Km 264 - Distrido Industrial de São João Del Rei - Minas gerais, CEP: 36315-000 | LR | Mineral sourcing L1, not disclosed by RMI | Not Available, Excludes Covered Countries and CAHRA, Excludes Covered Countries and CAHRA | Mineral sourcing LR based on RMAP-RMI's RCOI data, 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 LR, LR | L1 | RCOI confirmed as per RMI | No known country of origin | Not Available | Excludes Covered Countries | Rodovia BR 265 - Km 264 - Distrido Industrial de São João Del Rei - Minas gerais, CEP: 36315-000, Mineral sourcing LR based on RMAP-RMI's RCOI data, No information, No known country of origin, RCOI confirmed as per RMI., RCOI confirmed per RMI, Recycled/Scrap, Brazil, Indonesia, India, China, Argentina, Australia, Germany, Colombia, Austria, Canada, Guyana, Ethiopia, Ireland, Belgium, Cambodia, Chile, Ecuador, Egypt, Estonia, France, Hungary, Djibouti, Niger, Nigeria, Zimbabwe, Japan, United States, Israel, Namibia, Sierra Leone, Mozambique, Kazakhstan, Burundi, Rwanda</t>
  </si>
  <si>
    <t>Compliant, COMPLIANT 09/22/2015, Compliant Conformant, Conformant, Conformant Smelter, Conformant smelter according to RMI, audit valid until 2022, Conformant Smelter according to RMI, last cycle in 09.05.2019 with a cycle of 3 Years, RCOI confirmed per RMI, RMAP Conformant</t>
  </si>
  <si>
    <t>CID000538</t>
  </si>
  <si>
    <t>Gejiu Non-Ferrous Metal Processing Co., Ltd.</t>
  </si>
  <si>
    <t>CID000551</t>
  </si>
  <si>
    <t>GEJIU YE LIAN CHANG</t>
  </si>
  <si>
    <t>CID000769</t>
  </si>
  <si>
    <t>Hunan Jintai New Material Co., Ltd.</t>
  </si>
  <si>
    <t>Hunan Chunchang Nonferrous Metals Co., Ltd.</t>
  </si>
  <si>
    <t>No. 148 Xiaoxia Road, Xintang Town, Hengdong, Hengyang Hunan, China</t>
  </si>
  <si>
    <t>Hengyang</t>
  </si>
  <si>
    <t>Conflidential, Kepulauan Bangka Belitung, Mr. Shan Wenzhi, Mr.Shan Wenzhi, Shan Wenzhi, Shan Wen-Zhi</t>
  </si>
  <si>
    <t>273307280@qq.com, ccxyswz@sina.com, Confidential</t>
  </si>
  <si>
    <t>Conformant, Conformant- Reaudit In Progress, NA, no action need, No Action Required as company is RMAP conformant, None, CFS Certified, None; conformant to RMAP protocol, Supplier contacts: hyeju.lee@amkor.com; catherine.pelissonnier@st.com; ehs@xfab.com; Infineon Customer Contact @infineon.com; joanne.ambat@nepeshayyim.com; lisa.bjornson@sanmina.com; theodore.knudson@materion.com; Amber_cy_chang@umc.com, Validated by RMI until 12/26/2021</t>
  </si>
  <si>
    <t>0, Chun-chang Non-ferrous Smelting &amp;amp; Concentrating Co., Ltd. | CHINA | From 1. Jiangxi Minmetals non-ferrous Pioneer Metals Corporation 2. Hunan Chunchang Nonferrous Metals Co.,Ltd | RCOI Confirmed as per CSFI | Jiangxi Minmetals non-ferrous Pioneer Metals Corporation Chun-chang Non-ferrous Smelting &amp;amp; concentrating Co.,Ltd. | RCOI confirmed as per RMI | From 1. Jiangxi Minmetals non-ferrous Pioneer Metals Corporation
2. Hunan Chunchang Nonferrous Metals Co.,Ltd | Chun-chang Non-ferrous Smelting &amp;amp; Concentrating Co., Ltd. | From Jiangxi Minmetals Nonferrous Pioneer Metals Corporation, From Hunan Chunchang Nonferrous Metals Co.,Ltd | ①Jiangxi Minmetals non-ferrous Pioneer Metals Corporation
②Chun-chang Non-ferrous Sm | ①Jiangxi　Minmetals　non-ferrous　Pioneer　Metals　Corporation　　　　　　　　　　　　　　　　　　②Hunan　Chunchang　Nonferrous　Metals　Co.,Ltd, From 1. Jiangxi Minmetals non-ferrous Pioneer Metals Corporation 2. Hunan Chunchang Nonferrous Metals Co.,Ltd, From 1. Jiangxi Minmetals non-ferrous Pioneer Metals Corporation 2. Hunan Chunchang Nonferrous Metals Co.,Ltd | RCOI confirmed as per RMI, From:
1. Jiangxi Minmetals non-ferrous Pioneer Metals Corporation
2. Hunan Chunchang Nonferrous Metals Co.,Ltd, Jiangxi Minmetals Non-Ferrous Pioneer Metals Corporation, Hunan Chunchang Nonferrous Metals Co., Ltd., and recycled/scrap, Lin`an Guanghua mine, Lin`an Guanghua mine | RCOI confirmed per RMI | Not disclosure, No information, Not disclosed per TI-CMC, RCOI confirmed as per RMI., RCOI confirmed per RMI, See aggregated data below for TI-CMC Sourcing</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</si>
  <si>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Mozambique,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Japan, Kazakhstan, Korea, Luxembourg, Malaysia, Mongolia, Mozambique, Myanmar, Namibia, Peru, Portugal, Recycled/Scrap, Taiwan, CHINA, Excludes Covered Countries, From China, From China | RCOI confirmed per RMI | Not disclosure | CHINA | China, L1, L1 | RCOI confirmed as per RMI | Myanmar, Cambodia, Malaysia, Kazakhstan, Portugal, Mongolia, Austria, Mozambique, Luxembourg, Korea, Republic of, Guyana, Brazil, Chile, Laos, Colombia, Ecuador, Argentina, Hungary, Japan, India, Canada, Belgium, Namibia, Taiwan, Peru, Ethiopia, Germany, | Excludes Covered Countries | No. 148 Xiaoxia Road, Xintang Town, Hengdong, Hengyang Hunan, China, L1, CHINA | Excludes Covered Countries | L1 | CHINA | Myanmar, Cambodia, Malaysia, Kazakhstan, Portugal, Mongolia, Austria, Mozambique, Luxembourg, Brazil, Guyana, Korea, Republic of, Chile, Laos, Ecuador, Colombia, Argentina, Hungary, Japan, India, Canada, Belgium, Namibia, Taiwan, Peru, Germany, Ethiopia, | RCOI Confirmed as per CSFI | RCOI confirmed as per RMI | Mineral sourcing L1, from China | L1, CHINA | L1 | CHINA | Excludes Covered Countries | RCOI confirmed as per CFSI | Myanmar, Cambodia, Malaysia, Kazakhstan, Portugal, Mongolia, Austria, Mozambique, Luxembourg, Brazil, Guyana, Korea, Republic of, Chile, Laos, Ecuador, Colombia, Argentina, | Myanmar, Cambodia, Malaysia, Kazakhstan, Portugal, Mongolia, Austria, Mozambique, Luxembourg, Guyana, Korea, Republic of, Brazil, Chile, Laos, Ecuador, Colombia, Argentina, Hungary, Japan, India, Canada, Belgium, Namibia, Taiwan, Peru, Ethiopia, Germany, | No. 148 Xiaoxia Road, Xintang Town, Hengdong, Hengyang Hunan, China | China | Mineral sourcing L1, China, Mineral sourcing from China, Myanmar, Cambodia, Malaysia, Kazakhstan, Portugal, Austria, Mongolia, Mozambique, Luxembourg, Brazil, Korea, Republic of, Guyana, Chile, Laos, Ecuador, Colombia,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 Myanmar, Cambodia, Malaysia, Kazakhstan, Portugal, Austria, Mongolia, Mozambique, Luxembourg, Guyana, Korea, Republic of, Brazil, Chile, Laos, Ecuador, Colombia,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Indonesia, Estonia, Myanmar, Cambodia, Malaysia, Kazakhstan, Portugal, Mongolia, Austria, Mozambique, Luxembourg, Brazil, Guyana, Republic Of Korea, Chile, Laos, Ecuador, Colombia, Argentina, Hungary, Japan, India, Canada, Belgium, Namibia, China, Peru, Germany, Ethiopia, Ru;Recycled/Scrap,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 Philippines, Bolivia (Plurinational State of), Mexico, Uzbekistan, Panama, Sweden, South Africa, Armenia, Azerbaijan, Bahamas, Barbados, Belarus, Benin, Bosnia and Herzegovina, Botswana, Bulgaria, Burkina Faso, Cameroon, Croatia, Cyprus, Denmark, Dominica, Dominican Republic, El Salvador, Eritrea,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Papua New Guinea, Poland, Puerto Rico, Romania, San Marino, Saudi Arabia, Senegal, Serbia, Slovenia, Solomon Islands, Tajikistan, Togo, Trinidad and Tobago, Tunisia, Turkey, Ukraine, United Arab Emirates, Uruguay, Yemen, 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 Myanmar, Cambodia, Malaysia, Kazakhstan, Portugal, Mongolia, Austria, Mozambique, Luxembourg, Brazil, Korea, Republic of, Guyana, Chile, Laos, Colombia, Ecuador, Argentina, Hungary, Japan, India, Canada, Belgium, Namibia, Taiwan, Peru, Ethiopia, Germany, Russian Federation, Viet Nam, Singapore, United States, Egypt, Madagascar, Sierra Leone, Ivory Coast, Thailand, Bolivia, Netherlands, China, Ireland, Slovakia, Nigeria, France, United Kingdom, Switzerland, Spain, Djibouti, Czech Republic, Zimbabwe, Suriname, Israel, Australia, Indonesia, Estonia, Myanmar, Cambodia, Malaysia, Kazakhstan, Portugal, Mongolia, Austria, Mozambique, Luxembourg, Korea, Republic of, Brazil, Guyana, Chile, Laos, Ecuador, Colombia, Argentina, Hungary, Japan, India, Canada, Belgium, Namibia, Taiwan, Peru, Germany, Ethiopia, Russian Federation, Singapore, Viet Nam, United States, Egypt, Madagascar, Sierra Leone, Ivory Coast, Bolivia, Thailand, Netherlands, China, Ireland, Slovakia, Nigeria, France, United Kingdom, Switzerland, Spain, Djibouti, Czech Republic, Zimbabwe, Suriname, Israel, Australia, Estonia, Indonesia, No information, Not disclosed per TI-CMC, RCOI confirmed as per RMI., RCOI confirmed per RMI, Recycled/Scrap, China, Mongolia, Canada, Mozambique, Ethiopia, Germany, Japan, Austria, Brazil, Colombia, Portugal, Argentina, Chile, Cambodia, Ecuador, Guyana, Hungary, India, Kazakhstan, Korea, Luxembourg, Malaysia, Myanmar, Belgium, Namibia, Peru, Australia, Switzerland, Thailand, Ireland, Niger, Nigeria, Spain, United Kingdom, United States, Singapore, Egypt, France, Israel, Madagascar, Netherlands, Sierra Leone, Slovakia, Suriname, Zimbabwe, Djibouti, Indonesia, Estonia, Taiwan, Viet Nam, Russian Federation, Unknown</t>
  </si>
  <si>
    <t>Compliant, COMPLIANT 09/22/2015, Compliant Conformant, Conformant, Conformant Smelter, Conformant smelter according to RMI, audit valid until 2021, reassessment in progress, Conformant Smelter according to RMI, last cycle in 26.12.2018 with a cycle of 3 Years, Listed on CFSI Conflict Free Smelter List, RCOI confirmed per RMI / approved by TI-CMC, RMAP Conformant, RMAP Conformant Smelter, RMAP Conformant Smelter / RCOI confirmed per RMI, This smelter is CFS. http://www.responsiblemineralsinitiative.org/tungsten-conformant-smelters/, This smelter is CFS.
http://www.conflictfreesourcing.org/tungsten-conflict-free-smelters/, This smelter is RMI Conformant.
http://www.responsiblemineralsinitiative.org/tungsten-smelters-list/</t>
  </si>
  <si>
    <t>CID003182</t>
  </si>
  <si>
    <t>Hunan Litian Tungsten Industry Co., Ltd.</t>
  </si>
  <si>
    <t>Yiyang</t>
  </si>
  <si>
    <t>Colin, Mr. Changchun Long</t>
  </si>
  <si>
    <t>scb08@ltgf168.com</t>
  </si>
  <si>
    <t>RCOI confirmed per RMI, Unknown</t>
  </si>
  <si>
    <t>China, RCOI confirmed per RMI, Unknown</t>
  </si>
  <si>
    <t>Compliant, Compliant Conformant, Conformant Smelter according to RMI, last cycle in 22.03.2019 with a cycle of 1 Year, RMAP Conformant, RMAP Conformant Smelter/Refiner, this smelter is only used in product WE-XTAL</t>
  </si>
  <si>
    <t>CID000105</t>
  </si>
  <si>
    <t>Kennametal Huntsville</t>
  </si>
  <si>
    <t>Huntsville, AL</t>
  </si>
  <si>
    <t>Huntsville</t>
  </si>
  <si>
    <t>Alabama</t>
  </si>
  <si>
    <t>Kepulauan Bangka Belitung, Kevin Cann, Kevin Cann
Kristi Turley, Kristi Turley, NA, No Name, Sales</t>
  </si>
  <si>
    <t>256-837-1311, ftmill.service@kennametal.com, Kevin.Cann@kennametal.com, Kevin.Cann@kennametal.com
kristi.turley@kennametal.com, kristi.turley@kennametal.com, NA</t>
  </si>
  <si>
    <t>Conformant- Reaudit In Progress, Conformant-audited by RMI (members / partners)- valid until 02/09/2025, NA, no action need, No Action Required as company is RMAP conformant, None, CFS Certified, Supplier contacts: hyeju.lee@amkor.com; catherine.pelissonnier@st.com; ehs@xfab.com; joanne.ambat@nepeshayyim.com; cammmh@towersemi.com; eagle@solartech.com.tw; lisa.bjornson@sanmina.com; theodore.knudson@materion.com; yushin@harvatek.com; t.gruber@ats.net, Validated by RMI until 11/07/2021</t>
  </si>
  <si>
    <t>0, JAPAN | Some are recycled or scrap sourced but not all. | Some are recycled or scrap sourced but not all | Not disclosed by supplier | JAPAN | Some are recycled or scrap sourced but not all | Some are recycled or scrap sourced but not all. | Not disclosed by supplier, NA, No information, Not disclosed by supplier, Not disclosed by supplier | Some are recycled or scrap sourced but not all, R/S and Mined (See aggregated data below for TI-CMC Sourcing), RCOI confirmed per RMI, Recycled or scrap, and mining not disclosed by supplier, Recycled or scrap, and mining not disclosed by supplier | Not disclosure | RCOI confirmed per RMI, Recycled, Scrap and mines not disclosed by supplier, Some are recycled or scrap sourced but not all, Some are recycled or scrap sourced but not all. | RCOI confirmed per RMI, Some are recyled/scrap, TI-CMC sourced but not all., Unknown, but some recycled/scrap</t>
  </si>
  <si>
    <t>Argentina, Australia, Austria, Belgium, Bolivia, Brazil, Cambodia, Canada, Chile, China, Colombia, Djibouti, Ecuador, Egypt, Eritrea, Estonia, Ethiopia, France, Germany, Guyana, Hong Kong, Hungary, India, Indonesia, Ireland, Israel, Japan, Kazakhstan, Luxembourg, Madagascar, Malaysia, Mexico, Mongolia, Myanmar, Namibia, Netherlands, Niger, Nigeria, Panama, Peru, Portugal, Republic of Korea, Russia, Sierra Leone, Singapore, Slovakia, South Africa, Spain, Suriname, Switzerland, Taiwan, Thailand, USA, United Kingdom, Uzbekistan, Vietnam, Zimbabwe, Recycled/Scrap, Argentina, Austria, Belgium, Brazil, Cambodia, Canada, Chile, China, Colombia, Ecuador, Ethiopia, Germany, Guyana, Hungary, India, Indonesia, Japan, Kazakhstan, Korea, Luxembourg, Malaysia, Mongolia, Myanmar, Namibia, Peru, Portugal, Recycled/Scrap, South Africa, Taiwan, United States, China, China, Indonesia, recycled/scrap, Includes Covered Countries and CAHRA, Indonesia, Recycled/Scrap, L1, R/S, L1, R/S | Some are recycled or scrap sourced but not all | Myanmar, Cambodia, Malaysia, Kazakhstan, Portugal, Austria, Mongolia, Luxembourg, Guyana, Korea, Republic of, Brazil, Chile, Laos, Colombia, Ecuador, Argentina, Hungary, Japan, India, Canada, Belgium, Namibia, Taiwan, South Africa, Peru, Ethiopia, Germany | Huntsville, AL | Excludes Covered Countries, Mineral sourcing R/S and Mined based on RMAP-RMI's RCOI data, Mineral sourcing R/S and mined not disclosed by TI-CMC sourcing, Mineral sourcing R/S and mined not disclosed by TI-CMC sourcing | Not disclosure | RCOI confirmed per RMI | Includes Covered Countries and CAHRA | China, Myanmar, Cambodia, Malaysia, Kazakhstan, Portugal, Austria, Mongolia, Luxembourg, Brazil, Korea, Republic of, Guyana, Chile, Laos, Colombia, Ecuador, Argentina, Hungary, Japan, India, Canada, Belgium, Namibia, Taiwan, South Africa, Peru, Ethiopia, Germany, Russian Federation, Singapore, Viet Nam, United States, Egypt, Madagascar, Sierra Leone, Ivory Coast, Thailand, Bolivia, Netherlands, Ireland, China, Slovakia, France, Nigeria, United Kingdom, Switzerland, Spain, Djibouti, Czech Republic, Zimbabwe, Suriname, Israel, Australia, Indonesia, Estonia, Myanmar, Cambodia, Malaysia, Kazakhstan, Portugal, Austria, Mongolia, Luxembourg, Korea, Republic of, Brazil, Guyana, Chile, Laos, Colombia, Ecuador, Argentina, Hungary, Japan, India, Canada, Belgium, Namibia, Taiwan, South Africa, Peru, Germany, Ethiopia, Russian Federation, Viet Nam, Singapore, United States, Egypt, Sierra Leone, Madagascar, Ivory Coast, Bolivia, Thailand, Netherlands, China, Ireland, Slovakia, Nigeria, France, United Kingdom, Switzerland, Spain, Djibouti, Czech Republic, Zimbabwe, Suriname, Israel, Australia, Indonesia, Estonia, Myanmar, Cambodia, Malaysia, Kazakhstan, Portugal, Mongolia, Austria, Luxembourg, Brazil, Korea, Republic of, Guyana, Chile, Laos, Ecuador, Colombia, Argentina, Hungary, Japan, India, Canada, Belgium, Namibia, Taiwan, South Africa, Peru, Ethiopia, Germany, Russian Federation, Singapore, Viet Nam, United States, Egypt, Madagascar, Sierra Leone, Ivory Coast, Thailand, Bolivia, Netherlands, China, Ireland, Slovakia, Nigeria, France, United Kingdom, Switzerland, Spain, Djibouti, Czech Republic, Zimbabwe, Suriname, Israel, Australia, Indonesia, Estonia, Myanmar, Cambodia, Malaysia, Kazakhstan, Portugal, Mongolia, Austria, Luxembourg, Korea, Republic of, Guyana, Brazil, Chile, Laos, Ecuador, Colombia, Argentina, Hungary, Japan, India, Canada, Belgium, Namibia, Taiwan, South Africa, Peru, Ethiopia, Germany, Russian Federation, Viet Nam, Singapore, United States, Egypt, Madagascar, Sierra Leone, Ivory Coast, Bolivia, Thailand, Netherlands, China, Ireland, Slovakia, Nigeria, France, United Kingdom, Switzerland, Spain, Djibouti, Czech Republic, Zimbabwe, Suriname, Israel, Australia, Indonesia, Estonia, Myanmar, Cambodia, Malaysia, Kazakhstan, Portugal, Mongolia, Austria, Luxembourg, Korea, Republic of, Guyana, Brazil, Chile, Laos, Ecuador, Colombia, Argentina, Hungary, Japan, India, Canada, Belgium, Namibia, Taiwan, South Africa,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 NA, No information, Not disclosed | Excludes Covered Countries | - | JAPAN | Myanmar, Cambodia, Malaysia, Kazakhstan, Portugal, Mongolia, Austria, Luxembourg, Brazil, Korea, Republic of, Guyana, Chile, Laos, Colombia, Ecuador, Argentina, Hungary, Japan, India, Canada, Belgium, Namibia, Taiwan, South Africa, Peru, Germany, Ethiopia | L1, R/S | Some are recycled or scrap sourced but not all | Mineral sourcing L1, R/S, Not disclosed by supplier | Not disclosed | L1, R/S | Excludes Covered Countries | - | JAPAN | Some are recycled or scrap sourced but not all | Myanmar, Cambodia, Malaysia, Kazakhstan, Portugal, Mongolia, Austria, Luxembourg, Brazil, Korea, Republic of, Guyana, Chile, Laos, Colombia | Myanmar, Cambodia, Malaysia, Kazakhstan, Portugal, Mongolia, Austria, Luxembourg, Brazil, Korea, Republic of, Guyana, Chile, Laos, Ecuador, Colombia, Argentina, Hungary, Japan, India, Canada, Belgium, Namibia, Taiwan, South Africa, Peru, Ethiopia, Germany | Huntsville, AL | China | Mineral sourcing L1, R/S, not disclosed by supplier, RCOI confirmed per RMI, Recycled/Scrap, Indonesia, China, United States, Austria, Japan, Canada, Portugal, Brazil, Colombia, Mongolia, Chile, Ecuador, Luxembourg, Argentina, Cambodia, Guyana, Hungary, India, Kazakhstan, Korea, Malaysia, Myanmar, Namibia, Belgium, South Africa, Taiwan, Peru, Ethiopia, Germany, Australia, Spain, Ireland, Niger, Nigeria, Russian Federation, United Kingdom, Viet Nam, Estonia, Suriname, Djibouti, Egypt, France, Israel, Madagascar, Netherlands, Sierra Leone, Singapore, Slovakia, Switzerland, Thailand, Zimbabwe, SCRAP, Some are recycled or scrap sourced but not all, Some are recyled/scrap, TI-CMC sourced but not all., Unknown</t>
  </si>
  <si>
    <t>ACTIVE 09/22/2015 TI-CMC Category A, Compliant, Compliant Conformant, Conformant, Conformant Smelter, Conformant smelter according to RMI, audit valid until 2021, reassessment in progress, Conformant Smelter according to RMI, last cycle in 07.11.2018 with a cycle of 3 Years, Listed on CFSI Conflict Free Smelter List, RCOI confirmed per RMI / approved by TI-CMC, RMAP Conformant, RMAP Conformant Smelter, RMAP Conformant Smelter / RCOI confirmed per RMI, RMAP Conformant Smelter/Refiner, This smelter is CFS. http://www.responsiblemineralsinitiative.org/tungsten-conformant-smelters/, This smelter is RMI Conformant.
http://www.responsiblemineralsinitiative.org/tungsten-smelters-list/</t>
  </si>
  <si>
    <t>CID003388</t>
  </si>
  <si>
    <t>KGETS Co., Ltd.</t>
  </si>
  <si>
    <t>5 Somanggongwon-ro, Siheung-si, Gyeonggi-do</t>
  </si>
  <si>
    <t>Siheung-si</t>
  </si>
  <si>
    <t>Geun Chan Na</t>
  </si>
  <si>
    <t>gcna@kggroup.co.kr</t>
  </si>
  <si>
    <t>Conformant, No Action Required as company is RMAP conformant, Supplier contacts: catherine.pelissonnier@st.com; Infineon Customer Contact @infineon.com; yushin@harvatek.com, Validated by RMI until 09/10/2021</t>
  </si>
  <si>
    <t>0, R/S, Recycled, Scrap, Recycled, Scrap | Recycled/Scrap, Recycled/scrap only, Recyled/Scrap, Unknown, but some recycled/scrap</t>
  </si>
  <si>
    <t>Australia, Canada, Chile, China, Finland, Germany, Hong Kong, Indonesia, Ireland, Jersey, Liechtenstein, Malaysia, Peru, Republic of Korea, Saudi Arabia, Sweden, Switzerland, Turkey, USA, United Arab Emirates, Recycled/Scrap, Due diligence results pending, Mineral sourcing R/S, Mineral sourcing R/S based on RMAP-RMI's RCOI data, No known country of origin, R/S, R/S | Recycled/Scrap, Recycled, Scrap, Recycled/Scrap, Recycled/Scrap Only, Recycled/Scrap, Korea, China, Canada, Finland, Indonesia, Ireland, Sweden, Australia, Chile, Germany, Hong Kong, Jersey, Malaysia, Peru, Saudi Arabia, Switzerland, Turkey, United Arab Emirates, United States, Liechtenstein, Recyled/Scrap</t>
  </si>
  <si>
    <t>Unknown, Yes</t>
  </si>
  <si>
    <t>Compliant, Compliant Conformant, Conformant, Conformant Smelter, Conformant smelter according to RMI, audit valid until 2021, Conformant Smelter according to RMI, last cycle in 10.09.2018 with a cycle of 3 years, RMAP Conformant, RMAP Conformant Smelter</t>
  </si>
  <si>
    <t>CID002503</t>
  </si>
  <si>
    <t>Kawasan Industri san Pelabuhan Jelitik Sunailiat, Kepulauan Bangka Belitung Province</t>
  </si>
  <si>
    <t>Leo Tirtayadi, Mr. Sam Chandra, NA, Sam Chandra, Samuel Chandra, Tin</t>
  </si>
  <si>
    <t>leo@atdmmj.com, indra@arinaresources.com, NA, PT ATD Makmur Mandiri Jaya, sam@atdmmj.com</t>
  </si>
  <si>
    <t>Conformant-audited by RMI (members / partners)- valid until 04/01/2025, N.A. (CFS apporved Smelter), NA, no action need, No Action Required as company is RMAP conformant, None, CFS Certified, PT ATD Makmur Mandiri Jaya, Supplier contacts: hyeju.lee@amkor.com; catherine.pelissonnier@st.com; oh-dongho@auk.co.kr; Infineon Customer Contact @infineon.com; nutthaphon@focuz-mfg.com; lisa.bjornson@sanmina.com; theodore.knudson@materion.com; yushin@harvatek.com; andreas.schwender@saxonia-tm.de; waikhee.seetho@heraeus.com; cindy.dodd@avx.com; s.rossi@varioprint.ch; Ravikumar.Ramachandran@fci.com; oh-dongho@auk.co.kr, Validated by RMI until 12/24/2021</t>
  </si>
  <si>
    <t>0, CHINA | Not disclosed by supplier | Not disclosed | RCOI confirmed as per RMI | RCOI confirmed as per CFSI | Not disclosed by supplier | CHINA | RCOI confirmed as per CFSI | Not disclosed, Excludes Covered Countries, INDONESIA, NA, No information, Not disclosed by supplier, Not disclosed by supplier | Not disclosure | RCOI confirmed per RMI, RCOI confirmed as per RMI., RCOI confirmed per RMI, Unknown, Unknown, but some recycled/scrap</t>
  </si>
  <si>
    <t>0, Argentina, Australia, Austria, Belgium, Bolivia, Brazil, Cambodia, Canada, Chile, China, Colombia, Czech Republic, Djibouti, Ecuador, Egypt, Estonia, Ethiopia, France, Germany, Guyana, Hungary, India, Indonesia, Ireland, Israel, Ivory Coast, Japan, Kazakhstan, Madagascar, Mongolia, Namibia, Nigeria, Portugal, Russia, Sierra Leone, Singapore, Slovakia, Spain, Thailand, Vietnam, Argentina, Australia, Austria, Belgium, Bolivia, Brazil, Cambodia, Canada, Chile, China, Colombia, Ivory Coast, Czech Republic, Djibouti, Ecuador, Egypt, Estonia, Ethiopia, France, Germany, Guyana, Hungary, India, Indonesia, Ireland, Israel, Japan, Kazakh | RCOI confirmed per RMI | DRC or an adjoining country (Covered Countries), Recycled/Scrap, Myanmar, Cambodia, Malaysia, Kazakhstan, Portugal, Mongolia, Austria, Luxembourg, Republic Of Korea, Brazil, Guyana, Chile, Laos, Ecuador, Colombia, Argentina, Hungary, Japan, India, Canada, | Excludes Covered Countries and CAHRA, 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 Argentina, Australia, Austria, Belgium, Brazil, Cambodia, Canada, Chile, China, Colombia, Djibouti, Ecuador, Egypt, Estonia, Ethiopia, France, Germany, Guyana, Hungary, India, Indonesia, Ireland, Israel, Japan, Kazakhstan, Korea, Luxembourg, Malaysia, Mongolia, Myanmar, Namibia, Peru, Portugal, Taiwan, Thailand, CID002503, DRC, Rwanda, Argentina, Australia, Austria, Belgium, Bolivia, Brazil, Cambodia, Canada, Chile, China, Colombia, Djibouti, Ecuador, Egypt, Eritrea, Estonia, Ethiopia, France, Germany, Ghana, Guinea, Guyana, Hungary, India, Indonesia, Ireland, Israel, Ivory Coast, Japan, Kazakhstan, Laos, Luxembourg, Madagascar, Malaysia, Mexico, Mongolia, Mozambique, Myanmar, Namibia, Netherlands, Niger, Nigeria, Peru, Philippines, Portugal, Republic of Korea, Russia, Sierra Leone, Singapore, Slovakia, Spain, Suriname, Switzerland, Taiwan, Thailand, USA, United Kingdom, Uzbekistan, Vietnam, Zimbabwe, Recycled/Scrap, Excludes Covered Countries, Excludes Covered Countries and CAHRA, Excludes Covered Countries and CAHRA | Mineral sourcing LR based on RMAP-RMI's RCOI data | Argentina, Australia, Austria, Belgium, Bolivia, Brazil, Cambodia, Canada, Chile, China, Colombia, Ivory Coast, Czech Republic, Djibouti, Ecuador, Egypt, Estonia, Ethiopia, France, Germany, Guyana, Hungary, India, Indonesia, Ireland, Israel, Japan, Kazakh | RCOI confirmed per RMI, Indonesia, India, Argentina, Brazil, Colombia, Germany, Canada, Austria, Guyana, Mongolia, Portugal, Belgium, Cambodia, Chile, Ecuador, Hungary, Ethiopia, Japan, Kazakhstan, Namibia, China, Australia, Ireland, Thailand, Djibouti, Egypt, Estonia, France, Niger, Nigeria, Israel, Sierra Leone, Spain, Madagascar, Singapore, Slovakia, Malaysia, Myanmar, Peru, Korea, Luxembourg, Taiwan, Zimbabwe, United Kingdom, Russian Federation, Viet Nam, United States, Netherlands, Switzerland, Suriname, L1, L1 | Excludes Covered Countries | CHINA | Myanmar, Cambodia, Malaysia, Kazakhstan, Portugal, Austria, Mongolia, Luxembourg, Brazil, Korea, Republic of, Guyana, Chile, Laos, Colombia, Ecuador, Argentina, Hungary, Japan, India, Canada, Belgium, Namibia, Taiwan, Peru, Ethiopia, Germany, Russian Fede | Not disclosed | RCOI confirmed as per RMI | RCOI confirmed as per CFSI | Mineral sourcing L1, Not disclosed by supplier | L1 | Excludes Covered Countries | CHINA | RCOI confirmed as per CFSI | Myanmar, Cambodia, Malaysia, Kazakhstan, Portugal, Austria, Mongolia, Luxembourg, Brazil, Korea, Republic of, Guyana, Chile, Laos, Colombia, Ecuador, Argentina, Hungary, Japan, India, | Myanmar, Cambodia, Malaysia, Kazakhstan, Portugal, Mongolia, Austria, Luxembourg, Korea, Republic of, Guyana, Brazil, Chile, Laos, Ecuador, Colombia, Argentina, Hungary, Japan, India, Canada, Belgium, Namibia, Taiwan, Peru, Ethiopia, Germany, Russian Fede | Mineral sourcing L1, not disclosed by RMI, L1 | Myanmar, Cambodia, Malaysia, Kazakhstan, Portugal, Austria, Mongolia, Luxembourg, Guyana, Brazil, Korea, Republic of, Chile, Laos, Colombia, Ecuador, Argentina, Hungary, Japan, India, Canada, Belgium, Namibia, Taiwan, Peru, Ethiopia, Germany, Russian Fede | Not Available, Mineral sourcing LR based on RMAP-RMI's RCOI data, Myanmar, Cambodia, Malaysia, Kazakhstan, Portugal, Austria, Mongolia, Luxembourg, Brazil, Korea, Republic of, Guyana, Chile, Laos, Ecuador, Colombia, Argentina, Hungary, Japan, India, Canada, Belgium, Namibia, Taiwan, Peru, Germany, Ethiopia, Russian Federation, Singapore, Viet Nam, United States, Egypt, Madagascar, Sierra Leone, Ivory Coast, Bolivia, Thailand, Netherlands, Ireland, China, Slovakia, Nigeria, France, United Kingdom, Switzerland, Spain, Djibouti, Czech Republic, Zimbabwe, Suriname, Israel, Australia, Indonesia, Estonia, Myanmar, Cambodia, Malaysia, Kazakhstan, Portugal, Austria, Mongolia, Luxembourg, Guyana, Brazil, Korea, Republic of, Chile, Laos, Colombia, Ecuador, Argentina, Hungary, Japan,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Estonia, Indonesia, Myanmar, Cambodia, Malaysia, Kazakhstan, Portugal, Mongolia, Austria, Luxembourg, Guyana, Brazil, Korea, Republic of,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Indonesia, Estonia, Myanmar, Cambodia, Malaysia, Kazakhstan, Portugal, Mongolia, Austria, Luxembourg, Korea, Republic of, Brazil, Guyana, Chile, Laos, Ecuador, Colombia, Argentina, Hungary, Japan,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Indonesia, Estonia, NA, No information, RCOI confirmed as per RMI., RCOI confirmed per RMI, the DRC or an adjoining country(covered countries)</t>
  </si>
  <si>
    <t>Compliant, COMPLIANT 09/22/2015, Compliant Conformant, Conformant, Conformant Smelter, Conformant smelter according to RMI, audit valid until 2021, reassessment in progress, Conformant Smelter according to RMI, last cycle in 24.12.2018 with a cycle of 3 Years, RCOI confirmed per RMI, RMAP Conformant, RMAP Conformant Smelter, RMAP Conformant Smelter / RCOI confirmed per RMI</t>
  </si>
  <si>
    <t>Lintang</t>
  </si>
  <si>
    <t>CID001402</t>
  </si>
  <si>
    <t>PT Babel Surya Alam Lestari</t>
  </si>
  <si>
    <t>CID001406</t>
  </si>
  <si>
    <t>Badau</t>
  </si>
  <si>
    <t>CID003205</t>
  </si>
  <si>
    <t>PT Bangka Serumpun</t>
  </si>
  <si>
    <t>Jl.Ketapang, Kawasan Industri, Kota Pangkalpinang</t>
  </si>
  <si>
    <t>Pangkalpinang</t>
  </si>
  <si>
    <t>0, Jenni Kusmiadi, NA, Tin</t>
  </si>
  <si>
    <t>0, jennikusmiadi@yahoo.co.id, NA, PT Bangka Serumpun</t>
  </si>
  <si>
    <t>Conformant-audited by RMI (members / partners)- valid until 05/20/2024, NA, no action need, No Action Required as company is RMAP conformant, PT Bangka Serumpun, Reaudit In Progress, Supplier contacts: hyeju.lee@amkor.com; catherine.pelissonnier@st.com; Infineon Customer Contact @infineon.com;  nutthaphon@focuz-mfg.com; lisa.bjornson@sanmina.com; yushin@harvatek.com; cindy.dodd@avx.com; td40_0138@mail.tsujiden.co.jp</t>
  </si>
  <si>
    <t>0, INDONESIA, L1, NA, No information, Not disclosed by supplier, PT Bangka Serumpun, PT Bangka Serumpun | Not disclosure | RCOI confirmed per RMI, RCOI confirmed as per RMI., RCOI confirmed per RMI, Unknown, Unknown, but some recycled/scrap</t>
  </si>
  <si>
    <t>0,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Argentina, Australia, Austria, Belgium, Bolivia, Brazil, Cambodia, Canada, Chile, China, Colombia, Djibouti, Ecuador, Egypt, Estonia, Ethiopia, France, Germany, Ghana, Guyana, Hungary, India, Indonesia, Ireland, Israel, Ivory Coast, Japan, Kazakhstan, Laos, Luxembourg, Madagascar, Malaysia, Mali, Mongolia, Myanmar, Namibia, Netherlands, Niger, Nigeria, Panama, Peru, Portugal, Republic of Korea, Russia, Sierra Leone, Singapore, Slovakia, Spain, Suriname, Switzerland, Taiwan, Thailand, USA, United Kingdom, Uzbekistan, Vietnam, Zimbabwe, Recycled/Scrap, Argentina, Australia, Austria, Belgium, Brazil, Cambodia, Canada, Chile, China, Colombia, Ecuador, Ethiopia, France, Germany, Guyana, Hungary, India, Indonesia, Japan, Kazakhstan, Korea, Luxembourg, Malaysia, Mongolia, Myanmar, Namibia, Peru, Portugal, Bangka, Indoessia, Bangka, Indonesia, CID003205, Excludes Covered Countries, Excludes Covered Countries | Mineral sourcing not disclosed by supplier | No known country of origin | L1 | Mineral sourcing L1, not disclosed by RMI, Excludes Covered Countries and CAHRA, Excludes Covered Countries and CAHRA | From Indonesia | Myanmar, Cambodia, Malaysia, Kazakhstan, Portugal, Austria, Mongolia, Luxembourg, Guyana, Brazil, Republic Of Korea, Chile, Laos, Ecuador, Colombia, Argentina, Hungary, Japan, India, Canada, Belgium, Namibia, China, Peru, Ethiopia, Germany, Russia, Singap | RCOI confirmed per RMI, From Indonesia, India, Indonesia, China, Brazil, Colombia, Ethiopia, Malaysia, Mongolia, Myanmar, Peru, Portugal, Japan, Argentina, Austria, Belgium, Cambodia, Canada, Chile, Ecuador, Germany, Guyana, Hungary, Kazakhstan, Korea, Luxembourg, Namibia, Australia, France, Ireland, Madagascar, Niger, Nigeria, Sierra Leone, Spain, Thailand, United Kingdom, United States, Djibouti, Egypt, Estonia, Israel, Netherlands, Singapore, Slovakia, Suriname, Switzerland, Zimbabwe, Indonesa, Indonesia, Mineral sourcing L1 based on RMAP-RMI's RCOI data, 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NA, No information, No known country of origin, RCOI confirmed as per RMI., RCOI confirmed per RMI</t>
  </si>
  <si>
    <t>0, No, No information, RMI, Unknown</t>
  </si>
  <si>
    <t>Compliant, Compliant Conformant, Conformant, Conformant Smelter, Conformant smelter according to RMI, audit valid until 2021, reassessment in progress, Conformant Smelter according to RMI, last cycle in 30.11.2018 with a cycle of 3 Years, RCOI confirmed per RMI, RMAP Conformant, RMAP Conformant Smelter, RMAP Conformant Smelter / RCOI confirmed per RMI</t>
  </si>
  <si>
    <t>PT Bangka Timah Utama Sejahtera</t>
  </si>
  <si>
    <t>CID001416</t>
  </si>
  <si>
    <t>PT Belitung Industri Sejahtera</t>
  </si>
  <si>
    <t>CID001428</t>
  </si>
  <si>
    <t>PT Bukit Timah</t>
  </si>
  <si>
    <t>Kepulauan Riau</t>
  </si>
  <si>
    <t>CID000128</t>
  </si>
  <si>
    <t>Central Bank of the Philippines Gold Refinery &amp; Mint</t>
  </si>
  <si>
    <t>Bangko Sentral ng Pilipinas (Central Bank of the Philippines)</t>
  </si>
  <si>
    <t>Philippines</t>
  </si>
  <si>
    <t>A. Mabini St. cor. P. Ocampo St., Malate Manila, Philippines 1004</t>
  </si>
  <si>
    <t>Quezon City</t>
  </si>
  <si>
    <t>Rizal</t>
  </si>
  <si>
    <t>Amando M. Tetangco, Jr., Gold, Maricel Santos (Manager - Production Planning Division)
Elaine Kate Pagalilauan (Compliance/Planning), Maricel Santos (Manager - Production Planning Division), Elaine Kate Pagalilauan (Compliance/Planning), Maricel Santos, Elaine Kate Pagalilauan</t>
  </si>
  <si>
    <t>Bangko Sentral ng Pilipinas (Central Bank of the Philippines), bspmail@bsp.gov.ph, Central Bank of the Philippines Gold Refinery &amp;amp; Mint, mcsantos@bsp.gov.ph (Maricel Santos), mcsantos@bsp.gov.ph (Maricel Santos)
pagalilauanef@bsp.gov.ph (Elaine Kate Pagalilauan), mcsantos@bsp.gov.ph (maricel santos), pagalilauanef@bsp.gov.ph (elaine kate pagalilauan), mcsantos@bsp.gov.ph, pagalilauanef@bsp.gov.ph</t>
  </si>
  <si>
    <t>Bangko Sentral ng Pilipinas (Central Bank of the Philippines), Conformant, Conformant-audited by LBMA RG- valid until 08/24/2023, no action need, No Action Required as company is RMAP conformant, None, CFS Certified, RCOI validated by RMI Protocols , Supplier contacts: hyeju.lee@amkor.com; Infineon Customer Contact @infineon.com;  os.materialdeclaration@jenoptik.com; lisa.bjornson@sanmina.com, Validated by LBMA RG until 12/03/2021</t>
  </si>
  <si>
    <t>0, No information, Not disclosed by supplier, Not disclosed per LBMA, PERU | From various mines + recycled + scrap | Not disclosed per LBMA | Not disclosed | RCOI confirmed as per RMI but not disclosed by LBMA | Some are recycled or scrap sourced but not all. | Not disclosed by supplier | Not disclosed | Scrap | PERU | From various mines + recycled + scrap | RCOI confirmed as per CFSI but not disclosed by LBMA | Not disclosed per LBMA | Some are recycled or scrap sourced but not all. | Various mines + recycled + scrap, PHILIPPINES, RCOI confirmed as per RMI., RCOI confirmed per RMI, See aggregated data below for LBMA Good Delivery Sourcing, Sourced from Mines/Recyale/Scrap | Not disclosed by supplier, Unknown, but some recycled/scrap, Various mines + recycled + scrap | RCOI confirmed as per RMI but not disclosed by LBMA</t>
  </si>
  <si>
    <t>Australia, Brazil, Canada, Chile, China, Finland, Germany, Hong Kong, India, Indonesia, Ireland, Italy, Japan, Mexico, Peru, Philippines, Recycled/Scrap, Sweden, Thailand, United States, Australia, Brazil, Canada, Chile, China, Finland, Germany, Hong Kong, India, Indonesia, Ireland, Italy, Japan, Mexico, Peru, Philippines, Sweden, Thailand, USA, Recycled/Scrap, Brazil, Canada, China, Germany, India, Indonesia, Italy, Japan, Peru, Philippines, USA, recycled/scrap, Canada, China, Philippines, Brazil, Italy, Indonesia, Canada, Philippines, China, Brazil, Italy, Indonesia, CID000128, Excludes Covered Countries, Italy, Philippines, Canada, China, Brazil, Indonesia, Recycled/Scrap, USA, Japan, Germany, India, Peru, Italy, Philippines, Canada, China, Brazil, Indonesia, Recycled/Scrap, USA, Japan, Germany, India, Peru | Mineral R/S and mining from Philippines, Italy, China, Brazil, Canada, Indonesia, Germany, Japan, United States, India, Peru, Known Countries from which LBMA Good Delivery List Refiners Source - Mined  Material (Provided by LBMA) | RCOI confirmed as per RMI but not disclosed by LBMA | Canada, Philippines, China, Brazil, Italy, Indonesia | A. Mabini St. cor. P. Ocampo St., Malate Manila, Philippines 1004
BSP- Security Plant Complex,   East Avenue, Quezon City, Philippines, LBMA Good Delivery Sourcing based on RMAP-RMI's RCOI data, Mineral R/S and mining from Philippines, Italy, China, Brazil, Canada, Indonesia, Germany, Japan, United States, India, Peru, No information, Not Disclosed | Not disclosed per LBMA | PERU | Not disclosed per LBMA (Philippines) | Canada, China, Philippines, Brazil, Italy, Indonesia | Not disclosed | RCOI confirmed as per RMI but not disclosed by LBMA | Mineral sourcing not disclosed per LBMA, from various mines + recycled + scrap | Excludes Covered Countries | Mineral sourcing L1,R/S, Not disclosed by supplier | Not Disclosed | Not disclosed per LBMA | Not disclosed | Italy | PERU | Not disclosed per LBMA (Philippines) | RCOI confirmed as per CFSI but not disclosed by LBMA | Canada, China, Philippines, Brazil, Italy, Indonesia | Mineral sourcing L1,R/S, Not discl | Known Countries from which LBMA Good Delivery List Refiners Source - Mined  Material (Provided by LBMA) | A. Mabini St. cor. P. Ocampo St., Malate Manila, Philippines 1004
BSP- Security Plant Complex,   East Avenue, Quezon City, Philippines, Not disclosed per LBMA, RCOI confirmed as per RMI., RCOI confirmed per RMI, Recycled/Scrap, Germany, Brazil, China, Canada, Indonesia, United States, Japan, Peru, Chile, Bulgaria, Turkey, Australia, Bermuda, Malaysia, Uzbekistan, Korea, Hong Kong, Andorra, Philippines, Georgia, Mexico, Recycled/Scrap, Philippines, Italy, China, Brazil, Canada, Indonesia, Germany, Japan, United States, India, Peru, Recycled/Scrap, Philippines, Italy, China, Brazil, Canada, Indonesia, Germany, Japan, United States, India, Peru, Hong Kong, Australia, Chile, Finland, Ireland, Mexico, Sweden, Thailand, Unknown</t>
  </si>
  <si>
    <t>Compliant, COMPLIANT 09/22/2015, Compliant Conformant, Conformant, Conformant Smelter, Conformant smelter according to RMI, audit valid until 2020, Conformant Smelter according to RMI, last cycle in 03.12.2019 with a cycle of 1 Year, PI, RCOI confirmed per RMI, RCOI confirmed per RMI / LBMA Good Delivery Sourcing, RMAP Conformant</t>
  </si>
  <si>
    <t>CID000189</t>
  </si>
  <si>
    <t>Cendres + Métaux SA</t>
  </si>
  <si>
    <t>Cendres + Metaux S.A.</t>
  </si>
  <si>
    <t>Biel-Bienne, Switzerland</t>
  </si>
  <si>
    <t>Biel-Bienne</t>
  </si>
  <si>
    <t>Bern</t>
  </si>
  <si>
    <t>Claudio Penna, Dr. Theo Gautschi, Gold, Theo Gautschi</t>
  </si>
  <si>
    <t>Cendres + Métaux S.A., claudio.penna@cmsa.ch; info@cmsa.ch, info@cmsa.ch, theo.gautschi@cmsa.ch, theo.gautschi@cmsa.ch</t>
  </si>
  <si>
    <t>Cendres + Metaux S.A., Conformant-audited by RJC- valid until 09/16/2023, Conformant-audited by RMI- valid until 09/16/2023, no action need, No Action Required as company is RMAP conformant, None, CFS certified, None; conformant to RMAP protocol, Remove from supply chain, Supplier contacts: hyeju.lee@amkor.com; Infineon Customer Contact @infineon.com; lisa.bjornson@sanmina.com, Validated by RJC until 09/16/2023</t>
  </si>
  <si>
    <t>0, No information, Not disclosed by supplier, Not disclosed per RJC, RCOI confirmed as per RMI., RCOI confirmed per RMI, Recycled, Scrap, Recycled, Scrap | RCOI confirmed as per RMI and disclosed by RJC, See aggregated data below for RJC Sourcing, SWITZERLAND, Unknown, but some recycled/scrap</t>
  </si>
  <si>
    <t>Andorra, Australia, Canada, Chile, China, Germany, Italy, Japan, Recycled/Scrap, Russian Federation, Switzerland, Andorra, Australia, Canada, Chile, China, Germany, Italy, Japan, Russia, Switzerland, Recycled/Scrap, Australia, Canada, Germany, Switzerland, recycled/scrap, CID000189, Mineral R/S and mining from Switzerland, Australia, Germany, Canada, Mineral sourcing not disclosed per RJC, No information, Not disclosed per RJC, R/S (RJC RCOI data), R/S (RJC RCOI data) | RCOI confirmed as per RMI and disclosed by RJC | Recycle/Scrap, Australia, Switzerland, Germany | Recycled/Scrap Only, RCOI confirmed as per RMI., RCOI confirmed per RMI, Recycle/Scrap, Australia, Switzerland, Germany, Recycled, Recycled/Scrap Only, Recycled/Scrap, Australia, Switzerland, Germany, Canada, Recycled/Scrap, Switzerland, Australia, Germany, Canada, Recycled/Scrap, Switzerland, Australia, Germany, Canada, Andorra, Russian Federation, Italy, Chile, China, Japan, SWITZERLAND, Unknown</t>
  </si>
  <si>
    <t>Compliant, Compliant Conformant, Conformant, Conformant Smelter, Conformant smelter according to RMI, audit valid until 2023, Conformant Smelter according to RMI, last cycle in 16.09.2020 with a cycle of 3 Years, RCOI confirmed per RMI, RCOI confirmed per RMI / RCOI disclosed by RJC, RMAP Conformant</t>
  </si>
  <si>
    <t>CID003382</t>
  </si>
  <si>
    <t>CGR Metalloys Pvt Ltd.</t>
  </si>
  <si>
    <t>Cochin</t>
  </si>
  <si>
    <t>Kerala</t>
  </si>
  <si>
    <t>James Jose</t>
  </si>
  <si>
    <t>mail@cgrmetalloys.com</t>
  </si>
  <si>
    <t>Due diligence results pending, India, India, Australia, Canada, Chile, China, Indonesia, Japan, Peru, United States, Argentina, Austria, Belgium, Brazil, Cambodia, Colombia, Djibouti, Ecuador, Egypt, Estonia, Ethiopia, France, Germany, Guyana, Hungary, Ireland, Israel, Kazakhstan, Korea, Luxembourg, Madagascar, Malaysia, Mongolia, Myanmar, Namibia, Netherlands, Niger, Nigeria, Portugal, Russian Federation, Sierra Leone, Singapore, Slovakia, Spain, Suriname, Switzerland, Taiwan, Thailand, United Kingdom, Viet Nam, Zimbabwe, Recycled/Scrap, Liechtenstein, No known country of origin, Unknown, Unknown, but no reason to believe sources from covered countries</t>
  </si>
  <si>
    <t>0, Due diligence activities have started</t>
  </si>
  <si>
    <t>CID000401</t>
  </si>
  <si>
    <t>Dowa Metals &amp; Mining Co. Ltd</t>
  </si>
  <si>
    <t>Dowa</t>
  </si>
  <si>
    <t>60-1 Otarube, Kosaka-machi, Kazuno-gun, Akita 017-0202 Japan</t>
  </si>
  <si>
    <t>Kosaka</t>
  </si>
  <si>
    <t>CID000308</t>
  </si>
  <si>
    <t>CID000937</t>
  </si>
  <si>
    <t>Pan Pacific Copper Co Ltd.</t>
  </si>
  <si>
    <t>JX Nippon Mining &amp; Metals Co., Ltd.</t>
  </si>
  <si>
    <t>Ōita</t>
  </si>
  <si>
    <t>Ôita</t>
  </si>
  <si>
    <t>CID000969</t>
  </si>
  <si>
    <t>Kennecott Utah Copper LLC</t>
  </si>
  <si>
    <t>Magna, Utah, USA</t>
  </si>
  <si>
    <t>Magna</t>
  </si>
  <si>
    <t>Utah</t>
  </si>
  <si>
    <t>#N/A, Bill Adams, Gold, NA</t>
  </si>
  <si>
    <t>#N/A, Kennecott Utah Copper LLC, NA, william.adams@riotinto.com</t>
  </si>
  <si>
    <t>Conformant-audited by LBMA RG- valid until 07/13/2023, Conformant-audited by LBMA RG- valid until 12/02/2022, Kennecott Utah Copper LLC, NA, no action need, No Action Required as company is RMAP conformant, None, CFS Certified, None; conformant to RMAP protocol, Supplier contacts: hyeju.lee@amkor.com; catherine.pelissonnier@st.com; (Phiron) nancy.joy@materion.com; Infineon Customer Contact @infineon.com; os.materialdeclaration@jenoptik.com; nutthaphon@focuz-mfg.com; nadine.jahn@aim-micro-systems.de; lisa.bjornson@sanmina.com; theodore.knudson@materion.com; yushin@harvatek.com; Emily_Hsieh@epistar.com; shelly.ding@inari-amertron.com.cn, Validated by LBMA RG until 05/28/2022</t>
  </si>
  <si>
    <t>Bingham Canyon, JAPAN | Bingham Canyon Mine, Morenci, Sierrita, Robinson, Phoenix, Butte, Troy Mine, CS Mining - Milford | Not disclosed by supplier | Not disclosed per RJC | Not disclosed | RCOI confirmed as per RMI but not disclosed by RJC | Some are recycled or scrap sourced but not all. | Not disclosed by supplier | JAPAN | Bingham Canyon Mine, Morenci, Sierrita, Robinson, Phoenix, Butte, Troy Mine, CS Mining - Milford | RCOI confirmed as per CFSI but not disclosed by RJC | recycled + scrap sourced | Not disclosed per RJC | Some are recycl | RCOI confirmed as per RMI but not disclosed by LBMA, NA, No information, Not disclosed by supplier, Not disclosed by supplier | RCOI confirmed as per RMI but not disclosed by LBMA, Not disclosed per LBMA, RCOI confirmed as per RMI., RCOI confirmed per RMI, RCOI confirmed per RMI | Not disclosed by supplier | Sourced from Mines/Recyale/Scrap, Scrap, See aggregated data below for LBMA Good Delivery Sourcing, UNITED STATES OF AMERICA, Unknown, but some recycled/scrap</t>
  </si>
  <si>
    <t>#N/A, Argentina, Austria, Brazil, Cambodia, Canada, Chile, China, Colombia, Ecuador, Germany, Guyana, Hungary, India, Indonesia, Japan, Kazakhstan, Korea, Luxembourg, Malaysia, Mongolia, Myanmar, Peru, Portugal, Recycled/Scrap, Turkey, United States, China, USA, CID000969,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United States, China | Magna, Utah, USA, LBMA Good Delivery Sourcing based on RMAP-RMI's RCOI data, Mineral sourcing not disclosed by LBMA, NA, No information, Not disclosed per LBMA, Not disclosed per RJC | USA | JAPAN | Not disclosed per RJC [L1, USA (Salt Lake City, Arizona, Nevada, Montana, Utah)] | United States, China | Not disclosed | RCOI confirmed as per RMI but not disclosed by RJC | Excludes Covered Countries | Mineral sourcing L1,R/S, Not disclosed by supplier | Not disclosed per RJC | JAPAN | Not disclosed per RJC [L1, USA (Salt Lake City, Arizona, Nevada, Montana, Utah)] | RCOI confirmed as per CFSI but not disclosed by RJC | United States, China | Mineral sourcing L1,R/S, Not disclosed by supplier | Not disclo | Magna, Utah, USA | Known Countries from which LBMA Good Delivery List Refiners Source - Mined  Material (Provided by LBMA) | Not disclosed per LBMA | RCOI confirmed as per RMI but not disclosed by LBMA, RCOI confirmed as per RMI., RCOI confirmed per RMI, RCOI confirmed per RMI | Mineral sourcing not disclosed by LBMA | USA, China, DRC or an adjoining country (Covered Countries), Myanmar, Cambodia, Malaysia, Kazakhstan, Portugal, Mongolia, Austria, Luxembourg, Brazil, Republic Of Korea, Guyana, Chile, Laos, Colombia, Ecuador, Argentina, Hungary, Japan, India, Canada, Bel, 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 Recycled/Scrap, United States, China, Portugal, Japan, Kazakhstan, Canada, Chile, Guyana, Argentina, Austria, Brazil, Cambodia, Colombia, Ecuador, Hungary, India, Korea, Luxembourg, Malaysia, Mongolia, Myanmar, Indonesia, Turkey, Germany, Peru, Switzerland, Suriname, Belgium, Egypt, Ethiopia, France, Ireland, Madagascar, Namibia, Netherlands, Niger, Nigeria, Sierra Leone, Singapore, Slovakia, Spain, Thailand, United Kingdom, Djibouti, Rwanda, Australia, Estonia, Israel, Zimbabwe, Poland, South Africa, Eritrea, Mexico, Panama, Bolivia (Plurinational State of), Viet Nam, Armenia, Azerbaijan, Bahamas, Barbados, Belarus, Benin,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Papua New Guinea, Philippines, Puerto Rico, Romania, Russian Federation, San Marino, Saudi Arabia, Senegal, Serbia, Slovenia, Solomon Islands, Sweden, Taiwan, Tajikistan, Togo, Trinidad and Tobago, Tunisia, Ukraine, United Arab Emirates, Uruguay, Uzbekistan, Yemen, United States, China, Unknown, 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</si>
  <si>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#N/A, Compliant, COMPLIANT 09/22/2015, Compliant Conformant, Conformant, Conformant Smelter, Conformant Smelter according to RMI, last cycle in 28.05.2020 with a cycle of 1 Year, PI, T, SC, CA,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t>
  </si>
  <si>
    <t>CID002511</t>
  </si>
  <si>
    <t>KGHM Polska Miedź Spółka Akcyjna</t>
  </si>
  <si>
    <t>KGHM Polska Miedz S.A.</t>
  </si>
  <si>
    <t>Poland</t>
  </si>
  <si>
    <t>Lubin</t>
  </si>
  <si>
    <t>Dolnośląskie</t>
  </si>
  <si>
    <t>Gold, Neuchâtel, Oskar Filipowski</t>
  </si>
  <si>
    <t>KGHM Polska Miedz S.A., Oskar.Filipowski@kghm.com</t>
  </si>
  <si>
    <t>Conformant, Conformant-audited by LBMA RG- valid until 05/19/2023, KGHM Polska Miedz Spolka Akcyjna, no action need, No Action Required as company is RMAP conformant, Supplier contacts: hyeju.lee@amkor.com; Infineon Customer Contact @infineon.com;  lisa.bjornson@sanmina.com; yushin@harvatek.com, Validated by LBMA RG until 04/15/2022</t>
  </si>
  <si>
    <t>0, No information, not available, not available | RCOI confirmed as per RMI but not disclosed by LBMA, Not disclosed by supplier, Not disclosed per LBMA, POLAND, RCOI confirmed as per RMI., RCOI confirmed per RMI, See aggregated data below for LBMA Good Delivery Sourcing, Sourced from Mines/Recyale/Scrap | Not disclosed by supplier, THAILAND | not available | RCOI confirmed as per RMI but not disclosed by LBMA, Unknown,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</si>
  <si>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Andorra, Argentina, Austria, Belgium, Brazil, Cambodia, Canada, Chile, China, Colombia, Ecuador, Germany, Guyana, Hungary, India, Indonesia, Japan, Kazakhstan, Korea, Luxembourg, Malaysia, Mongolia, Myanmar, Namibia, Peru, Poland, Portugal, Suriname, Switzerland, Thailand, United States,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Poland, Poland, Portugal, Republic of Korea, Russia, Sierra Leone, Singapore, Slovakia, Spain, Suriname, Switzerland, Thailand, United Kingdom, USA, Vietnam, Zimbabwe, Chile, 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 Chile, Poland, Canada, United States, Guyana, Japan, Germany, Peru, Suriname, Switzerland, Thailand, Argentina, Austria, Belgium, Brazil, Cambodia, Colombia, Ecuador, Hungary, India, Indonesia, Kazakhstan, Korea, Luxembourg, Malaysia, Mongolia, Myanmar, Namibia, Portugal, China, Egypt, Ethiopia, France, Ireland, Madagascar, Netherlands, Niger, Nigeria, Sierra Leone, Singapore, Slovakia, Spain, United Kingdom, Zimbabwe, Djibouti, Australia, Estonia, Israel, Andorra, Recycled/Scrap, Mexico, Eritrea, Viet Nam, Russian Federation, Taiwan, Bolivia (Plurinational State of), Armenia, Azerbaijan, Bahamas, Barbados, Belarus, Benin,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Puerto Rico, Romania, San Marino, Saudi Arabia, Senegal, Serbia, Slovenia, Solomon Islands, Sweden, Tajikistan, Togo, Trinidad and Tobago, Tunisia, Turkey, Ukraine, United Arab Emirates, Uruguay, Uzbekistan, Yemen, Chile, Poland, Thailand, Indonesia, Poland, Myanmar, Cambodia, Malaysia, Kazakhstan, Portugal, Mongolia, Austria, Luxembourg, Guyana, Brazil, Republic Of Korea, Laos, Ecuador, Colombia, Argentina, Hungary, Japan, India, Canada, Belgium, Namibia, China, Pe | Mineral sourcing not disclosed by LBMA, 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 CID002511, Excludes Covered Countries, Excludes Covered Countries | THAILAND | Chile | Excludes Covered Countries | THAILAND | Chile | Does not source from DRC or covered countries | Known Countries from which LBMA Good Delivery List Refiners Source - Mined  Material (Provided by LBMA) | RCOI confirmed as per RMI but not disclosed by LBMA, Known Countries from which LBMA Good Delivery List Refiners Source - Mined  Material (Provided by LBMA), Known Countries from which LBMA Good Delivery List Refiners Source - Mined  Material (Provided by LBMA) | RCOI confirmed as per RMI but not disclosed by LBMA, LBMA Good Delivery Sourcing based on RMAP-RMI's RCOI data, Mineral sourcing not disclosed by LBMA, No information, Not disclosed per LBMA, RCOI confirmed as per RMI., RCOI confirmed per RMI, Unknown</t>
  </si>
  <si>
    <t>Compliant, Compliant Conformant, Conformant, Conformant Smelter, Conformant smelter according to RMI, audit valid until 2022, Conformant Smelter according to RMI, last cycle in 15.04.2020 with a cycle of 1 Year, RCOI confirmed per RMI, RCOI confirmed per RMI / LBMA Good Delivery Sourcing, RMAP Conformant</t>
  </si>
  <si>
    <t>CID000555</t>
  </si>
  <si>
    <t>Gejiu Zili Mining And Metallurgy Co., Ltd.</t>
  </si>
  <si>
    <t>Huhudu, Gejiu, Honghezizhizhou, Yunnan</t>
  </si>
  <si>
    <t>Huang Lixiang,, Ms. Yin Huizhen, not available, Tin, Yin Huizhen, Huang Lixiang</t>
  </si>
  <si>
    <t>574247278@qq.com, 574247278@qq.com, 632hic@163.com, 632hic@163.com, Gejiu Zili Mining And Metallurgy Co., Ltd., jose.ore@minsur.com, not available</t>
  </si>
  <si>
    <t>Conformant- Reaudit In Progress, Gejiu Zili Mining And Metallurgy Co., Ltd., NA, No Action Required as company is RMAP conformant, None, CFS Certified, None; conformant to RMAP protocol, Reaudit In Progress, Remove from supply chain, Supplier contacts: hyeju.lee@amkor.com; catherine.pelissonnier@st.com; Infineon Customer Contact @infineon.com;  lisa.bjornson@sanmina.com; yushin@harvatek.com; Emily_Hsieh@epistar.com</t>
  </si>
  <si>
    <t>0, CHINA, L1, N/A, No information, not available, not available | RCOI confirmed as per RMI | Excludes Covered Countries, Not disclosed by supplier, RCOI confirmed as per RMI., RCOI confirmed per RMI, Unknown, but some recycled/scrap, Yunnan Gejiu</t>
  </si>
  <si>
    <t>0, Australia, Bolivia (Plurinational State of), Brazil, Canada, China, Colombia, Democratic Republic of Congo, Ethiopia, France, Indonesia, Ireland, Madagascar, Malaysia, Mozambique, Myanmar, Recycled/Scrap, Russian Federation, Spain, Thailand, United States, Bolivia, Brazil, China, Indonesia, USA, recycled/scrap, China, Brazil, Indonesia, China, Brazil, Indonesia, Recycled/Scrap, Bolivia, USA, CID000555, DRC,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and CAHRA, L1, L1 | RCOI confirmed as per RMI | Not Available | Excludes Covered Countries, Mineral sourcing L1 based on RMAP-RMI's RCOI data, NA, No information, RCOI confirmed as per RMI., RCOI confirmed per RMI, Recycled/Scrap, China, Brazil, Indonesia, United States, Recycled/Scrap, China, Brazil, Indonesia, United States, Australia, Russian Federation, Thailand, Canada, Democratic Republic of Congo, Mozambique, Bolivia (Plurinational State of), Myanmar, Spain, Colombia, Ethiopia, France, Ireland, Madagascar, Malaysia, Mongolia, Niger, Nigeria, Peru, Portugal, Sierra Leone, Taiwan, United Kingdom, Argentina, Austria, Chile, Ecuador, India, Japan, Belgium, Cambodia, Egypt, Estonia, Germany, Guyana, Hungary, Israel, Kazakhstan, Korea, Luxembourg, Mexico, Namibia, Netherlands, Singapore, Slovakia, Suriname, Switzerland, Zimbabwe, Djibouti, Rwanda, Viet Nam, Mali, Uzbekistan, Ghana, Benin, Eritrea, Guinea, Mauritania, Nicaragua, Togo,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Morocco, New Caledonia, New Zealand, Norway, Oman, Pakistan, Panama, Papua New Guinea, Philippines, Poland, Puerto Rico, Romania, San Marino, Saudi Arabia, Senegal, Serbia, Slovenia, Solomon Islands, Sweden, Tajikistan, Trinidad and Tobago, Tunisia, Turkey, Ukraine, United Arab Emirates, Uruguay, Yemen, Unknown</t>
  </si>
  <si>
    <t>Compliant, Compliant Conformant, Conformant, Conformant Smelter, Conformant smelter according to RMI, audit valid until 2019, reassessment in progress, Conformant Smelter according to RMI, last cycle in 16.11.2018 with a cycle of 1 Year, RCOI confirmed per RMI, RMAP Conformant, RMAP Conformant Smelter / RCOI confirmed per RMI</t>
  </si>
  <si>
    <t>CID003116</t>
  </si>
  <si>
    <t>Wugong Longshan Laohu Guxiang Village 1, Chaoan Zone of Chaozhou, Guangdong</t>
  </si>
  <si>
    <t>NA, Oruro, Tin, Ying Yan</t>
  </si>
  <si>
    <t>367369603@qq.com, 36739603@qq.com, Guangdong Hanhe Non-Ferrous Metal Co., Ltd., NA</t>
  </si>
  <si>
    <t>Conformant, Conformant-Reaudit In Progress, Guangdong Hanhe Non-Ferrous Metal Co., Ltd., NA, no action need, No Action Required as company is RMAP conformant, None Required - RMI  certifed conflict free, None Required - RMI  certified conflict free, Reaudit In Progress, RMAP Compliant Smelter, Supplier contacts: hyeju.lee@amkor.com; catherine.pelissonnier@st.com; oh-dongho@auk.co.kr; Infineon Customer Contact @infineon.com; lisa.bjornson@sanmina.com; theodore.knudson@materion.com; yushin@harvatek.com; chencq@lettall.com; Emily_Hsieh@epistar.com; cindy.dodd@avx.com; zenglan.fei@wlcsp.com; Mia_Moh@aseglobal.com; oh-dongho@auk.co.kr</t>
  </si>
  <si>
    <t>0, CHINA, LR, R/S, NA, No information, RCOI confirmed per RMI, Recycled and scrap, and mines not disclosed by supplier, Recycled or scrap, and mining not disclosed by supplier, Recycled or scrap, and mining not disclosed by supplier | Sourced from Mines/Recyale/Scrap | RCOI confirmed per RMI | Recycled scrap material, Recycled scrap material, Recycled, Scrap and mines, Recycled, Scrap and mines | Some are recycled or scrap sourced but not all | Hunan or Jiangxi, Recycled/Scrap, Hunan or Jiangxi, Some are recycled or scrap sourced but not all, Some are recycled or scrap sourced but not all | Some are recycled or scrap sourced but not all | Not disclosed by supplier | Recycled, Scrap and mines | Not disclosed by supplier | Recycled, Scrap and mines | Recycled, Scrap and mines, not disclosed by supplier, Some are recycled or scrap sourced but not all. , Some are recycled or scrap sourced but not all. | RCOI confirmed per RMI | RCOI confirmed as per RMI, Some are recycled/scrap sourced but not all., Unknown, but some recycled/scrap</t>
  </si>
  <si>
    <t>Australia, Bolivia (Plurinational State of), Brazil, Canada, China, Colombia, Germany, Indonesia, Ireland, Japan, Malaysia, Mongolia, Myanmar, Niger, Nigeria, Peru, Portugal, Recycled/Scrap, Russian Federation, Thailand, United Kingdom, United States, China, Recycled/Scrap, DRC or an adjoining country (Covered Countries), China, Recycled/Scrap, DRC or an adjoining country (Covered Countries);Recycled/Scrap, China, Australia, United States, Canada, Japan, Malaysia, Mongolia, Germany, Indonesia, United Kingdom, Brazil, Thailand, Colombia, Ireland, Myanmar, Niger, Nigeria, Peru, Portugal, Russian Federation, Bolivia (Plurinational State of), Argentina, Viet Nam, Zimbabwe, Austria, Italy, Mexico, Mozambique, Philippines, South Africa, Taiwan, Chile, Saudi Arabia, Ethiopia, France, Madagascar, Mali, Sierra Leone, Spain, Uzbekistan, Ghana, India, Andorra, Korea, Benin, Ecuador, Eritrea, Guinea, Mauritania, Nicaragua, Togo, CID003116, DRC, Andorra, Argentina, Australia, Austria, Benin, Bolivia, Brazil, Canada, Chile, China, Colombia, Ecuador, Eritrea, Ethiopia, France, Germany, Ghana, Guinea, India, Indonesia, Ireland, Italy, Japan, Madagascar, Malaysia, Mali, Mauritania, Mexico, Mongolia, Mozambique, Myanmar, Nicaragua, Niger, Nigeria, Peru, Philippines, Portugal, Republic of Korea, Russia, Saudi Arabia, Sierra Leone, South Africa, Spain, Taiwan, Thailand, Togo, USA, United Kingdom, Uzbekistan, Vietnam, Zimbabwe, Recycled/Scrap, Excludes Covered Countries, Excludes Covered Countries and CAHRA, Excludes Covered Countries and CAHRA | Mineral sourcing R/S, LR from China | China, Recycled/Scrap, DRC or an adjoining country (Covered Countries) | RCOI confirmed per RMI | Recycled, L1, R/S, L1, R/S | Some are recycled or scrap sourced but not all | Not Available | Hunan or Jiangxi | Wugong Longshan Laohu Guxiang Village 1, Chaoan Zone of Chaozhou, Guangdong | Excludes Covered Countries, Mineral sourcing L1, R/S based on RMAP-RMI's RCOI data, Mineral sourcing R/S, LR from China, NA, No information, No known country of origin, No known country of origin | Some are recycled or scrap sourced but not all | Excludes Covered Countries | Some are recycled or scrap sourced but not all | No known country of origin | L1, R/S | Does not source from DRC or covered countries | Mineral sourcing L1, R/S, not disclosed by supplier | L1, R/S | Wugong Longshan Laohu Guxiang Village 1, Chaoan Zone of Chaozhou, Guangdong | Mineral sourcing L1, R/S, not disclosed by RMI | Not Available, RCOI confirmed per RMI, Recycled , Recycled/Scrap, China, Some are recycled or scrap sourced but not all, Some are recycled or scrap sourced but not all. , Some are recycled/scrap sourced but not all., Unspecified covered country, China, recycled/scrap</t>
  </si>
  <si>
    <t>Compliant, Compliant Conformant, Conformant, Conformant Smelter, Conformant smelter according to RMI, audit valid until 2021, Conformant Smelter according to RMI, last cycle in 19.12.2018 with a cycle of 1 Year, http://www.czzp.cn/detail/showent_269984.html, RCOI confirmed as per RMAP, RCOI confirmed per RMI, RMAP Conformant, RMAP Conformant Smelter, RMAP Conformant Smelter / RCOI confirmed per RMI</t>
  </si>
  <si>
    <t>CID002578</t>
  </si>
  <si>
    <t>Hunan Chuangda Vanadium Tungsten Co., Ltd. Yanglin</t>
  </si>
  <si>
    <t>CID000825</t>
  </si>
  <si>
    <t>Japan New Metals Co., Ltd.</t>
  </si>
  <si>
    <t>Akita City</t>
  </si>
  <si>
    <t>CID003408</t>
  </si>
  <si>
    <t>JSC "Kirovgrad Hard Alloys Plant"</t>
  </si>
  <si>
    <t>"624140 Russia Sverdlovsk region, Kirovgrad, Sverdlova street, 26a</t>
  </si>
  <si>
    <t>Kirovgrad</t>
  </si>
  <si>
    <t>Sverdlovskaya oblast'</t>
  </si>
  <si>
    <t>0, Dmitrii A. Pelts</t>
  </si>
  <si>
    <t>0, dpelts@kzts.ru</t>
  </si>
  <si>
    <t>Compliant by Dec 31, 2021, Continued RMI Participation</t>
  </si>
  <si>
    <t>0, No information, Unknown, Unknown, but some recycled/scrap</t>
  </si>
  <si>
    <t>0, Due diligence results pending, Due diligence results pending;Russian Federation, Recycled/Scrap, Liechtenstein, Excludes Covered Countries and CAHRA, Liechtenstein, Russia, Recycled/Scrap, No information, No known country of origin, Recycled/Scrap, Russian Federation, Unknown, Unknown, but no reason to believe sources from covered countries</t>
  </si>
  <si>
    <t>Active, Conformant smelter according to RMI, audit valid until 2020, On RMAP Active List, RMAP Conformant Smelter</t>
  </si>
  <si>
    <t>CID000940</t>
  </si>
  <si>
    <t>CID000953</t>
  </si>
  <si>
    <t>Kanto Denka Kogyo Co., Ltd.</t>
  </si>
  <si>
    <t>CID000966</t>
  </si>
  <si>
    <t>Kennametal Fallon</t>
  </si>
  <si>
    <t>Fallon</t>
  </si>
  <si>
    <t>Nevada</t>
  </si>
  <si>
    <t>CID002543</t>
  </si>
  <si>
    <t>Nui Phao H.C. Starck Tungsten Chemicals Manufacturing LLC</t>
  </si>
  <si>
    <t>Masan Tungsten Chemical LLC (MTC)</t>
  </si>
  <si>
    <t>Dai Tu</t>
  </si>
  <si>
    <t>Thái Nguyên</t>
  </si>
  <si>
    <t>CID001167</t>
  </si>
  <si>
    <t>Midwest Tungsten Wire Co.</t>
  </si>
  <si>
    <t>CID001190</t>
  </si>
  <si>
    <t>Mitsubishi Materials Corporation</t>
  </si>
  <si>
    <t>CID003468</t>
  </si>
  <si>
    <t>Cronimet Brasil Ltda</t>
  </si>
  <si>
    <t>Rua Augusto Valiatti, 77, Corveta – Araquari – Santa Catarina, ZIP Code: 89245-000</t>
  </si>
  <si>
    <t>Araquari</t>
  </si>
  <si>
    <t>Santa Catarina</t>
  </si>
  <si>
    <t>Leandro Campos</t>
  </si>
  <si>
    <t>leandro.campos@cronimet.com.br</t>
  </si>
  <si>
    <t>Conformant-Reaudit In Progress, Supplier contacts: hyeju.lee@amkor.com; lisa.bjornson@sanmina.com</t>
  </si>
  <si>
    <t>0, No information, Not disclosed by supplier, Unknown</t>
  </si>
  <si>
    <t>CAHRA, Liechtenstein, Due diligence results pending, Due diligence results pending;Liechtenstein, Includes CAHRA, Includes CAHRA | Mineral sourcing HR based on RMAP-RMI's RCOI data, Liechtenstein, Mineral sourcing HR based on RMAP-RMI's RCOI data, No information, No known country of origin, Unknown</t>
  </si>
  <si>
    <t>Compliant, Compliant Conformant, Conformant, Conformant smelter according to RMI, audit valid until 2021, reassessment in progress, RMAP Conformant Smelter</t>
  </si>
  <si>
    <t>CID000320</t>
  </si>
  <si>
    <t>CWB Materials</t>
  </si>
  <si>
    <t>Gyeongju-si</t>
  </si>
  <si>
    <t>Gyeongsangbuk-do</t>
  </si>
  <si>
    <t>CID000434</t>
  </si>
  <si>
    <t>Electroloy Metal Pte</t>
  </si>
  <si>
    <t>CID000480</t>
  </si>
  <si>
    <t>Fort Wayne Wire Die, Inc.</t>
  </si>
  <si>
    <t>CID003401</t>
  </si>
  <si>
    <t>Fujian Ganmin RareMetal Co., Ltd.</t>
  </si>
  <si>
    <t>Sheshan Village, Nanyang Industrial Zone, Shanghang County, Longyan City, Fujian Province</t>
  </si>
  <si>
    <t xml:space="preserve"> Xinyu Liao, 0, Xinyu Liao</t>
  </si>
  <si>
    <t>0, 31832399@qq.com</t>
  </si>
  <si>
    <t>Conformant-audited by RMI (members / partners)- valid until 06/05/2023, No Action Required as company is RMAP conformant, Supplier contacts: hyeju.lee@amkor.com; catherine.pelissonnier@st.com; Infineon Customer Contact @infineon.com;  lisa.bjornson@sanmina.com; yushin@harvatek.com, Validated by RMI until 06/05/2022</t>
  </si>
  <si>
    <t>0, Excludes Covered Countries, LR, No information, Not disclosed by supplier, RCOI confirmed as per RMI., RCOI confirmed per RMI, Unknown, Unknown, but some recycled/scrap</t>
  </si>
  <si>
    <t>0, Angola, Argentina, Austria, Brazil, Cambodia, Chile, China, Colombia, Congo, Democratic Republic of Congo, Ecuador, Guyana, Hungary, Japan, Kazakhstan, Korea, Luxembourg, Malaysia, Mongolia, Myanmar, Portugal, South Sudan, Sudan, Tanzania, Zambia, China, Argentina, Austria, Brazil, Guyana, Japan, Malaysia, Mongolia, Portugal, Angola, Cambodia, Chile, Colombia, Congo, Democratic Republic of Congo, Ecuador, Hungary, Kazakhstan, Korea, Luxembourg, Myanmar, South Sudan, Sudan, Tanzania, Zambia, Australia, Canada, Ethiopia, Germany, India, Indonesia, Namibia, Niger, Nigeria, Peru, Russian Federation, Sierra Leone, Spain, Thailand, United States, Zimbabwe, Mexico, Mozambique, Belgium, Burundi, Central African Republic, Djibouti, Egypt, Estonia, France, Ireland, Israel, Madagascar, Netherlands, Rwanda, Singapore, Slovakia, Suriname, Switzerland, Taiwan, Uganda, United Kingdom, Viet Nam, Kenya, South Africa, Ghana, Guinea, Recycled/Scrap, Liechtenstein;Due diligence results pending, DRC, Angola, Burundi, Central African Republic, Rwanda, South Sudan, Tanzania, Uganda, Zambia, Argentina, Australia, Austria, Belgium, Brazil, Cambodia, Canada, Chile, China, Colombia, Djibouti, Ecuador, Egypt, Estonia, Ethiopia, France, Germany, Ghana, Guinea, Guyana, Hungary, India, Indonesia, Ireland, Israel, Japan, Kazakhstan, Kenya, Liechtenstein, Luxembourg, Madagascar, Malaysia, Mexico, Mongolia, Mozambique, Myanmar, Namibia, Netherlands, Niger, Nigeria, Peru, Portugal, Republic of Korea, Russia, Sierra Leone, Singapore, Slovakia, South Africa, Spain, Sudan, Suriname, Switzerland, Taiwan, Thailand, USA, United Kingdom, Vietnam, Zimbabwe, Recycled/Scrap, Due diligence results pending, Excludes Covered Countries, Excludes Covered Countries and CAHRA, Excludes Covered Countries and CAHRA | Mineral sourcing LR based on RMAP-RMI's RCOI data, Mineral sourcing LR based on RMAP-RMI's RCOI data, No information, No known country of origin, RCOI confirmed as per RMI., RCOI confirmed per RMI, Unknown, but no reason to believe sources from covered countries</t>
  </si>
  <si>
    <t>Compliant, Compliant Conformant, Conformant, Conformant smelter according to RMI, audit valid until 2023, Conformant Smelter according to RMI, last cycle in 05.06.2020 with a cycle of 1 Year, RCOI confirmed per RMI, RMAP Conformant</t>
  </si>
  <si>
    <t>No Action Required as company is RMAP conformant, None, CFS Certified, None, conformant to protocol</t>
  </si>
  <si>
    <t>CID003208</t>
  </si>
  <si>
    <t>Pongpipat Company Limited</t>
  </si>
  <si>
    <t>Myanmar</t>
  </si>
  <si>
    <t>Tin Smelting and Refining Plant, Thanlyin District, Yangon, Myanmar</t>
  </si>
  <si>
    <t>Yangon</t>
  </si>
  <si>
    <t>Khin Pe</t>
  </si>
  <si>
    <t>tsrp.me2@gmail.com</t>
  </si>
  <si>
    <t>Australia, Bermuda, Canada, Chile, China, Indonesia, Malaysia, Morocco, Myanmar, Peru, Recycled/Scrap, United States, Uzbekistan, Australia, Bermuda, Canada, Chile, China, Indonesia, Malaysia, Morocco, Myanmar, Peru, USA, Uzbekistan, Recycled/Scrap, Australia, Bermuda, Canada, Chile, China, Indonesia, Malaysia, Myanmar, Peru, USA, Uzbekistan, Canada, China, USA, Uzbekistan, Bermuda, Malaysia, Chile, Australia, Peru, Indonesia, Myanmar, Myanmar, Indonesia, Peru, United States, Australia, Bermuda, Canada, Chile, China, Malaysia, Uzbekistan, Myanmar, Indonesia, Peru, United States, Australia, Bermuda, Canada, Chile, China, Malaysia, Uzbekistan, Morocco, Recycled/Scrap, No known country of origin, Unknown</t>
  </si>
  <si>
    <t>CID003409</t>
  </si>
  <si>
    <t>Precious Minerals and Smelting Limited</t>
  </si>
  <si>
    <t>Semi Urban Industrial Estate, Jagdalpur-494001, (CG), India</t>
  </si>
  <si>
    <t>Jagdalpur</t>
  </si>
  <si>
    <t>Chhattisgarh</t>
  </si>
  <si>
    <t>Yukti Lunia</t>
  </si>
  <si>
    <t>Yuktilunia@gmail.com</t>
  </si>
  <si>
    <t>Australia, Austria, Belgium, Canada, China, Germany, India, Italy, Malaysia, Mexico, Mongolia, Mozambique, Philippines, Singapore, South Africa, Turkey, USA, Recycled/Scrap, Due diligence results pending, India, Belgium, Recycled/Scrap, China, Singapore, Australia, Austria, Canada, Germany, Italy, Malaysia, Mexico, Mongolia, Mozambique, Philippines, South Africa, Turkey, United States, Liechtenstein, India, Recycled/Scrap, No known country of origin, Not Available, Unknown, Unknown, but no reason to believe sources from covered countries</t>
  </si>
  <si>
    <t>PT Alam Lestari Kencana</t>
  </si>
  <si>
    <t>CID001393</t>
  </si>
  <si>
    <t>CID000309</t>
  </si>
  <si>
    <t>PT Aries Kencana Sejahtera</t>
  </si>
  <si>
    <t>CID002816</t>
  </si>
  <si>
    <t>PT Sukses Inti Makmur</t>
  </si>
  <si>
    <t>Jiangxi Tonggu Non-ferrous Metallurgical &amp; Chemical Co., Ltd.</t>
  </si>
  <si>
    <t>Sunrise Project Area of Xiushui Industrial Park, Tonggu, Yichun, Jiangxi, China</t>
  </si>
  <si>
    <t>Tonggu</t>
  </si>
  <si>
    <t>Chang Yuzhong, Eric Zhu, NA, Phuket</t>
  </si>
  <si>
    <t>dept1@cniecjx.com.cn, dept3@jxtiec.com.cn, NA</t>
  </si>
  <si>
    <t>Conformant, Conformant-Reaudit In Progress, NA, no action need, no action needed, No Action Required as company is RMAP conformant, None, CFS certified, Supplier contacts: hyeju.lee@amkor.com; catherine.pelissonnier@st.com; ehs@xfab.com; Infineon Customer Contact @infineon.com;lisa.bjornson@sanmina.com; yushin@harvatek.com, Validated by RMI until 05/07/2022</t>
  </si>
  <si>
    <t>0, KAZAKHSTAN | Not disclosed by supplier | RCOI confirmed as per RMI | KAZAKHSTAN | RCOI confirmed as per CFSI | Not disclosed by supplier, NA, No information, Not disclosed by supplier, Not disclosed by supplier | Not disclosure, Not disclosed by supplier | RCOI confirmed as per RMI, Not disclosed per TI-CMC, RCOI confirmed as per RMI., RCOI confirmed per RMI, See aggregated data below for TI-CMC Sourcing, Unknown, Unknown, but some recycled/scrap</t>
  </si>
  <si>
    <t>Argentina, Austria, Belgium, Brazil, Cambodia, Canada, Chile, China, Colombia, Ecuador, Ethiopia, Germany, Guyana, Hungary, India, Japan, Kazakhstan, Korea, Luxembourg, Malaysia, Mongolia, Myanmar, Namibia, Peru, Portugal, Recycled/Scrap, Taiwan, China, Kazakhstan, Republic of Korea, China, Korea, Kazakhstan, China, Korea, Republic of, China, Republic Of Korea, Kazakhstan, China, Republic Of Korea, Kazakhstan | RCOI confirmed per RMI | Recycled/Scrap, DRC or an adjoining country (Covered Countries), Myanmar, Cambodia, Malaysia, Kazakhstan, Portugal, Austria, Mongolia, Luxembourg, Guyana, Brazil, Republic Of Korea, Chile, Laos, Ecuador, Colombia, Argentina, Hungary, Japan, India, Canada,, DRC,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KAZAKHSTAN | China, Korea, Republic of | L1 | RCOI confirmed as per RMI | Mineral sourcing L1, Not disclosed by supplier | Excludes Covered Countries | KAZAKHSTAN | RCOI confirmed as per CFSI | China, Korea, Republic of | Mineral sourcing L1, Not disclosed by supplier | L1 | Does not source from DRC or covered countries | Mineral sourcing L1, not disclosed by supplier | Sunrise Project Area of Xiushui Industrial Park, Tonggu, Yichun, Jiangxi, China | Mineral sourcing L1, not disclosed by RMI, L1, L1 | RCOI confirmed as per RMI | China, Korea, Republic of | Sunrise Project Area of Xiushui Industrial Park, Tonggu, Yichun, Jiangxi, China | Excludes Covered Countries, Mineral sourcing not disclosed, Mineral sourcing not disclosed by TI-CMC sourcing, Mineral sourcing not disclosed by TI-CMC sourcing | Not disclosure, NA, No information, Not disclosed per TI-CMC, RCOI confirmed as per RMI., RCOI confirmed per RMI, Unknown</t>
  </si>
  <si>
    <t>Compliant, Compliant Conformant, Conformant, Conformant Smelter, Conformant smelter according to RMI, audit valid until 2022, Conformant Smelter according to RMI, last cycle in 07.05.2019 with a cycle of 3 Years, RCOI confirmed per RMI, RMAP Conformant, RMAP Conformant Smelter, RMAP Conformant Smelter / RCOI confirmed per RMI</t>
  </si>
  <si>
    <t>CID001889</t>
  </si>
  <si>
    <t>Tejing (Vietnam) Tungsten Co., Ltd.</t>
  </si>
  <si>
    <t>Halong City</t>
  </si>
  <si>
    <t>Tây Ninh</t>
  </si>
  <si>
    <t>Ms. Giang, Ms. Giang (Phone: 011-84-901-62-0381)</t>
  </si>
  <si>
    <t>tjvn.giang@tejingtungsten.com</t>
  </si>
  <si>
    <t>Recycled, Scrap and mines, Recycled, Scrap and mines | Some are recycled or scrap sourced but not all, Recycled, Scrap and mines not disclosed by supplier,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</si>
  <si>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Excludes Covered Countries, L1, R/S, L1, R/S | Some are recycled or scrap sourced but not all | Myanmar, Cambodia, Malaysia, Kazakhstan, Portugal, Mongolia, Austria, Luxembourg, Guyana, Korea, Republic of, Brazil, Chile, Laos, Colombia, Ecuador, Argentina, Hungary, Japan, India, Canada, Belgium, Namibia, Taiwan, Peru, Germany, Ethiopia, Russian Fede | Excludes Covered Countries | Cailan Industrial Zone, Halong City, Quang Ninh, Vietnam, Mineral sourcing L1, R/S based on RMAP-RMI's RCOI data, 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</si>
  <si>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Compliant Conformant, Conformant Smelter, Conformant Smelter according to RMI, last cycle in 23.11.2018 with a cycle of 1 Year</t>
  </si>
  <si>
    <t>CID002423</t>
  </si>
  <si>
    <t>Toshiba Material Co., Ltd.</t>
  </si>
  <si>
    <t>CID002044</t>
  </si>
  <si>
    <t>Wolfram Bergbau und Hütten AG</t>
  </si>
  <si>
    <t>Wolfram Bergbau und Hutten AG</t>
  </si>
  <si>
    <t>Austria</t>
  </si>
  <si>
    <t>Bergia 33, St. Martin i-S, Styria, Austria A-8543</t>
  </si>
  <si>
    <t>St. Martin i-S</t>
  </si>
  <si>
    <t>Steiermark</t>
  </si>
  <si>
    <t>NA, Steffen Schmidt</t>
  </si>
  <si>
    <t>NA, s.schmidt@wolfram.at</t>
  </si>
  <si>
    <t>Conformant-audited by RMI (members / partners)- valid until 08/10/2023, Conformant-audited by RMI (members / partners)- valid until 08/12/2022, NA, no action need, No Action Required as company is RMAP conformant, None, CFS Certified, RCOI validated by RMI Protocols , Supplier contacts: hyeju.lee@amkor.com; catherine.pelissonnier@st.com; ehs@xfab.com; Infineon Customer Contact @infineon.com;cammmh@towersemi.com; eagle@solartech.com.tw; lisa.bjornson@sanmina.com; yushin@harvatek.com; cindy.dodd@avx.com, Validated by RMI until 07/16/2022</t>
  </si>
  <si>
    <t>0, Mittersill and recycled/scrap, NA, No information, Not disclosure | Recycled or scrap, and mining not disclosed by supplier, R/S, LR, HR, CC and Mined (See aggregated data below for TI-CMC Sourcing), RCOI confirmed per RMI, Recycled and from Mittersill , Recycled or scrap, and mining not disclosed by supplier, Recycled, Scrap and mines, Recycled, Scrap and mines | Some are recycled, scrap or covered countries sourced but not all, Some are recycled, scrap or cover countries sourced but not all. | Some are recycled, scrap, covered countries or DRC sourced but not all. | Some are recycled, scrap or cover countries sourced but not all. | Some are recycled, scrap, covered countries or DRC sourced but not all. | Some are recycled, scrap, cover countries or DRC sourced but not all. | Recycled, Scrap and mines | Recycled, Scrap and mines | Recycled, Scrap and mines, not disclosed by supplier | Some are recycled, scrap or covered countries sourced but not all, Some are recycled, scrap or covered countries sourced but not all, Some are recycled, scrap or covered countries sourced but not all. | RCOI confirmed per RMI, Some are recyled/scrap,covered countries, and TI-CMC sourced but not all., Unknown, but some recycled/scrap</t>
  </si>
  <si>
    <t>Argentina, Australia, Austria, Belgium, Brazil, Cambodia, Canada, Chile, China, Colombia, Djibouti, Ecuador, Egypt, Estonia, Ethiopia, France, Germany, Guyana, Hungary, India, Indonesia, Ireland, Israel, Japan, Kazakhstan, Portugal, Recycled/Scrap, Rwanda, Austria, China, Australia, China, Recycled/Scrap, DRC or an adjoining country (Covered Countries), Austria, Australia, Rwanda, Russia, Argentina, Belgium, Bolivia, Brazil, Cambodia, Canada, Chile, Colombia, Ivory Coast, Czech Republic, Djibouti, Ecuador, Egypt, Estonia, Ethiopia, F | Some are recycled, scrap or covered countries sourced but not all. | the DRC or an adjoining country(covered countries) | RCOI confirmed per RMI | Includes Covered Countries and CAHRA, 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 DRC, Burundi, Rwanda, Tanzania, Uganda, Zambia, Argentina, Australia, Austria, Belgium, Bolivia, Brazil, Cambodia, Canada, Chile, China, Colombia, Djibouti, Ecuador, Egypt, Estonia, Ethiopia, France, Germany, Guinea, Guyana, Hong Kong, Hungary, India, Indonesia, Ireland, Israel, Ivory Coast, Japan, Kazakhstan, Luxembourg, Madagascar, Malaysia, Mexico, Mongolia, Myanmar, Namibia, Netherlands, Niger, Nigeria, Papua New Guinea, Peru, Philippines, Portugal, Republic of Korea, Russia, Sierra Leone, Singapore, Slovakia, Spain, Suriname, Switzerland, Taiwan, Thailand, USA, United Kingdom, Uzbekistan, Vietnam, Zimbabwe, Recycled/Scrap, Includes Covered Countries, Includes Covered Countries and CAHRA, Includes Covered Countries and CAHRA | Not disclosure | Mineral sourcing R/S and LR,HR,CC not disclosed by TI-CMC sourcing, L1, L3, R/S | Includes Covered Countries | Austria, China, Australia | L1, L3, DRC, R/S | Some are recycled, scrap, covered countries or DRC sourced but not all. | Mineral sourcing L1, L3, R/S, Not disclosed by supplier | L1, L3, R/S | Includes Covered Countries | Some are recycled, scrap, covered countries or DRC sourced but not all. | Austria, China, Australia | Some are recycled, scrap, cover countries or DRC sourced but not all. | Mineral sourcing L1, L3, R/S, Not disc | the DRC or an adjoining country(covered countries) | Bergia 33, St. Martin i-S, Styria, Austria A-8543 | LR, HR, CC, R/S | Mineral sourcing L1, CC, DRC, R/S, not disclosed by RMI | Some are recycled, scrap or covered countries sourced but not all | L1, CC, DRC, R/S, LR, HR, CC, R/S, LR, HR, CC, R/S | L1, CC, DRC, R/S | Some are recycled, scrap or covered countries sourced but not all | Austria, China, Australia | the DRC or an adjoining country(covered countries) | Includes Covered Countries | Bergia 33, St. Martin i-S, Styria, Austria A-8543, Mineral sourcing R/S and LR,HR,CC not disclosed by TI-CMC sourcing, Mineral sourcing R/S, CC and Mined from Austria, NA, No information, RCOI confirmed per RMI, Recycled/Scrap, Austria, Australia, China, Brazil, Canada, Colombia, Argentina, Chile, Belgium, Cambodia, Ecuador, Rwanda, Japan, Ethiopia, India, Germany, Guyana, Hungary, Kazakhstan, Djibouti, Egypt, Ireland, Estonia, Indonesia, France, Israel, Rwanda, Argentina, Australia, Austria, Belgium, Bolivia, Brazil, Cambodia, Canada, Chile, China, Colombia, Czech Republic, Djibouti, Ecuador, Egypt, Estonia, Ethiopia, France, Germany, Guyana, Hungary, India, Indonesia, Ireland, Israel, Ivory Coast, Japan, Kazakhstan, Russia, Vietnam, recycled/scrap, Some are recycled, scrap or covered countries sourced but not all, Some are recyled/scrap,covered countries, and TI-CMC sourced but not all.</t>
  </si>
  <si>
    <t>Compliant, COMPLIANT 09/22/2015, Compliant Conformant, Conformant, Conformant Smelter, Conformant smelter according to RMI, audit valid until 2022, Conformant Smelter according to RMI, last cycle in 16.07.2020 with a cycle of 1 Year, Listed on CFSI Conflict Free Smelter List, Part or all material comes from Covered Country, RCOI confirmed per RMI / approved by TI-CMC, RMAP Conformant, RMAP Conformant Smelter, RMAP Conformant Smelter / RCOI confirmed per RMI</t>
  </si>
  <si>
    <t>CID002047</t>
  </si>
  <si>
    <t>WOLFRAM Company CJSC</t>
  </si>
  <si>
    <t>CID002830</t>
  </si>
  <si>
    <t>Xinfeng Huarui Tungsten &amp; Molybdenum New Material Co., Ltd.</t>
  </si>
  <si>
    <t>Zhongduan Soiuth Road, Industry Park Zone, Xinfeng County</t>
  </si>
  <si>
    <t>Jiangxi, Yvette</t>
  </si>
  <si>
    <t>251106295@qq.com</t>
  </si>
  <si>
    <t>Conformant, Conformant-audited by RMI (members / partners)- valid until 08/13/2022, no action need, No Action Required as company is RMAP conformant, Supplier contacts: hyeju.lee@amkor.com; catherine.pelissonnier@st.com; Infineon Customer Contact @infineon.com;  lisa.bjornson@sanmina.com, Validated by RMI until 08/13/2022</t>
  </si>
  <si>
    <t>0, No information, Not disclosed by supplier, Not disclosed per TI-CMC, RCOI confirmed as per RMI | not available | Not disclosed by supplier | Not disclosed by supplier, RCOI confirmed as per RMI | Not disclosed by supplier, RCOI confirmed as per RMI., RCOI confirmed per RMI, RCOI confirmed per RMI | Not disclosed by supplier, See aggregated data below for TI-CMC Sourcing, Unknown, Unknown, but some recycled/scrap</t>
  </si>
  <si>
    <t>Argentina, Australia, Austria, Belgium, Bolivia,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Turkey, USA, United Kingdom, Uzbekistan, Vietnam, Zimbabwe, Recycled/Scrap, Argentina, Austria, Belgium, Brazil, Cambodia, Canada, Chile, China, Colombia, Ecuador, Ethiopia, Germany, Guyana, Hungary, India, Japan, Kazakhstan, Korea, Luxembourg, Malaysia, Mongolia, Myanmar, Namibia, Peru, Portugal, Recycled/Scrap, Taiwan, Thailand, China, Thailand, China, Thailand, Recycled/Scrap, Brazil, Austria, Canada, Colombia, Japan, Mongolia, Portugal, Argentina, Belgium, Cambodia, Chile, Ecuador, Ethiopia, Germany, Guyana, Hungary, India, Kazakhstan, Korea, Luxembourg, Malaysia, Myanmar, Namibia, Peru, Taiwan, Australia, Ireland, Mexico, Niger, Nigeria, Russian Federation, Spain, United Kingdom, United States, Uzbekistan, Viet Nam, Bolivia (Plurinational State of), Philippines, Djibouti, Egypt, Estonia, France, Indonesia, Israel, Madagascar, Netherlands, Sierra Leone, Singapore, Slovakia, Suriname, Switzerland, Turkey, Zimbabwe, L1, Mineral sourcing not disclosed, Mineral sourcing not disclosed by TI-CMC sourcing, No information, No known country of origin, No known country of origin | RCOI confirmed as per RMI | Jiangxi | Excludes Covered Countries | No known country of origin | L1 | Excludes Covered Countries | Does not source from DRC or covered countries | Jiangxi | Mineral sourcing L1, not disclosed by supplier | Zhongduan Soiuth Road, Industry Park Zone, Xinfeng County | L1 | Mineral sourcing L1, not disclosed by RMI, Not disclosed per TI-CMC, RCOI confirmed as per RMI | L1 | No known country of origin | Zhongduan Soiuth Road, Industry Park Zone, Xinfeng County | Excludes Covered Countries, RCOI confirmed as per RMI., RCOI confirmed per RMI, RCOI confirmed per RMI | Mineral sourcing not disclosed by TI-CMC sourcing, Unknown</t>
  </si>
  <si>
    <t>Compliant, Compliant Conformant, Conformant, Conformant Smelter, Conformant smelter according to RMI, audit valid until 2022, Conformant Smelter according to RMI, last cycle in 13.08.2019 with a cycle of 3 Years, RCOI confirmed per RMI, RMAP Conformant</t>
  </si>
  <si>
    <t>Xinhai Rendan Shaoguan Tungsten Co., Ltd.</t>
  </si>
  <si>
    <t>Shaoguan</t>
  </si>
  <si>
    <t>CID003662</t>
  </si>
  <si>
    <t>YUDU ANSHENG TUNGSTEN CO., LTD.</t>
  </si>
  <si>
    <t>Ganzhou City</t>
  </si>
  <si>
    <t>CID002195</t>
  </si>
  <si>
    <t>Zhangzhou Chuen Bao Apt Smeltery Co., Ltd.</t>
  </si>
  <si>
    <t>CID002236</t>
  </si>
  <si>
    <t>Zhuzhou Cemented Carbide Group Co., Ltd.</t>
  </si>
  <si>
    <t>CID003185</t>
  </si>
  <si>
    <t>African Gold Refinery</t>
  </si>
  <si>
    <t>Uganda</t>
  </si>
  <si>
    <t>Entebbe</t>
  </si>
  <si>
    <t>Wakiso</t>
  </si>
  <si>
    <t>#N/A, Alain Goetz</t>
  </si>
  <si>
    <t>#N/A, admin@agr-afr.com</t>
  </si>
  <si>
    <t>#N/A, Recycled, Scrap, Unknown, Unknown, but some recycled/scrap</t>
  </si>
  <si>
    <t>#N/A, No known country of origin, Recycled/Scrap, Japan, Canada, Bolivia, Peru, Portugal, Spain, DRC or an adjoining country (Covered Countries), Australia, Indonesia | Recyled/Scrap | Recycled/Scrap Only | Recycle/Scrap, Canada, Japan, Bolivia, Peru, Portugal, Spain, Recycled/Scrap, Uganda, Uganda, Uganda, Recycled/Scrap, Unknown</t>
  </si>
  <si>
    <t>#N/A, 0</t>
  </si>
  <si>
    <t>CID002030</t>
  </si>
  <si>
    <t>AGR Mathey</t>
  </si>
  <si>
    <t>Newburn</t>
  </si>
  <si>
    <t>Western Australia</t>
  </si>
  <si>
    <t>CID000035</t>
  </si>
  <si>
    <t>Allgemeine Gold-und Silberscheideanstalt A.G.</t>
  </si>
  <si>
    <t>Kanzlerstrasse 17, 75175 Pforzheim, Germany</t>
  </si>
  <si>
    <t>Gold, Karl Heinz, NA</t>
  </si>
  <si>
    <t>Allgemeine Gold-und Silberscheideanstalt A.G., karl-heinz.flach@agosi.de, NA</t>
  </si>
  <si>
    <t>Allgemeine Gold-und Silberscheideanstalt A.G., Conformant, Conformant-audited by LBMA RG / RJC- valid until 08/15/2022, Conformant-audited by LBMA RG /RJC- valid until 08/14/2022, NA, no action need, No Action Required as company is RMAP conformant, No Action Required as smelter is RMAP conformant, None, CFS Certified, RMAP Compliant Smelter, Supplier contacts: hyeju.lee@amkor.com; catherine.pelissonnier@st.com; (Phiron) nancy.joy@materion.com; Infineon Customer Contact @infineon.com;  os.materialdeclaration@jenoptik.com; nutthaphon@focuz-mfg.com; nadine.jahn@aim-micro-systems.de; lisa.bjornson@sanmina.com; theodore.knudson@materion.com; yushin@harvatek.com; Emily_Hsieh@epistar.com; s.rossi@varioprint.ch; Ravikumar.Ramachandran@fci.com; shelly.ding@inari-amertron.com.cn, Validated by LBMA RG / RJC until 08/15/2022</t>
  </si>
  <si>
    <t>0, GERMANY, INDONESIA | Recycled or scrap by smelter | Not disclosed by supplier | Not disclosed per RJC | Not disclosed | RCOI confirmed as per RMI but not disclosed by RJC | Not disclosed by supplier | 30 % from mines and 70 % from secondary sources e.g. jewelry scrap, industrial scraps | INDONESIA | Recycled or scrap by smelter | RCOI confirmed as per CFSI but not disclosed by RJC | recycled + scrap sourced | Not disclosed p | Recycled, Scrap | RCOI confirmed as per RMI but not disclosed by LBMA, NA, No information, Not disclosed by supplier, Not disclosed by supplier | Sourced from Mines/Recyale/Scrap | RCOI confirmed per RMI, Not disclosed per RJC, Not disclosed per RJC/LBMA, RCOI confirmed as per RMI., RCOI confirmed per RMI, Recycled, Scrap, Recycled, Scrap | RCOI confirmed as per RMI but not disclosed by LBMA | scrap, scrap, See aggregated data below for RJC Sourcing, Unknown, but some recycled/scrap</t>
  </si>
  <si>
    <t>Australia, Austria, Brazil, Canada, China, Germany, Hong Kong, India, Indonesia, Japan, Jersey, Malaysia, Mexico, Mongolia, Mozambique, Niger, Nigeria, Panama, Peru, Philippines, Portugal, Recycled/Scrap, Sierra Leone, South Africa, Spain, Thailand, Brazil, China, Germany, Japan, Laos, Nigeria, Philippines, Sierra Leone, Thailand, recycled/scrap, CID000035, DRC, Burundi, Rwanda, Uganda, Andorra, Australia, Austria, Brazil, Canada, China, Germany, Hong Kong, India, Indonesia, Japan, Jersey, Laos, Malaysia, Mexico, Mongolia, Mozambique, Niger, Nigeria, Panama, Peru, Philippines, Portugal, Saudi Arabia, Sierra Leone, South Africa, Spain, Thailand, Uzbekistan, Recycled/Scrap, Known Countries from which LBMA Good Delivery List Refiners Source - Mined  Material (Provided by LBMA), Known Countries from which LBMA Good Delivery List Refiners Source - Mined  Material (Provided by LBMA) | RCOI confirmed as per RMI but not disclosed by LBMA | scrap | Recycle/Scrap, Japan, China, Philippines, Brazil, Sierra Leone, Thailand, Nigeria, Laos, Germany | Kanzlerstrasse 17, 75175 Pforzheim, Germany, Mineral R/S and mining from Germany, Japan, Thailand, China, Philippines, Brazil, Niger, Nigeria, Sierra Leone, Mineral R/S and mining from Germany, Japan, Thailand, China, Philippines, Brazil, Niger, Nigeria, Sierra Leone | Recycled/Scrap, Germany, Laos, Nigeria, Sierra Leone, Thailand, Philippines, Brazil, Japan, China | RCOI confirmed per RMI, Mineral sourcing not disclosed per LBMA RG / RJC, NA, No information, Not disclosed, Not disclosed per RJC, Not Disclosed per RJC | Not disclosed per RJC | INDONESIA | Not disclosed per RJC (recycled or scrap) | Recycle/Scrap, China, Japan, Philippines, Brazil, Sierra Leone, Thailand, Nigeria, Laos, Germany | Not disclosed | RCOI confirmed as per RMI but not disclosed by RJC | Mineral sourcing R/S | Recycled/Scrap Only | Not Disclosed per RJC | Not disclosed per RJC | Various mines from Phillipines, Thailand, Laos + recycled + scrap | INDONESIA | Not disclosed per RJC (recycled or scrap) | RCOI confirmed as per CFSI but not disclosed by RJC | Recycle/Scrap, China, Japan, | Recycle/Scrap, China, Philippines, Japan, Brazil, Sierra Leone, Nigeria, Thailand, Laos, Germany | Kanzlerstrasse 17, 75175 Pforzheim, Germany | Known Countries from which LBMA Good Delivery List Refiners Source - Mined  Material (Provided by LBMA) | RCOI confirmed as per RMI but not disclosed by LBMA, Not disclosed per RJC/LBMA, RCOI confirmed as per RMI., RCOI confirmed per RMI, Recycle/Scrap, China, Japan, Philippines, Brazil, Sierra Leone, Nigeria, Thailand, Laos, Germany, Recycle/Scrap, China, Philippines, Japan, Brazil, Sierra Leone, Nigeria, Thailand, Laos, Germany, Recycle/Scrap, Japan, Philippines, China, Brazil, Sierra Leone, Thailand, Nigeria, Laos, Germany, Recycled, Recycled/Scrap Only, Recycled/Scrap, Germany, Japan, Thailand, China, Philippines, Brazil, Niger, Nigeria, Sierra Leone, Recycled/Scrap, Germany, Japan, Thailand, China, Philippines, Brazil, Niger, Nigeria, Sierra Leone, Indonesia, Australia, Canada, Peru, Portugal, Spain, Panama, India, Austria, Hong Kong, Jersey, Malaysia, Mexico, Mongolia, Mozambique, South Africa, Andorra, Uzbekistan, Burundi, Democratic Republic of Congo, Rwanda, Uganda, Saudi Arabia, Recycled/Scrap, Germany, Laos, Nigeria, Sierra Leone, Thailand, Philippines, Brazil, Japan, China, scrap, Unknown</t>
  </si>
  <si>
    <t>Compliant, COMPLIANT 09/22/2015, Compliant Conformant, Conformant, Conformant Smelter, Conformant smelter according to RMI, audit valid until 2022, Conformant Smelter according to RMI, last cycle in 15.08.2019 with a cycle of 3 Years, PI &amp;amp; SC,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t>
  </si>
  <si>
    <t>Almalyk Mining and Metallurgical Complex (AMMC)</t>
  </si>
  <si>
    <t>Almalyk</t>
  </si>
  <si>
    <t>Heraeus Ltd. Hong Kong</t>
  </si>
  <si>
    <t>CID002563</t>
  </si>
  <si>
    <t>Kaloti Precious Metals</t>
  </si>
  <si>
    <t>Jumeirah Lakes Towers Almas Tower, Level: 35 D, E, F, G, H P.O.Box: 116858, Sheikh Zayed Road Dubai – U.A.E.</t>
  </si>
  <si>
    <t>Dina Kaloti</t>
  </si>
  <si>
    <t>dina@kalotipm.com</t>
  </si>
  <si>
    <t>Japan, Recycled/Scrap, United Arab Emirates, Japan, United Arab Emirates, Japan, United Arab Emirates, Recycled/Scrap, United Arab Emirates, United Arab Emirates, Japan, United Arab Emirates, Japan, Italy, China, United States, Recycled/Scrap, Indonesia, Unknown</t>
  </si>
  <si>
    <t>CID000917</t>
  </si>
  <si>
    <t>Jiujiang Tanbre Co., Ltd.</t>
  </si>
  <si>
    <t>No. 62, Jiuhu Road, Jiujiang City, Jiangxi 
Province, China, P.C: 332014</t>
  </si>
  <si>
    <t>Conflidential, Lynn Chan, Mr. Liao Xin Geng, Ms. Li Xinyi, Ms. Lynn Chan, Sales Group, Shandong</t>
  </si>
  <si>
    <t>Confidential, import@jjtanbre.com.cn, www.jjtanbre.com, xgliao@jjtanbre.com.cn</t>
  </si>
  <si>
    <t>Conformant- Reaudit In Progress, Conformant-Reaudit In Progress, NA, no action need, No Action Required as company is RMAP conformant, None, CFS Certified, Supplier contacts: Infineon Customer Contact @infineon.com; yushin@harvatek.com, Validated by RMI until 12/19/2021</t>
  </si>
  <si>
    <t>0, DRC, HR, R/S, LR, KOREA, REPUBLIC OF | Some are recycled, scrap or cover countries sourced but not all. | Some are recycled, scrap, covered countries or DRC sourced but not all. | Some are recycled or scrap sourced but not all. | Some are recycled, scrap, cover countries or DRC sourced but not all. | KOREA, REPUBLIC OF | Some are recycled, scrap, covered countries or DRC sourced but not all. | Some are recycled or scrap sourced but not all. | Some are recycled, scrap or cover coun | Recycled, Scrap and mines | Recycled, Scrap and mines, not disclosed by supplier | Some are recycled or scrap sourced but not all, No information, Not disclosed by supplier, RCOI confirmed per RMI, Recycled, Scrap and mines, Recycled, Scrap and mines | Some are recycled or scrap sourced but not all | Excludes Covered Countries, Recycled/Scrap, Yi Chun Tantalum &amp;amp; Niobium Mine, Recycling and Yi Chun Tantalum &amp;amp; Niobium Mine, Recycling and Yi Chun Tantalum &amp;amp; Niobium Mine | RCOI confirmed per RMI | Sourced from Mines/Recyale/Scrap, Scrap and mines, Some are recycled, scrap, covered countries or DRC sourced but not all, Some are recycled, scrap, covered countries or DRC sourced but not all. | RCOI confirmed per RMI, Some are recycled/scrap, high risk, and DRC sourced but not all., Yi Chun Tantalum &amp;amp; Niobium Mine, Yichun Tantalum and Niobium Mine and recycled/scrap</t>
  </si>
  <si>
    <t>Angola, Argentina, Austria, Brazil, Burundi, Cambodia, Chile, China, Colombia, Democratic Republic of Congo, Ecuador, Guyana, Hungary, Japan, Kazakhstan, Korea, Luxembourg, Malaysia, Mongolia, Mozambique, Myanmar, Portugal, Recycled/Scrap, Rwanda, South Sudan, Sudan, Tanzania, Zambia, China, China, recycled/scrap, DRC- Congo (Kinshasa), Myanmar, Angola, Cambodia, Malaysia, Kazakhstan, Portugal, Austria, Mongolia, Mozambique, Luxembourg, Brazil, Korea, Republic of, Guyana, Chile, Laos, Colombia, Ecuador, Argentina, South Sudan, Hungary, Japan, Tanzania, Zambia, Congo (Brazzaville), India, Canada, Belgium, Namibia, Taiwan, South Africa, Central African Republic, Peru, Ethiopia, Germany, Russian Federation, Burundi, Viet Nam, Singapore, United States, Egypt, Sierra Leone, Madagascar, Ivory Coast, Thailand, Bolivia, Netherlands, China, Ireland, Slovakia, France, Nigeria, Philippines, Rwanda, United Kingdom, Kenya, Switzerland, Spain, Djibouti, Czech Republic, Uganda, Zimbabwe, Suriname, Israel, Australia, Indonesia, Estonia, DRC- Congo (Kinshasa), Myanmar, Angola, Cambodia, Malaysia, Kazakhstan, Portugal, Austria, Mongolia, Mozambique, Luxembourg, Korea, Republic of, Guyana, Brazil, Chile, Laos, Ecuador, Colombia, Argentina, South Sudan, Hungary, Japan, Tanzania, Zambia, Congo (Brazzaville), India, Canada, Belgium, Namibia, Taiwan, South Africa, Central African Republic, Peru, Germany, Ethiopia, Russian Federation, Burundi, Viet Nam, Singapore, United States, Egypt, Sierra Leone, Madagascar, Ivory Coast, Bolivia, Thailand, Netherlands, China, Ireland, Slovakia, Nigeria, France, Philippines, Rwanda, United Kingdom, Kenya, Switzerland, Spain, Djibouti, Czech Republic, Zimbabwe, Uganda, Suriname, Israel, Australia, Indonesia, Estonia, DRC- Congo (Kinshasa), Myanmar, Angola, Cambodia, Malaysia, Kazakhstan, Portugal, Mongolia, Austria, Mozambique, Luxembourg, Brazil, Korea, Republic of, Guyana, Chile, Laos, Ecuador, Colombia, Argentina, Hungary, South Sudan, Japan, Tanzania, Zambia, Congo (Brazzaville), India, Canada, Belgium, Namibia, Taiwan, South Africa, Central African Republic, Peru, Germany, Ethiopia, Russian Federation, Burundi, Singapore, Viet Nam, United States, Egypt, Sierra Leone, Madagascar, Ivory Coast, Bolivia, Thailand, Netherlands, China, Ireland, Slovakia, Nigeria, France, Philippines, Rwanda, United Kingdom, Kenya, Switzerland, Spain, Djibouti, Czech Republic, Zimbabwe, Uganda, Suriname, Israel, Australia, Indonesia, Estonia, DRC- Congo (Kinshasa), Myanmar, Angola, Cambodia, Malaysia, Kazakhstan, Portugal, Mongolia, Austria, Mozambique, Luxembourg, Korea, Republic of, Brazil, Guyana, Chile, Laos, Colombia, Ecuador, Argentina, Hungary, South Sudan, Japan, Tanzania, Zambia, Congo (Brazzaville), India, Canada, Belgium, Namibia, Taiwan, South Africa, Central African Republic, Peru, Germany, Ethiopia, Russian Federation, Burundi, Singapore, Viet Nam, United States, Egypt, Sierra Leone, Madagascar, Ivory Coast, Bolivia, Thailand, Netherlands, Ireland, China, Slovakia, Nigeria, France, Philippines, Rwanda, United Kingdom, Kenya, Switzerland, Spain, Djibouti, Czech Republic, Uganda, Zimbabwe, Suriname, Israel, Australia, Estonia, Indonesia, DRC or an adjoining country (Covered Countries), Myanmar, Angola, Cambodia, Malaysia, Kazakhstan, Portugal, Mongolia, Austria, Mozambique, Luxembourg, Republic Of Korea, Brazil, Guyana, Chile, Laos, Ecuador, Colombia, Argentina, South Sudan, Hungary, Japa;Recycled/Scrap,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 Bolivia (Plurinational State of), Guinea, Mali, Uzbekistan, Ghana, Andorra, Benin, Eritrea, Mauritania, Nicaragua, Togo,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Ukraine, United Arab Emirates, Uruguay, Yemen, 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DRC,Burundi,Rwanda, Excludes Covered Countries, Includes Covered Countries and CAHRA, Includes Covered Countries and CAHRA | Mineral sourcing LR, HR, DRC, R/S, CC and mining from China | RCOI confirmed per RMI | DRC or an adjoining country (Covered Countries), Myanmar, Angola, Cambodia, Malaysia, Kazakhstan, Portugal, Mongolia, Austria, Mozambique, Luxembourg, Republic Of Korea, Brazil, Guyana, Chile, Laos, Ecuador, Colombia, Argentina, South Sudan, Hungary, Japa | Not coverd countries area, L1, L2 ,L3, R/S | Includes Covered Countries | L1, L2, L3, R/S | KOREA, REPUBLIC OF | DRC- Congo (Kinshasa), Myanmar, Angola, Cambodia, Malaysia, Kazakhstan, Portugal, Austria, Mongolia, Mozambique, Luxembourg, Brazil, Korea, Republic of, Guyana, Chile, Laos, Colombia, Ecuador, Argentina, South Sudan, Hungary, Japan, Tanzania, Zambia, Cong | RCOI confirmed as per CFSI | L1, L2, L3, DRC, R/S | Some are recycled, scrap, covered countries or DRC sourced but not all. | Mineral sourcing L1, L2, L3, DRC, R/S | Mineral sourcing L1,R/S, Not disclosed by supplier | L1, L2 ,L3, R/S | L1, L2, L3, R/S | Includes Covered Countries | KOREA, REPUBLIC OF | Some are recycled, scrap, covered countries or DRC sourced but not all. | DRC- Congo (Kinshasa), Myanmar, Angola, Cambodia, Malaysia, Kazakhstan, Portugal, Austria, Mong | the DRC or an adjoining country(covered countries) | DRC- Congo (Kinshasa), Myanmar, Angola, Cambodia, Malaysia, Kazakhstan, Portugal, Austria, Mongolia, Mozambique, Luxembourg, Brazil, Korea, Republic of, Guyana, Chile, Laos, Ecuador, Colombia, Argentina, Hungary, South Sudan, Japan, Tanzania, Zambia, Cong | No. 62, Jiuhu Road, Jiujiang City, Jiangxi 
Province, China, P.C: 332014 | DRC,Burundi,Rwanda | L1, L2, R/S | Mineral sourcing L1, L2, R/S, not disclosed by supplier | Excludes Covered Countries | Some are recycled or scrap sourced but not all, L1, L2, R/S, L1, L2, R/S | Some are recycled or scrap sourced but not all | DRC- Congo (Kinshasa), Myanmar, Angola, Cambodia, Malaysia, Kazakhstan, Portugal, Austria, Mongolia, Mozambique, Luxembourg, Korea, Republic of, Guyana, Brazil, Chile, Laos, Ecuador, Colombia, Argentina, South Sudan, Hungary, Japan, Tanzania, Zambia, Cong | the DRC or an adjoining country(covered countries) | No. 62, Jiuhu Road, Jiujiang City, Jiangxi 
Province, China, P.C: 332014 | Excludes Covered Countries, Mineral sourcing from Jiangxi Province, Mineral sourcing LR, HR, DRC, R/S, CC and mining from China, No information, Not coverd countries area, RCOI confirmed per RMI, Recycled/Scrap, China, Brazil, Malaysia, Mozambique, Guyana, Mongolia, Myanmar, Portugal, Korea, Austria, Chile, Cambodia, Kazakhstan, Luxembourg, Angola, Colombia, Argentina, Ecuador, Hungary, South Sudan, Sudan, Japan, Tanzania, Zambia, Rwanda, Burundi, Ethiopia, Madagascar, Sierra Leone, Thailand, United States, Niger, Nigeria, Australia, France, India, Namibia, Zimbabwe, Peru, Indonesia, South Africa, Ireland, Spain, United Kingdom, Belgium, Canada, Egypt, Germany, Netherlands, Singapore, Central African Republic, Estonia, Israel, Philippines, Slovakia, Suriname, Switzerland, Djibouti, Kenya, Uganda, Democratic Republic of Congo, Russian Federation, Congo, Taiwan, Viet Nam, Some are recycled, scrap, covered countries or DRC sourced but not all, Some are recycled/scrap, high risk, and DRC sourced but not all.</t>
  </si>
  <si>
    <t>Compliant, COMPLIANT 09/22/2015, Compliant Conformant, Conformant, Conformant Smelter, Conformant smelter according to RMI, audit valid until 2020, reassessment in progress, Conformant Smelter according to RMI, last cycle in 19.12.2019 with a cycle of 1 Year, Listed on CFSI Conflict Free Smelter List, RCOI confirmed as per RMAP, RCOI confirmed per RMI, RMAP Conformant, RMAP Conformant Smelter, RMAP Conformant Smelter / RCOI confirmed per RMI, This smelter is CFS. http://www.responsiblemineralsinitiative.org/tantalum-conformant-smelters/, This smelter is CFS.
http://www.conflictfreesmelter.org/CompliantTantalumSmelterList.htm, This smelter is RMI Conformant.
http://www.responsiblemineralsinitiative.org/tantalum-smelters-list/</t>
  </si>
  <si>
    <t>CID001175</t>
  </si>
  <si>
    <t>Mineracao Taboca SA</t>
  </si>
  <si>
    <t>Mineracao Taboca S.A.</t>
  </si>
  <si>
    <t>Vila Pitinga s/n, Zona Rural, Presidente Figueiredo, Brazil</t>
  </si>
  <si>
    <t>Presidente Figueiredo</t>
  </si>
  <si>
    <t>Amazonas</t>
  </si>
  <si>
    <t>Analia Calmell del Solar Del Rio, LUCIANA PAGNONCELLI, COMMERCIAL MANAGER, Ms. Luciana Miranda Pagnoncelli, Ms. Luciana Miranda Pagnoncelli (Commercial Manager), NA, Ronaldo Marinho Lasm, São Paulo</t>
  </si>
  <si>
    <t>analia.calmelldelsolar@minsur.com, lpagnoncelli@mtaboca.com.br, NA, ronald.lasmar@mtaboca.com.br, ronaldo.lasmar@mtaboca.com.br</t>
  </si>
  <si>
    <t>Conformant- Reaudit In Progress, Conformant-Reaudit In Progress, NA, No Action Required as company is RMAP conformant, None, CFS Certified, Supplier contacts: Infineon Customer Contact @infineon.com; yushin@harvatek.com, Validated by RMI until 04/24/2021</t>
  </si>
  <si>
    <t>0, CHINA | Not disclosed by supplier | RCOI confirmed as per RMI | RCOI confirmed as per CFSI | not available | CHINA | RCOI confirmed as per CFSI | Not disclosed by supplier, L1, NA, No information, Not disclosed by supplier, Not disclosed by supplier | RCOI confirmed as per RMI, Not disclosed by supplier | Sourced from Mines/Recyale/Scrap, Not disclosed by supplier, Excludes Covered Countries, Patinga- Amazonas, Recycled/Scrap, Minerarco Pitinga, A&amp;amp;LR Mining, Minercoa Tabboca, Pitinga, RCOI confirmed as per RMI., RCOI confirmed per RMI</t>
  </si>
  <si>
    <t>Australia, Austria, Brazil, Canada, China, Democratic Republic of Congo, Ethiopia, Germany, Ghana, Guinea, Hong Kong, India, Jersey, Malaysia, Mali, Mozambique, Namibia, Papua New Guinea, Philippines, Recycled/Scrap, South Africa, Switzerland, Tanzania, Brazil, Brazil, Recycled/Scrap, China, Australia, Namibia, Canada, Germany, Malaysia, Guinea, Austria, Mozambique, Mali, Ghana, Democratic Republic of Congo, Hong Kong, Jersey, Papua New Guinea, Philippines, South Africa, Switzerland, Tanzania, India, Ethiopia, France, Thailand, Guyana, Sierra Leone, Zimbabwe, Japan, Madagascar, Niger, Nigeria, Russian Federation, United States, Bolivia (Plurinational State of), Colombia, Indonesia, Ireland, Argentina, Chile, Ecuador, Belgium, Cambodia, Djibouti, Egypt, Estonia, Hungary, Israel, Kazakhstan, Rwanda, Mongolia, Myanmar, Peru, Portugal, Spain, Taiwan, United Kingdom, Uzbekistan, Panama, Iran, Benin, Eritrea, Mauritania, Nicaragua, Togo, DRC, Burundi, Rwanda, Tanzania, Uganda, Aland Islands, Andorra, Argentina, Australia, Austria, Belgium, Benin, Bolivia, Brazil, Cambodia, Canada, Chile, China, Colombia, Djibouti, Ecuador, Egypt, Eritrea, Estonia, Ethiopia, France, Germany, Ghana, Guinea, Guyana, Hong Kong, Hungary, India, Indonesia, Iran, Ireland, Israel, Ivory Coast, Japan, Jersey, Kazakhstan, Madagascar, Malaysia, Mali, Mauritania, Mongolia, Mozambique, Myanmar, Namibia, New Zealand, Nicaragua, Niger, Nigeria, Panama, Papua New Guinea, Peru, Philippines, Portugal, Russia, Sierra Leone, South Africa, Spain, Switzerland, Taiwan, Thailand, Togo, USA, United Kingdom, Uzbekistan, Vietnam, Zimbabwe, Recycled/Scrap, Excludes Covered Countries, Excludes Covered Countries | L1 | CHINA | Brazil | RCOI confirmed as per RMI | RCOI confirmed as per CFSI | Mineral sourcing L1, Not disclosed by supplier | L1 | Excludes Covered Countries | CHINA | RCOI confirmed as per CFSI | Brazil | Mineral sourcing L1, Not disclosed by supplier | Does not source from DRC or covered countries | Mineral sourcing L1, not disclosed by supplier | Vila Pitinga s/n, Zona Rural, Presidente Figueiredo, Brazil | Mineral sourcing L1, not disclosed by supplier, Excludes Covered Countries and CAHRA, Excludes Covered Countries and CAHRA | From Brazil | Brazil, From Brazil, L1, L1 | RCOI confirmed as per RMI | Brazil | Vila Pitinga s/n, Zona Rural, Presidente Figueiredo, Brazil, Mineral sourcing L1 based on RMAP-RMI's RCOI data, NA, No information, RCOI confirmed as per RMI., RCOI confirmed per RMI</t>
  </si>
  <si>
    <t>Compliant, COMPLIANT 09/22/2015, Compliant Conformant, Conformant, Conformant Smelter, Conformant smelter according to RMI, audit valid until 2021, reassessment in progress, Conformant Smelter according to RMI, last cycle in 24.04.2018 with a cycle of 3 Years, Listed on CFSI Conflict Free Smelter List, RCOI confirmed per RMI, RMAP Conformant, RMAP Conformant Smelter, RMAP Conformant Smelter / RCOI confirmed per RMI</t>
  </si>
  <si>
    <t>Mitsui Mining &amp; Smelting</t>
  </si>
  <si>
    <t>Omuta</t>
  </si>
  <si>
    <t>Fukuoka</t>
  </si>
  <si>
    <t>California</t>
  </si>
  <si>
    <t>CID001192</t>
  </si>
  <si>
    <t>Mitsui Mining and Smelting Co., Ltd.</t>
  </si>
  <si>
    <t>Mitsui Mining and Smelting Co., Ltd., 2081 Tosen, Oomuta, Fukuoka, Japan</t>
  </si>
  <si>
    <t>Antwerpen, Conflidential, Mr. Jun Sugimura, Mr. Tatsuyoshi Sakada, NA, Tatsuyoshi Sakada</t>
  </si>
  <si>
    <t>Confidential, j_sugimura@mitsui-kinzoku.co.jp, NA, sakada@mitsui-kinzoku.com</t>
  </si>
  <si>
    <t>Conformant, Conformant- Reaudit In Progress, NA, no action need, No Action Required as company is RMAP conformant, None, CFS Certified, None; conformant to RMAP protocol, Supplier contacts: Infineon Customer Contact @infineon.com; yushin@harvatek.com; antony@elaser.com.tw, Validated by RMI until 12/12/2021</t>
  </si>
  <si>
    <t>0, Escondida Mine, Recycled/Scrap, Cadia Hill &amp;amp; Ridgeway Mines, Collahuasi Mine, Los Pelambres Mine, LR, R/S, NA, No information, RCOI confirmed per RMI, RCOI confirmed per RMI | Recycled or scrap, and mining not disclosed by supplier | Sourced from Mines/Recyale/Scrap, Recycled and scrap, and mines not disclosed by supplier, Recycled or scrap, and mining not disclosed by supplier, Recycled, Scrap and mines, Recycled, Scrap and mines | Some are recycled or scrap sourced but not all, Some are recycled or scrap sourced but not all, Some are recycled or scrap sourced but not all. | RCOI confirmed per RMI, Some are recyled/scrap sourced but not all., Unknown, but some recycled/scrap, Wodgina / Cadia Hill / Scrap | SWITZERLAND | Some are recycled, scrap or cover countries sourced but not all. | Some are recycled, scrap or covered countries sourced but not all | Wodgina / Cadia Hill / Scrap | Recycled, Scrap | SWITZERLAND | Some are recycled, scrap or covered countries sourced but not all | Some are recycled, scrap or cover countries sourced but not all. | Recycled, Scrap and mines | Recycled, Scrap and mines | Not disclosed by supplier | Some are recycled or scrap sourced but not all</t>
  </si>
  <si>
    <t>Australia, Brazil, Burundi, Canada, Chile, China, Ethiopia, France, Guinea, Japan, Madagascar, Malaysia, Namibia, Niger, Nigeria, Panama, Recycled/Scrap, Russian Federation, Rwanda, Sierra Leone, South Africa, Thailand, United Kingdom, United States, Burundi,Rwanda, DRC, Burundi, Rwanda, Tanzania,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Excludes Covered Countries, Excludes Covered Countries and CAHRA, Excludes Covered Countries and CAHRA | RCOI confirmed per RMI | Mineral R/S and mining from Japan, Australia, Chile, China, United States, Canada, South Africa, Brazil, Malaysia, United Kingdom | Recycled/Scrap, Japan, Australia, Canada, Chile, South Africa, DRC or an adjoining country (Covered Countries), USA, China | Not coverd countries area, Includes Covered Countries and CAHRA, Japan, Brazil, United Kingdom, Malaysia, Australia, Chile, Japan, Brazil, United Kingdom, Malaysia, Chile, Australia, L1, R/S, L1, R/S | Some are recycled or scrap sourced but not all | Japan, Brazil, United Kingdom, Malaysia, Chile, Australia | the DRC or an adjoining country(covered countries) | Mitsui Mining and Smelting Co., Ltd., 2081 Tosen, Oomuta, Fukuoka, Japan, Mineral R/S and mining from Japan, Australia, Chile, China, United States, Canada, South Africa, Brazil, Malaysia, United Kingdom, Mineral sourcing LR,R/S based on RMAP-RMI's RCOI data, NA, No information, Not coverd countries area, R/S | Includes Covered Countries | SWITZERLAND | Japan, Brazil, United Kingdom, Malaysia, Chile, Australia | L1, L2, L3, R/S | Some are recycled, scrap or covered countries sourced but not all | Mineral sourcing L1, L3, R/S | R/S | Includes Covered Countries | SWITZERLAND | Some are recycled, scrap or covered countries sourced but not all | Japan, Brazil, United Kingdom, Malaysia, Chile, Australia | Mineral sourcing L1, L3, R/S | L1, L2, L3, R/S | Burundi,Rwanda | the DRC or a | the DRC or an adjoining country(covered countries) | Mitsui Mining and Smelting Co., Ltd., 2081 Tosen, Oomuta, Fukuoka, Japan | Burundi,Rwanda | L1, R/S | Mineral sourcing L1,R/S, Not disclosed by RMI | Some are recycled or scrap sourced but not all, RCOI confirmed per RMI, Recycled/Scrap, Japan, Australia, Canada, Chile, South Africa, DRC or an adjoining country (Covered Countries), USA, China, Recycled/Scrap, Japan, Australia, Chile, China, United States, Canada, South Africa, Brazil, Malaysia, United Kingdom, Recycled/Scrap, Japan, Australia, Chile, China, United States, Canada, South Africa, Brazil, Malaysia, United Kingdom, Panama, Burundi, Rwanda, Guinea, Namibia, Ethiopia, France, Madagascar, Niger, Nigeria, Russian Federation, Sierra Leone, Thailand, Bolivia (Plurinational State of), India, Guyana, Zimbabwe, Switzerland, Mali, Ghana, Andorra, Austria, Germany, Hong Kong, Papua New Guinea, Philippines, Democratic Republic of Congo, Jersey, Mozambique, Tanzania, Indonesia, Colombia, Ireland, Mongolia, Myanmar, Peru, Portugal, Spain, Taiwan, Uzbekistan, Estonia, Eritrea, Tonga, Argentina, Benin, Ecuador, Mauritania, Nicaragua, Togo, Armenia, Azerbaijan, Bahamas, Barbados, Belarus, Belgium, Bosnia and Herzegovina, Botswana, Bulgaria, Burkina Faso, Cambodia, Cameroon, Croatia, Cyprus, Denmark, Dominica, Dominican Republic, Egypt, El Salvador, Fiji, Finland, Gabon, Gambia, Georgia, Greece, Guatemala, Honduras, Hungary, Iceland, Iran, Israel, Italy, Jordan, Kazakhstan, Korea, Kuwait, Kyrgyzstan, Latvia, Lebanon, Liberia, Libya, Liechtenstein, Lithuania, Luxembourg, Malta, Mauritius, Mexico, Morocco, Netherlands, New Caledonia, New Zealand, Norway, Oman, Pakistan, Poland, Puerto Rico, Romania, San Marino, Saudi Arabia, Senegal, Serbia, Singapore, Slovakia, Slovenia, Solomon Islands, Suriname, Sweden, Tajikistan, Trinidad and Tobago, Tunisia, Turkey, Ukraine, United Arab Emirates, Uruguay, Yemen, Some are recycled or scrap sourced but not all, Some are recyled/scrap sourced but not all., Unspecified covered country, Australia, Canada, Chile, China, Japan, Malaysia, South Africa, USA, recycled/scrap</t>
  </si>
  <si>
    <t>Compliant, COMPLIANT 09/22/2015, Compliant Conformant, Conformant, Conformant Smelter, Conformant smelter according to RMI, audit valid until 2020, reassessment in progress, Conformant Smelter according to RMI, last cycle in 12.12.2019 with a cycle of 1 Year, Listed on CFSI Conflict Free Smelter List, RCOI confirmed per RMI, RMAP Conformant, RMAP Conformant Smelter, RMAP Conformant Smelter / RCOI confirmed per RMI, This smelter is CFS. http://www.responsiblemineralsinitiative.org/tantalum-conformant-smelters/, This smelter is CFS.
http://www.conflictfreesmelter.org/CompliantTantalumSmelterList.htm, This smelter is RMI Conformant.
http://www.responsiblemineralsinitiative.org/tantalum-smelters-list/</t>
  </si>
  <si>
    <t>CID001277</t>
  </si>
  <si>
    <t>Ningxia Orient Tantalum Industry Co., Ltd.</t>
  </si>
  <si>
    <t>Ningxia Orient Tantalum Industry Co. Ltd., No. 119 Yejin Road, Dawukou District, Shizuishan City, 753000 Ningxia, China</t>
  </si>
  <si>
    <t>Shizuishan City</t>
  </si>
  <si>
    <t>Ningxia Huizi Zizhiqu</t>
  </si>
  <si>
    <t>0, Chen Wu, Lu Jianbo, Miss Guo Hong, Mr Chen WU
Miss Guo Hong, Mr. Chen Wu, Ticino</t>
  </si>
  <si>
    <t>0, chenw_nniec@otic.com.cn, chenw_nniec@otic.com.cn
guoh_nniec@otic.com.cn, guoh_nniec@otic.com.cn, ljb@otic.com.cn</t>
  </si>
  <si>
    <t>Conformant-audited by RMI (members / partners)- valid until 12/07/2022, Conformant-Reaudit In Progress, N/A, N/A, RMI certified smelter, no action need, No Action Required as company is RMAP conformant, None, CFS Certified, RMAP Conformant Smelters, Supplier contacts: Infineon Customer Contact @infineon.com; theodore.knudson@materion.com; yushin@harvatek.com, Validated by RMI until 11/13/2022</t>
  </si>
  <si>
    <t>0, CIF, Kenticha, Nanping, Yichun, and recycled/scrap, Kenticha, Nanping, Recycled/Scrap, Yichun, Mines From Mibra, LR, HR, DRC, CC, Mibra/ Kenticha/Nanping/Yichun, Scrap | THAILAND | From CIF, Kenticha, Nanping, Yichun, Scrap | RCOI Confirmed as per CSFI | Not disclosed | Some are recycled, scrap, covered countries or DRC sourced but not all. | Mibra/ Kenticha/Nanping/Yichun, Scrap | From CIF, Mibra, Kenticha, Nanping, Yichun, Scrap | THAILAND | Some are recycled, scrap, covered countries or DRC sourced but not all. | Mibra | From CIF, Kenticha, Nanping, Yichun, Scrap | RCOI Confirmed as per CSF | Recycled, Scrap and mines, from CIF, Kenticha, Nanping, Yichun, Scrap, Scrap | Mibra | Recycled, Scrap and mines, from CIF, Kenticha, Nanping, Yichun | Some are recycled, scrap or covered countries sourced but not all, NA, No information, RCOI confirmed per RMI, Recycled and scrap, and mines from Mibra, Recycled or scrap, and mining not disclosed by supplier, Recycled or scrap, and mining not disclosed by supplier | Recycled or scrp, and mining
CIF, Kenticha, Nanping, Yichun, Scrap, Scrap | RCOI confirmed per RMI, Recycled, Scrap and mines, from CIF, Kenticha, Nanping, Yichun, Scrap, Scrap, Recycled, Scrap and mines, from CIF, Kenticha, Nanping, Yichun, Scrap, Scrap | Some are recycled, scrap or covered countries sourced but not all, Some are high-risk countries, covered countries, and DRC sourced but not all., Some are recycled, scrap, covered countries or DRC sourced but not all, Some are recycled, scrap, covered countries or DRC sourced but not all. | RCOI confirmed per RMI</t>
  </si>
  <si>
    <t>Angola, Argentina, Australia, Austria, Brazil, Burundi, Cambodia, Chile, China, Colombia, Democratic Republic of Congo, Ecuador, Ethiopia, Guyana, Hungary, Japan, Kazakhstan, Korea, Luxembourg, Malaysia, Mongolia, Mozambique, Myanmar, Portugal, Recycled/Scrap, Rwanda, South Sudan, Sudan, Tanzania, Zambia, Brazil, Ethiopia, China, Burundi,Rwanda, DRC- Congo (Kinshasa), Myanmar, Angola, Cambodia, Malaysia, Kazakhstan, Portugal, Austria, Mongolia, Mozambique, Luxembourg, Brazil, Guyana, Korea, Republic of, Chile, Laos, Colombia, Ecuador, Argentina, South Sudan, Hungary, Japan, Tanzania, Zambia, Congo (Brazzaville), India, Canada, Belgium, Namibia, Taiwan, Central African Republic, Peru, Ethiopia, Germany, Burundi, Russian Federation, Singapore, Viet Nam, United States, Egypt, Sierra Leone, Madagascar, Ivory Coast, Thailand, Bolivia, Netherlands, China, Ireland, Slovakia, Nigeria, France, Niger, Rwanda, United Kingdom, Switzerland, Spain, Djibouti, Czech Republic, Zimbabwe, Uganda, Mexico, Suriname, Israel, Australia, Estonia, Indonesia, DRC- Congo (Kinshasa), Myanmar, Angola, Cambodia, Malaysia, Kazakhstan, Portugal, Austria, Mongolia, Mozambique, Luxembourg, Guyana, Brazil, Korea, Republic of, Chile, Laos, Colombia, Ecuador, Argentina, South Sudan, Hungary, Japan, Tanzania, Zambia, Congo (Brazzaville), India, Canada, Belgium, Namibia, Taiwan, Central African Republic, Peru, Ethiopia, Germany, Burundi, Russian Federation, Viet Nam, Singapore, United States, Egypt, Sierra Leone, Madagascar, Ivory Coast, Thailand, Bolivia, Netherlands, Ireland, China, Slovakia, France, Nigeria, Niger, Rwanda, United Kingdom, Switzerland, Spain, Djibouti, Czech Republic, Uganda, Zimbabwe, Mexico, Suriname, Israel, Australia, Estonia, Indonesia, DRC- Congo (Kinshasa), Myanmar, Angola, Cambodia, Malaysia, Kazakhstan, Portugal, Mongolia, Austria, Mozambique, Luxembourg, Brazil, Guyana, Korea, Republic of, Chile, Laos, Colombia, Ecuador, Argentina, South Sudan, Hungary, Japan, Tanzania, Zambia, Congo (Brazzaville), India, Canada, Belgium, Namibia, Taiwan, Central African Republic, Peru, Germany, Ethiopia, Burundi, Russian Federation, Singapore, Viet Nam, United States, Egypt, Sierra Leone, Madagascar, Ivory Coast, Bolivia, Thailand, Netherlands, Ireland, China, Slovakia, France, Nigeria, Niger, Rwanda, United Kingdom, Switzerland, Spain, Djibouti, Czech Republic, Zimbabwe, Mexico, Uganda, Suriname, Israel, Australia, Indonesia, Estonia, DRC- Congo (Kinshasa), Myanmar, Angola, Cambodia, Malaysia, Kazakhstan, Portugal, Mongolia, Austria, Mozambique, Luxembourg, Korea, Republic of, Guyana, Brazil, Chile, Laos, Ecuador, Colombia, Argentina, South Sudan, Hungary, Japan, Tanzania, Zambia, Congo (Brazzaville), India, Canada, Belgium, Namibia, Taiwan, Central African Republic, Peru, Germany, Ethiopia, Russian Federation, Burundi, Viet Nam, Singapore, United States, Egypt, Madagascar, Sierra Leone, Ivory Coast, Bolivia, Thailand, Netherlands, Ireland, China, Slovakia, Nigeria, France, Niger, Rwanda, United Kingdom, Switzerland, Spain, Djibouti, Czech Republic, Mexico, Uganda, Zimbabwe, Suriname, Israel, Australia, Indonesia, Estonia, DRC, Angola, Burundi, Central African Republic, Rwanda, South Sudan, Tanzania, Uganda, Zambia, Andorra,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Mexico, Mongolia, Mozambique, Myanmar, Namibia, Netherlands, Nicaragua, Niger, Nigeria, Peru, Portugal, Republic of Korea, Russia, Sierra Leone, Singapore, Slovakia, Slovenia, South Africa, Spain, Sudan, Suriname, Switzerland, Taiwan, Thailand, Togo, Tonga, USA, United Kingdom, Uzbekistan, Vietnam, Zimbabwe, Recycled/Scrap, DRC, Angola, Burundi, Central African Republic, Rwanda, South Sudan, Tanzania, Uganda, Zambia, Argentina, Australia, Australia, Austria, Belgium, Bolivia, Brazil, Cambodia, Canada, Chile, China, Colombia, Czech Republic, Djibouti, Ecuador, Egypt, Estonia, Ethiopia, France, Germany, Guyana, Hungary, India, Indonesia, Ireland, Israel, Ivory Coast, Japan, Kazakhstan, Laos, Luxembourg, Madagascar, Malaysia, Mexico, Mongolia, Mozambique, Myanmar, Namibia, Netherlands, Niger, Nigeria, Peru, Portugal, Republic of Korea, Russia, Sierra Leone, Singapore, Slovakia, Slovenia, Spain, Suriname, Switzerland, Thailand, United Kingdom, USA, Vietnam, Zimbabwe, Recycled/Scrap, recycled/scrap, DRC,Burundi,Rwanda, 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 Includes Covered Countries, Includes Covered Countries and CAHRA, Includes Covered Countries and CAHRA | Mineral sourcing LR, HR, CC, DRC, based on RMAP-RMI's RCOI data | Brazil, Ethiopia, China, China, Scrap, Scrap | RCOI confirmed per RMI | Burundi,Rwanda, L1, CC, DRC, L1, CC, DRC | Some are recycled, scrap or covered countries sourced but not all | DRC- Congo (Kinshasa), Myanmar, Angola, Cambodia, Malaysia, Kazakhstan, Portugal, Austria, Mongolia, Mozambique, Luxembourg, Guyana, Korea, Republic of, Brazil, Chile, Laos, Colombia, Ecuador, Argentina, South Sudan, Hungary, Japan, Tanzania, Zambia, Cong | the DRC or an adjoining country(covered countries) | Ningxia Orient Tantalum Industry Co. Ltd., No. 119 Yejin Road, Dawukou District, Shizuishan City, 753000 Ningxia, China | Includes Covered Countries, L1, L2, L3, DRC, R/S | Includes Covered Countries | THAILAND | DRC- Congo (Kinshasa), Myanmar, Angola, Cambodia, Malaysia, Kazakhstan, Portugal, Austria, Mongolia, Mozambique, Luxembourg, Guyana, Korea, Republic of, Brazil, Chile, Laos, Colombia, Ecuador, Argentina, South Sudan, Hungary, Japan, Tanzania, Zambia, Cong | RCOI confirmed as per CFSI | L1, L3, DRC, R/S | RCOI Confirmed as per CSFI | Not disclosed | Some are recycled, scrap, covered countries or DRC sourced but not all. | Mineral sourcing L1,L3,DRC,R/S, Brazil, Ethiopia, China | L1, L2, L3, DRC, R/S | L1, L3, DRC, R/S | Includes Covered Countries | THAILAND | Some are recycled, scrap, covered countries or DRC sourced but not all. | DRC- Congo (Kinshasa), Myanmar, Angola, Cambodia, Malaysia, Kazakhstan, Portugal, Austria, Mongolia | the DRC or an adjoining country(covered countries) | DRC- Congo (Kinshasa), Myanmar, Angola, Cambodia, Malaysia, Kazakhstan, Portugal, Mongolia, Austria, Mozambique, Luxembourg, Guyana, Brazil, Korea, Republic of, Chile, Laos, Colombia, Ecuador, Argentina, South Sudan, Hungary, Japan, Tanzania, Zambia, Cong | Ningxia Orient Tantalum Industry Co. Ltd., No. 119 Yejin Road, Dawukou District, Shizuishan City, 753000 Ningxia, China | DRC,Burundi,Rwanda | L1, CC, DRC | Brazil | Mineral sourcing L1,CC,R/S, Brazil, Ethiopia, China | Some are recycled, scrap or covered countries sourced but not all, Mineral sourcing LR, HR, CC, DRC, based on RMAP-RMI's RCOI data , Mineral sourcing LR, HR, DRC, CC based on RMAP-RMI's RCOI data, from Brazil and China, NA, No information, RCOI confirmed per RMI, Recycled/Scrap, China, Brazil, Rwanda, Ethiopia, Burundi, Malaysia, Japan, Guyana, Australia, Austria, Mongolia, Portugal, Mozambique, Myanmar, Chile, Angola, Cambodia, Kazakhstan, Korea, Luxembourg, Colombia, Ecuador, Argentina, Tanzania, Zambia, Hungary, Sudan, South Sudan, Canada, Niger, Nigeria, Thailand, United States, India, Namibia, Zimbabwe, Sierra Leone, Madagascar, France, Estonia, Peru, Germany, Indonesia, Spain, Uganda, Mexico, Belgium, Central African Republic, Egypt, Singapore, Ireland, United Kingdom, Djibouti, Israel, Netherlands, Slovakia, Suriname, Switzerland, Slovenia, Democratic Republic of Congo, Russian Federation, Congo, Viet Nam, Taiwan, Some are high-risk countries, covered countries, and DRC sourced but not all., Some are recycled, scrap, covered countries or DRC sourced but not all</t>
  </si>
  <si>
    <t>Compliant, COMPLIANT 09/22/2015, Compliant Conformant, Conformant, Conformant Smelter, Conformant smelter according to RMI, audit valid until 2021, reassessment in progress, Conformant Smelter according to RMI, last cycle in 13.11.2020 with a cycle of 1 Year, Listed on CFSI Conflict Free Smelter List, Part or all material comes from Covered Country, RCOI confirmed as per RMAP, RCOI confirmed per RMI, RMAP certified Conflict Free. Some material sourced from the covered countries., RMAP Conformant, RMAP Conformant Smelter, RMAP Conformant Smelter / RCOI confirmed per RMI, This smelter is CFS. http://www.responsiblemineralsinitiative.org/tantalum-conformant-smelters/, This smelter is RMI Conformant.
http://www.responsiblemineralsinitiative.org/tantalum-smelters-list/</t>
  </si>
  <si>
    <t>PT Tinindo Inter Nusa</t>
  </si>
  <si>
    <t>CID002478</t>
  </si>
  <si>
    <t>PT Tirus Putra Mandiri</t>
  </si>
  <si>
    <t>PT Tommy Utama</t>
  </si>
  <si>
    <t>CID001493</t>
  </si>
  <si>
    <t>Sumping Desa Batu Peyu</t>
  </si>
  <si>
    <t>0, Compliant</t>
  </si>
  <si>
    <t>PT Yinchendo Mining Industry</t>
  </si>
  <si>
    <t>CID001494</t>
  </si>
  <si>
    <t>CID001539</t>
  </si>
  <si>
    <t>Rui Da Hung</t>
  </si>
  <si>
    <t>No. 1-1, Lane 139, Gong 5th Rd., Lin 39, Wulin Village, 
Longtan Shiang Taoyuang, Taiwan</t>
  </si>
  <si>
    <t>Longtan Shiang Taoyuan</t>
  </si>
  <si>
    <t>Ariel, Ariel Chiang, Jeffrey Chang, Mr. Chen Kuei Yuan, My Chen Kuei Yuan, NA, Ruby Chen, Tin</t>
  </si>
  <si>
    <t>NA, rdh@ms55.hinet.net, rdh_41@rdh.com.tw, rdh_42@rdh.com.tw, rdh_49@rdh.com.tw, Rui Da Hung</t>
  </si>
  <si>
    <t>CFS validated, Conformant- Reaudit In Progress, Conformant-Reaudit In Progress, NA, no action need, No Action Required as company is RMAP conformant, None, CFS Certified, Reaudit In Progress, RMAP Compliant Smelter, Rui Da Hung, Supplier contacts: hyeju.lee@amkor.com; catherine.pelissonnier@st.com; oh-dongho@auk.co.kr; Infineon Customer Contact @infineon.com;  nutthaphon@focuz-mfg.com; lisa.bjornson@sanmina.com; theodore.knudson@materion.com; yushin@harvatek.com; andreas.schwender@saxonia-tm.de; shelly.ding@inari-amertron.com.cn; Demi_Lo@arimalasers.com; cindy.dodd@avx.com; t.gruber@ats.net; Chih-Hung.Chen@opto.com.tw; s.rossi@varioprint.ch; Ravikumar.Ramachandran@fci.com; oh-dongho@auk.co.kr</t>
  </si>
  <si>
    <t>0, L1, R/S, NA, No information, RCOI confirmed per RMI, Recaycled, Scrap &amp;amp; Tin, recycled, Recycled and scrap, and mines not disclosed by supplier, Recycled or scrap, and mining not disclosed by supplier, Recycled or scrap, and mining not disclosed by supplier | Sourced from Mines/Recyale/Scrap | RCOI confirmed per RMI | Recycled | recycled, Recycled, Scrap and mines, Recycled, Scrap and mines | Some are recycled or scrap sourced but not all, scrap, Some are recycled or scrap sourced but not all, Some are recycled or scrap sourced but not all. , Some are recycled or scrap sourced but not all. | RCOI confirmed per RMI | RCOI confirmed as per RMI, Some are recycled or scrap sourced but not all. | Recycled | Not disclosed | Reycled | Some are recycled or scrap sourced but not all | Scrap | Not disclosed by supplier | Some are recycled or scrap sourced but not all. | Some are recycled or scrap sourced but not all | recycled + scrap sourced | Recycled | Not disclosed | Scrap | Reycled | Recycled, Scrap and mines | Recycled, Scrap and mines | Recycled, Scrap and mines, not disclosed by supplier | scrap, Some are recycled/scrap sourced but not all., TAIWAN, PROVINCE OF CHINA, Unknown, but some recycled/scrap</t>
  </si>
  <si>
    <t>Argentina, Australia, Brazil, Canada, China, Colombia, Germany, Indonesia, Ireland, Japan, Malaysia, Mongolia, Myanmar, Niger, Nigeria, Peru, Portugal, Recycled/Scrap, Russian Federation, Taiwan, Thailand, United Kingdom, United States, Viet Nam, Zimbabwe, China, Japan, Taiwan, Brazil, CID001539, DRC, Angola, Burundi, Central African Republic, Rwanda, South Sudan, Tanzania, Uganda, Zambia, Andorra, Argentina, Australia, Austria, Belgium, Benin, Bolivia, Brazil, Cambodia, Canada, Chile, China, Colombia, Djibouti, Ecuador, Egypt, Eritrea, Estonia, Ethiopia, France, Germany, Ghana, Guinea, Guyana, Hong Kong, Hungary, India, Indonesia, Ireland, Israel, Japan, Kazakhstan, Luxembourg, Madagascar, Malaysia, Mali, Mauritania, Mexico, Mongolia, Mozambique, Myanmar, Namibia, Netherlands, Nicaragua, Niger, Nigeria, Peru, Portugal, Republic of Korea, Russia, Sierra Leone, Singapore, Slovakia, Spain, Sudan, Suriname, Switzerland, Taiwan, Thailand, Togo, USA, United Kingdom, Uzbekistan, Vietnam, Zimbabwe, Recycled/Scrap, Excludes Covered Countries, Excludes Covered Countries and CAHRA, Excludes Covered Countries and CAHRA | Mineral sourcing L1, R/S based on RMAP-RMI's RCOI data | the DRC or an adjoining country(covered countries) | Recycled/Scrap, Brazil, China, Japan, DRC or an adjoining country (Covered Countries), Indonesia | Recycled or Scrap | RCOI confirmed per RMI | Recycled | recycled | Recycled/Scrap, China, Brazil, Japan, Indonesia, Taiwan, Japan, China, Taiwan, Brazil, L1, R/S, L1, R/S | Some are recycled or scrap sourced but not all | Japan, China, Taiwan, Brazil | Not Available | No. 1-1, Lane 139, Gong 5th Rd., Lin 39, Wulin Village, 
Longtan Shiang Taoyuang, Taiwan | Excludes Covered Countries, Mineral sourcing L1, R/S based on RMAP-RMI's RCOI data, NA, No information, Not disclosed | Excludes Covered Countries | Recycled | - | L1, R/S | China, Japan, Taiwan, Brazil | Some are recycled or scrap sourced but not all. | Reycled | Some are recycled or scrap sourced but not all | Mineral sourcing L1, R/S, Not disclosed by supplier | Scrap | Not disclosed | Not disclosed by supplier | Excludes Covered Countries | - | L1, R/S | Some are recycled or scrap sourced but not all | China, Japan, Taiwan, Brazil | Some are recycled or scrap sourced but not all. | Recycled | Mineral sourcing L1, R/S, N | Japan, China, Taiwan, Brazil | No. 1-1, Lane 139, Gong 5th Rd., Lin 39, Wulin Village, 
Longtan Shiang Taoyuang, Taiwan | Yes | scrap | Not Available, RCOI confirmed as per RMI, RCOI confirmed per RMI, Recycled, Recycled , Scrap &amp;amp; Tin, Recycled/Scrap, Brazil, China, Japan, DRC or an adjoining country (Covered Countries), Indonesia, Recycled/Scrap, Brazil, China, Japan, DRC or an adjoining country (Covered Countries), Indonesia;Recycled/Scrap, China, Brazil, Japan, Indonesia, Taiwan, Peru, Germany, Malaysia, Australia, Russian Federation, Thailand, Colombia, Ireland, Mongolia, Myanmar, Niger, Nigeria, Portugal, United Kingdom, Argentina, Viet Nam, Zimbabwe, Canada, United States, Chile, Guyana, Suriname, Switzerland, Bolivia (Plurinational State of), Mexico, Democratic Republic of Congo, Spain, Ethiopia, France, Madagascar, Sierra Leone, India, Austria, Ecuador, Angola, Belgium, Burundi, Cambodia, Central African Republic, Congo, Djibouti, Egypt, Estonia, Hungary, Israel, Kazakhstan, Korea, Luxembourg, Mozambique, Namibia, Netherlands, Rwanda, Singapore, Slovakia, South Sudan, Sudan, Tanzania, Uganda, Zambia, Mali, Uzbekistan, Ghana, Hong Kong, Andorra, Benin, Eritrea, Guinea, Mauritania, Nicaragua, Togo, Recycled/Scrap, China, Brazil, Japan, Indonesia, Taiwan, recyled, scrap, scrp, Some are recycled or scrap sourced but not all, Some are recycled or scrap sourced but not all. , Some are recycled/scrap sourced but not all., the DRC or an adjoining country(covered countries), Unspecified covered country, Brazil, China, Indonesia, Japan, Taiwan, recycled/scrap</t>
  </si>
  <si>
    <t>ACTIVE 09/22/2015, Compliant, Compliant Conformant, Conformant, Conformant Smelter, Conformant smelter according to RMI, audit valid until 2019, reassessment in progress, Conformant Smelter according to RMI, last cycle in 01.09.2018 with a cycle of 1 Year, RCOI confirmed as per RMAP, RCOI confirmed per RMI, RMAP Conformant, RMAP Conformant Smelter, RMAP Conformant Smelter / RCOI confirmed per RMI</t>
  </si>
  <si>
    <t>CID001565</t>
  </si>
  <si>
    <t>Sandvik Material Technology</t>
  </si>
  <si>
    <t>CID001631</t>
  </si>
  <si>
    <t>Shanghai Gold Exchange</t>
  </si>
  <si>
    <t>CID001642</t>
  </si>
  <si>
    <t>ShangHai YueQiang Metal Products Co., LTD</t>
  </si>
  <si>
    <t>CID001661</t>
  </si>
  <si>
    <t>Shen Mao Solder (M) Sdn. Bhd</t>
  </si>
  <si>
    <t>CID001711</t>
  </si>
  <si>
    <t>Shenzhen Yi Cheng Industrial</t>
  </si>
  <si>
    <t>CID001758</t>
  </si>
  <si>
    <t>Soft Metais Ltda.</t>
  </si>
  <si>
    <t>Av. Joao Ferreira Penna, 281 Distrito industrial III,  CEP 14707-202 Bebedouro, Sao Paulo, Brazil</t>
  </si>
  <si>
    <t>Bebedouro</t>
  </si>
  <si>
    <t>Ariane@softmetais.com.br, Minas gerais, Mr. Paulo Toledo de Abreu, Paulo Toledo, Tin</t>
  </si>
  <si>
    <t>paulotoledo@softmetais.com.br, Soft Metais Ltda., vendas@softmetais.com.br</t>
  </si>
  <si>
    <t>Conformant, NA, No Action Required as company is RMAP conformant, None, CFS Certified, Smelter is listed on the Active CFS list. Please see conflictfreesourcing.org, Soft Metais Ltda., Supplier contacts: hyeju.lee@amkor.com; catherine.pelissonnier@st.com; Infineon Customer Contact @infineon.com;  lisa.bjornson@sanmina.com; yushin@harvatek.com; Emily_Hsieh@epistar.com; cindy.dodd@avx.com, Validated by RMI until 04/11/2022</t>
  </si>
  <si>
    <t>0, BRAZIL, LR, R/S, RCOI confirmed per RMI, Recycled and scrap, and mines not disclosed by supplier, Recycled, Scrap and mines, Recycled, Scrap and mines | Some are recycled or scrap sourced but not all, Some are recycled or scrap sourced but not all, Some are recycled or scrap sourced but not all. , Some are recycled or scrap sourced but not all. | Not disclosed by supplier | Some are recycled or scrap sourced but not all | Not disclosed by supplier | Some are recycled or scrap sourced but not all. | Some are recycled or scrap sourced but not all | Recycled, Scrap and mines | Recycled, Scrap and mines | Recycled, Scrap and mines, not disclosed by supplier, Some are recycled or scrap sourced but not all. | RCOI confirmed per RMI, Some are recyled/scrap sourced but not all., Unknown, but some recycled/scrap</t>
  </si>
  <si>
    <t>Argentina, Australia, Austria, Belgium, Bolivia,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Suriname, Switzerland, Taiwan, Thailand, United Kingdom, USA, Vietnam, Zimbabwe, recycled/scrap, CID001758, DRC, Burundi, Rwanda, Andorra, Argentina, Australia, Austria, Belgium, Bolivia, Brazil, Cambodia, Canada, Chile, China, Colombia, Djibouti, Ecuador, Egypt,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Suriname, Switzerland, Taiwan, Thailand, USA, United Kingdom, Vietnam, Zimbabwe, Recycled/Scrap, Excludes Covered Countries, Excludes Covered Countries and CAHRA, L1, R/S, L1, R/S | Some are recycled or scrap sourced but not all | Myanmar, Cambodia, Malaysia, Kazakhstan, Portugal, Mongolia, Austria, Luxembourg, Brazil, Guyana, Korea, Republic of, Chile, Laos, Ecuador, Colombia, Argentina, Hungary, Japan, India, Canada, Belgium, Namibia, Taiwan, Peru, Germany, Ethiopia, Russian Fede | Not Available | Av. Joao Ferreira Penna, 281 Distrito industrial III,  CEP 14707-202 Bebedouro, Sao Paulo, Brazil | Excludes Covered Countries, Mineral sourcing LR,R/S based on RMAP-RMI's RCOI data, Myanmar, Cambodia, Malaysia, Kazakhstan, Portugal, Austria, Mongolia, Luxembourg, Brazil, Korea, Republic of, Guyana, Chile, Laos, Colombia, Ecuador, Argentina, Hungary, Japan, India, Canada, Belgium, Namibia, Taiwan, Peru, Germany, Ethiopia, Russian Federation, Singapore, Viet Nam, United States, Egypt, Sierra Leone, Madagascar, Ivory Coast, Bolivia, Thailand, Netherlands, China, Ireland, Slovakia, France, Nigeria, United Kingdom, Switzerland, Djibouti, Czech Republic, Zimbabwe, Suriname, Israel, Australia, Indonesia, Estonia, Myanmar, Cambodia, Malaysia, Kazakhstan, Portugal, Mongolia, Austria, Luxembourg, Brazil, Guyana, Korea, Republic of, Chile, Laos, Colombia, Ecuador, Argentina, Hungary, Japan, India, Canada, Belgium, Namibia, Taiwan, Peru, Germany, Ethiopia, Russian Federation, Singapore, Viet Nam, United States, Egypt, Madagascar, Sierra Leone, Ivory Coast, Thailand, Bolivia, Netherlands, Ireland, China, Slovakia, France, Nigeria, United Kingdom, Switzerland, Djibouti, Czech Republic, Zimbabwe, Suriname, Israel, Australia, Estonia, Indonesia, Myanmar, Cambodia, Malaysia, Kazakhstan, Portugal, Mongolia, Austria, Luxembourg, Korea, Republic of, Brazil, Guyana, Chile, Laos, Ecuador, Colombia, Argentina, Hungary, Japan, India, Canada, Belgium, Namibia, Taiwan, Peru, Ethiopia, Germany, Russian Federation, Viet Nam, Singapore, United States, Egypt, Sierra Leone, Madagascar, Ivory Coast, Bolivia, Thailand, Netherlands, China, Ireland, Slovakia, Nigeria, France, United Kingdom, Switzerland, Djibouti, Czech Republic, Zimbabwe, Suriname, Israel, Australia, Estonia, Indonesia, NA, Not disclosed | Excludes Covered Countries | L1 | L1, R/S | Myanmar, Cambodia, Malaysia, Kazakhstan, Portugal, Mongolia, Austria, Luxembourg, Brazil, Guyana, Korea, Republic of, Chile, Laos, Ecuador, Colombia, Argentina, Hungary, Japan, India, Canada, Belgium, Namibia, Taiwan, Peru, Germany, Ethiopia, Russian Fede | Some are recycled or scrap sourced but not all. | Some are recycled or scrap sourced but not all | Mineral sourcing L1, R/S, Not disclosed by supplier | Not disclosed | L1 | Excludes Covered Countries | L1, R/S | Some are recycled or scrap sourced but not all | Myanmar, Cambodia, Malaysia, Kazakhstan, Portugal, Mongolia, Austria, Luxembourg, Brazil, Guyana, Korea, Republic of, Chile, Laos, Ecuador, Colomb | Myanmar, Cambodia, Malaysia, Kazakhstan, Portugal, Austria, Mongolia, Luxembourg, Korea, Republic of, Guyana, Brazil, Chile, Laos, Colombia, Ecuador, Argentina, Hungary, Japan, India, Canada, Belgium, Namibia, Taiwan, Peru, Germany, Ethiopia, Russian Fede | Av. Joao Ferreira Penna, 281 Distrito industrial III,  CEP 14707-202 Bebedouro, Sao Paulo, Brazil | Mineral sourcing L1, R/S, not disclosed by RMI | Not Available, RCOI confirmed per RMI, 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 Recycled/Scrap, Brazil, Malaysia, Mongolia, Portugal, Myanmar, Austria, India, Cambodia, Kazakhstan, Colombia, Namibia, Ethiopia, Argentina, Germany, Peru, Guyana, Luxembourg, Chile, Ecuador, Korea, Canada, Japan, Hungary, Belgium, Niger, Nigeria, Zimbabwe, China, Sierra Leone, Thailand, Australia, Indonesia, Ireland, United Kingdom, United States, Egypt, France, Madagascar, Netherlands, Singapore, Slovakia, Djibouti, Estonia, Israel, Suriname, Switzerland, Mozambique, Burundi, Rwanda, Taiwan, Russian Federation, Viet Nam, Some are recycled or scrap sourced but not all, Some are recycled or scrap sourced but not all. , Some are recyled/scrap sourced but not all.</t>
  </si>
  <si>
    <t>Compliant, COMPLIANT 09/22/2015, Compliant Conformant, Conformant, Conformant Smelter, Conformant smelter according to RMI, audit valid until 2022, reassessment in progress, Conformant Smelter according to RMI, last cycle in 11.04.2019 with a cycle of 3 Years, Our Supplier Intel reported: Intel will continue following our due diligence process and seek to have all 3TG smelters &amp;amp; refiners that contribute to our products be compliant to an independent 3rd party audit program. You can find additional details of our program at www.intel.com/responsibleminerals 
, RCOI confirmed as per RMAP, RCOI confirmed per RMI, RMAP Conformant, RMAP Conformant Smelter</t>
  </si>
  <si>
    <t>CID002436</t>
  </si>
  <si>
    <t>Solder Court Ltd.</t>
  </si>
  <si>
    <t>CID002411</t>
  </si>
  <si>
    <t>Spectro Alloys Corp.</t>
  </si>
  <si>
    <t>CID002502</t>
  </si>
  <si>
    <t>Asia Tungsten Products Vietnam Ltd.</t>
  </si>
  <si>
    <t>Plot CN 06 Tan Tien Industrial Zone, Vinh Bao District, Hai Phong, Vietnam</t>
  </si>
  <si>
    <t>Vinh Bao District</t>
  </si>
  <si>
    <t>Hai Phong</t>
  </si>
  <si>
    <t>Li Mei, Ms. Li Mei (Tracy) Luo</t>
  </si>
  <si>
    <t>tracy_llm@aliyun.com</t>
  </si>
  <si>
    <t>Conformant- Reaudit In Progress, Conformant-Reaudit In Progress, No Action Required as company is RMAP conformant, No Action Required as smelter is RMAP conformant, None, CFS certified, Reaudit In Progress, Supplier contacts: hyeju.lee@amkor.com; catherine.pelissonnier@st.com; Infineon Customer Contact @infineon.com; lisa.bjornson@sanmina.com; yushin@harvatek.com</t>
  </si>
  <si>
    <t>0, L1, HR, CC, DRC, No information, Not disclosed by supplier, RCOI confirmed per RMI, Some are covered countries and DRC sourced but not all., Some are covered countries or DRC sourced but not all. | not available, Some are sourced from cover countries and DRC but not all. , Some are sourced from cover countries and DRC but not all. | RCOI confirmed per RMI, Some are sourced from covered countries or DRC, but not all, Some are sourced from DRC but not all. , Unknown, but some recycled/scrap</t>
  </si>
  <si>
    <t>Angola, Argentina, Austria, Brazil, Cambodia, Canada, Chile, Colombia, Congo, Ecuador, Ethiopia, Guyana, Hungary, India, Japan, Kazakhstan, Korea, Luxembourg, Malaysia, Mongolia, Myanmar, Namibia, Portugal, Recycled/Scrap, South Sudan, Sudan, Tanzania, Zambia, DRC, Angola, Burundi, Central African Republic, Congo Republic, Rwanda, South Sudan, Tanzania, Uganda, Zambia,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Includes Covered Countries, Includes Covered Countries and CAHRA, Includes Covered Countries and CAHRA | Mineral sourcing L1, HR, DRC, CC, based on RMAP-RMI's RCOI data, Mineral sourcing L1, CC, DRC based on RMAP-RMI's RCOI data, Mineral sourcing L1, HR, DRC, CC, based on RMAP-RMI's RCOI data, Myanmar, Angola, Cambodia, Malaysia, Kazakhstan, Portugal, Austria, Mongolia, Luxembourg, Brazil, Guyana, Korea, Republic of, Chile, Laos, Ecuador, Colombia, Argentina, Hungary, South Sudan, Japan, Tanzania, Zambia, Congo (Brazzaville), India, Canada, Belgium, Namibia, Taiwan, Central African Republic, Peru, Ethiopia, Germany, Burundi, Russian Federation, Singapore, Viet Nam, United States, Egypt, Sierra Leone, Madagascar, Ivory Coast, Bolivia, Thailand, Netherlands, China, Ireland, Slovakia, Nigeria, France, Rwanda, United Kingdom, Switzerland, Spain, Djibouti, Czech Republic, Uganda, Zimbabwe, Suriname, Israel, Australia, Estonia, Indonesia, 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 Myanmar, Angola, Cambodia, Malaysia, Kazakhstan, Portugal, Austria, Mongolia, Luxembourg, Brazil, Korea, Republic of, Guyana, Chile, Laos, Ecuador, Colombia, Argentina, South Sudan, Hungary, Japan, Tanzania, Zambia, Congo (Brazzaville), India, Canada, Belgium, Namibia, Taiwan, Central African Republic, Peru, Germany, Ethiopia, Burundi, Russian Federation, Viet Nam, Singapore, United States, Egypt, Sierra Leone, Madagascar, Ivory Coast, Thailand, Bolivia, Netherlands, Ireland, China, Slovakia, France, Nigeria, Rwanda, United Kingdom, Switzerland, Spain, Djibouti, Czech Republic, Zimbabwe, Uganda, Suriname, Israel, Australia, Estonia, Indonesia, Myanmar, Angola, Cambodia, Malaysia, Kazakhstan, Portugal, Mongolia, Austria, Luxembourg, Brazil, Guyana, Korea, Republic of, Chile, Laos, Ecuador, Colombia, Argentina, South Sudan, Hungary, Japan, Tanzania, Zambia, Congo (Brazzaville), India, Canada, Belgium, Namibia, Taiwan, Central African Republic, Peru, Ethiopia, Germany, Russian Federation, Burundi, Singapore, Viet Nam, United States, Egypt, Madagascar, Sierra Leone, Ivory Coast, Thailand, Bolivia, Netherlands, China, Ireland, Slovakia, Nigeria, France, Rwanda, United Kingdom, Switzerland, Spain, Djibouti, Czech Republic, Zimbabwe, Uganda, Suriname, Israel, Australia, Indonesia, Estonia, Myanmar, Angola, Cambodia, Malaysia, Kazakhstan, Portugal, Mongolia, Austria, Luxembourg, Korea, Republic of, Guyana, Brazil, Chile, Laos, Ecuador, Colombia, Argentina, South Sudan, Hungary, Japan, Tanzania, Zambia, Congo (Brazzaville), India, Canada, Belgium, Namibia, Taiwan, Central African Republic, Peru, Germany, Ethiopia, Russian Federation, Burundi, Viet Nam, Singapore, United States, Egypt, Sierra Leone, Madagascar, Ivory Coast, Thailand, Bolivia, Netherlands, Ireland, China, Slovakia, France, Nigeria, Rwanda, United Kingdom, Switzerland, Spain, Djibouti, Czech Republic, Uganda, Zimbabwe, Suriname, Israel, Australia, Indonesia, Estonia, No information, RCOI confirmed per RMI, Recycled/Scrap, Namibia, Brazil, Colombia, Malaysia, Mongolia, Myanmar, Portugal, Argentina, Austria, Cambodia, Chile, Ecuador, Guyana, Hungary, Japan, Kazakhstan, Korea, Luxembourg, Canada, India, Tanzania, Zambia, Angola, South Sudan, Sudan, Ethiopia, Peru, Belgium, Germany, United States, China, France, Ireland, Madagascar, Niger, Nigeria, Sierra Leone, Thailand, Australia, Indonesia, Spain, United Kingdom, Egypt, Netherlands, Singapore, Slovakia, Estonia, Israel, Suriname, Switzerland, Zimbabwe, Djibouti, Burundi, Rwanda, Uganda, Central African Republic, Viet Nam, Congo, Taiwan, Russian Federation, Some are covered countries and DRC sourced but not all., Some are covered countries or DRC sourced but not all. | L1, L3, DRC | Myanmar, Angola, Cambodia, Malaysia, Kazakhstan, Portugal, Mongolia, Austria, Luxembourg, Brazil, Guyana, Korea, Republic of, Chile, Laos, Colombia, Ecuador, Argentina, Hungary, South Sudan, Japan, Tanzania, Zambia, Congo (Brazzaville), India, Canada, Bel, Some are sourced from cover countries and DRC but not all. , Some are sourced from covered countries or DRC, but not all</t>
  </si>
  <si>
    <t>Compliant, Compliant Conformant, Conformant, Conformant smelter according to RMI, audit valid until 2018, reassessment in progress, Conformant Smelter according to RMI, last cycle in 27.10.2017 with a cycle of 1 Year, Part or all material comes from Covered Country, RCOI confirmed per RMI, RMAP Conformant, RMAP Conformant Smelter</t>
  </si>
  <si>
    <t>ATI Tungsten Materials</t>
  </si>
  <si>
    <t>CID000109</t>
  </si>
  <si>
    <t>Atlantic Metals</t>
  </si>
  <si>
    <t>CID000149</t>
  </si>
  <si>
    <t>Beijing Zenith Materials</t>
  </si>
  <si>
    <t>CID000206</t>
  </si>
  <si>
    <t>Changchun up-optotech</t>
  </si>
  <si>
    <t>CID002645</t>
  </si>
  <si>
    <t>Ganzhou Haichuang Tungsten Co., Ltd.</t>
  </si>
  <si>
    <t>No10, Wenqing Road, Zhanggong District, Ganzhou, Jiangxi</t>
  </si>
  <si>
    <t>Bizkaia, Ms. Huang</t>
  </si>
  <si>
    <t>13426541408@126.com</t>
  </si>
  <si>
    <t>Conformant-audited by RMI (members / partners)- valid until 11/26/2023, No Action Required as company is RMAP conformant, Supplier contacts: hyeju.lee@amkor.com; catherine.pelissonnier@st.com; Infineon Customer Contact @infineon.com; joanne.ambat@nepeshayyim.com; lisa.bjornson@sanmina.com; theodore.knudson@materion.com; yushin@harvatek.com, Validated by RMI until 09/20/2021</t>
  </si>
  <si>
    <t>0, Jiangxi Dajishan Tungsten Industry Ltd | not available | RCOI confirmed as per RMI | Excludes Covered Countries, LR, No information, not available, Not disclosed by supplier, RCOI confirmed as per RMI | not available, RCOI confirmed as per RMI., RCOI confirmed per RMI, Recycled, Scrap and mines not disclosed by supplier, Some are recycled or scrap sourced but not all, Some are recycled or scrap sourced but not all. , Some are recycled or scrap sourced but not all. | RCOI confirmed per RMI, Unknown, Unknown, but some recycled/scrap</t>
  </si>
  <si>
    <t>Argentina, Australia, Austria, Brazil, Canada, China, Ethiopia, Germany, Ghana, Guinea, Guyana, India, Indonesia, Japan, Malaysia, Mexico, Mongolia, Mozambique, Namibia, Niger, Nigeria, Peru, Portugal, Recycled/Scrap, Russian Federation, Thailand, China, Australia, Brazil, Canada, Thailand, Mozambique, China, Australia, Brazil, Canada, Thailand, Mozambique, Recycled/Scrap, Indonesia, Argentina, Austria, Ethiopia, Germany, Ghana, Guinea, Guyana, India, Japan, Malaysia, Mexico, Mongolia, Namibia, Niger, Nigeria, Peru, Portugal, Russian Federation, Sierra Leone, Spain, United States, Zimbabwe, Armenia, Azerbaijan, Bahamas, Barbados, Belarus, Belgium, Benin, Bolivia (Plurinational State of), Bosnia and Herzegovina, Botswana, Bulgaria, Burkina Faso, Cambodia, Cameroon, Chile, Colombia, Croatia, Cyprus, Denmark, Dominica, Dominican Republic, Ecuador, Egypt, El Salvador, Eritrea, Estonia, Fiji, Finland, France, Gabon, Gambia, Georgia, Greece, Guatemala, Honduras, Hong Kong, Hungary, Iceland, Iran, Ireland, Israel, Italy, Jordan, Kazakhstan, Korea, Kuwait, Kyrgyzstan, Latvia, Lebanon, Liberia, Libya, Liechtenstein, Lithuania, Luxembourg, Madagascar,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Turkey, Ukraine, United Arab Emirates, United Kingdom, Uruguay, Uzbekistan, Yemen, China, Australia, Brazil, Canada, Thailand, Mozambique, Recycled/Scrap, Indonesia, Argentina, Austria, Ethiopia, Germany, Ghana, Guinea, Guyana, India, Japan, Malaysia, Mexico, Mongolia, Namibia, Niger, Nigeria, Peru, Portugal, Russian Federation, Sierra Leone, Spain, United States, Zimbabwe, Armenia, Azerbaijan, Bahamas, Barbados, Belarus, Belgium, Benin, Bolivia (Plurinational State of), Bosnia and Herzegovina, Botswana, Bulgaria, Burkina Faso, Cambodia, Cameroon, Chile, Colombia, Croatia, Cyprus, Denmark, Dominica, Dominican Republic, Ecuador, Egypt, El Salvador, Eritrea, Estonia, Fiji, Finland, France, Gabon, Gambia, Georgia, Greece, Guatemala, Honduras, Hong Kong, Hungary, Iceland, Iran, Ireland, Israel, Italy, Jordan, Kazakhstan, Korea, Kuwait, Kyrgyzstan, Latvia, Lebanon, Liberia, Libya, Liechtenstein, Lithuania, Luxembourg, Madagascar, Mali, Malta, Mauritania, Mauritius, Morocco, Myanmar, Netherlands, New Caledonia, New Zealand, Nicaragua, Norway, Oman, Pakistan, Panama, Papua New Guinea, Philippines, Poland, Puerto Rico, Romania, San Marino, Saudi Arabia, Senegal, Serbia, Singapore, Slovakia, Slovenia, Solomon Islands, Suriname, Sweden, Switzerland, Taiwan, Tajikistan, Togo, Trinidad and Tobago, Tunisia, Turkey, Ukraine, United Arab Emirates, United Kingdom, Uruguay, Uzbekistan, Yemen;China, DRC or an adjoining country (Covered Countries), Canada, Russia, Mozambique, Brazil, Thailand, Australia, China, DRC or an adjoining country (Covered Countries), Canada, Russia, Mozambique, Brazil, Thailand, Australia, DRC,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Excludes Covered Countries, Excludes Covered Countries and CAHRA, Excludes Covered Countries and CAHRA | Mineral sourcing LR based on RMAP-RMI's RCOI data, L1, Mineral sourcing LR based on RMAP-RMI's RCOI data, No information, No known country of origin, No known country of origin | China | No known country of origin | No reason to believe sources from DRC or covered countries | L1 | RCOI confirmed as per RMI, RCOI confirmed as per RMI | L1, RCOI confirmed as per RMI., RCOI confirmed per RMI, Some are recycled or scrap sourced but not all, Some are recycled or scrap sourced but not all. , Unspecified covered country, Australia, Brazil, Canada, China, Mozambique, Russia, Thailand</t>
  </si>
  <si>
    <t>Compliant, Compliant Conformant, Conformant, Conformant Smelter, Conformant smelter according to RMI, audit valid until 2023, Conformant Smelter according to RMI, last cycle in 20.09.2019 with a cycle of 1 Year, RCOI confirmed per RMI, RMAP Conformant</t>
  </si>
  <si>
    <t>CID000530</t>
  </si>
  <si>
    <t>Ganzhou Hongfei Materials Co.</t>
  </si>
  <si>
    <t>CID003417</t>
  </si>
  <si>
    <t>GEM Co., Ltd.</t>
  </si>
  <si>
    <t>Shenzhen</t>
  </si>
  <si>
    <t>No information, Unknown, Yes</t>
  </si>
  <si>
    <t>Towanda</t>
  </si>
  <si>
    <t>CID002313</t>
  </si>
  <si>
    <t>Jiangxi Minmetals Gao'an Non-ferrous Metals Co., Ltd.</t>
  </si>
  <si>
    <t>No.1, Tongcheng Ave., Industry City, Gaoan, 330800, China</t>
  </si>
  <si>
    <t>Gao'an</t>
  </si>
  <si>
    <t>Chen Yousheng, Mr. Chen Yousheng (Vice GM)</t>
  </si>
  <si>
    <t>13979582015@163.com</t>
  </si>
  <si>
    <t>China, China, Recycled/Scrap, United States, China, United States, China, USA, China, USA | China, Recycled/Scrap, Russia, Canada, Thailand, DRC or an adjoining country (Covered Countries), Burundi, Rwanda, Niger, Malaysia, Bolivia, Spain, Brazil, Mexico, Australia, Nigeria, USA, Vietnam,  Ethiopia, China, USA, Recycled/Scrap, Unknown</t>
  </si>
  <si>
    <t>CID002315</t>
  </si>
  <si>
    <t>Ganxian Hongjin Industry Zone 2nd Stage, Ganzhou Jiangxi, China</t>
  </si>
  <si>
    <t>Kepulauan Bangka Belitung, Vincent Lau</t>
  </si>
  <si>
    <t>23026897@qq.com</t>
  </si>
  <si>
    <t>Conformant-audited by RMI (members / partners)- valid until 03/12/2024, No Action Required as company is RMAP conformant, None, CFS Certified, Reaudit In Progress, Supplier contacts: hyeju.lee@amkor.com; catherine.pelissonnier@st.com; ehs@xfab.com; Infineon Customer Contact @infineon.com; lisa.bjornson@sanmina.com; yushin@harvatek.com</t>
  </si>
  <si>
    <t>0, INDONESIA | Some are recycled or scrap sourced but not all. | Some are recycled or scrap sourced but not all | not available | INDONESIA | Some are recycled or scrap sourced but not all | Some are recycled or scrap sourced but not all. | Recycled, Scrap and mines | Recycled, Scrap and mines | Recycled, Scrap and mines, not disclosed by supplier, No information, RCOI confirmed per RMI, Recycled or scrap, and mining not disclosed by supplier, Recycled, Scrap and mines, Recycled, Scrap and mines | Some are recycled or scrap sourced but not all, Recycled, Scrap and mines not disclosed by supplier, See aggregated data below for TI-CMC Sourcing, R/S, Some are recycled or scrap sourced but not all, Some are recycled or scrap sourced but not all. , Some are recycled or scrap sourced but not all. | RCOI confirmed per RMI, Some are recycled/scrap sourced but not all., Unknown, but some recycled/scrap</t>
  </si>
  <si>
    <t>Argentina, Australia, Austria, Belgium, Brazil, Cambodia, Canada, Chile, China, Colombia, Democratic Republic of Congo, Ecuador, Germany, Guyana, Hungary, India, Japan, Kazakhstan, Korea, Luxembourg, Malaysia, Mongolia, Myanmar, Namibia, Peru, Portugal, Recycled/Scrap, Taiwan, United States, DRC- Congo (Kinshasa), Myanmar, Cambodia, Malaysia, Kazakhstan, Portugal, Austria, Mongolia, Luxembourg, Guyana, Korea, Republic of, Brazil, Chile, Laos, Colombia, Ecuador, Argentina, Hungary, Japan, India, Canada, Belgium, Namibia, Taiwan, Peru, Germany, Ethiopia, Russian Federation, Singapore, Viet Nam, United States, Egypt, Madagascar, Sierra Leone, Ivory Coast, Bolivia, Thailand, Netherlands, Ireland, China, Slovakia, France, Nigeria, United Kingdom, Switzerland, Spain, Djibouti, Czech Republic, Zimbabwe, Suriname, Israel, Australia, Estonia, Indonesia, 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Bolivia, Thailand, Netherlands, Ireland, China, Slovakia, France, Nigeria, United Kingdom, Switzerland, Spain, Djibouti, Czech Republic, Zimbabwe, Suriname, Israel, Australia, Indonesia, Estonia, DRC- Congo (Kinshasa), Myanmar, Cambodia, Malaysia, Kazakhstan, Portugal, Mongolia, Austria, Luxembourg, Brazil, Guyana, Korea, Republic of, Chile, Laos, Ecuador, Colombia, Argentina, Hungary, Japan, India, Canada, Belgium, Namibia, Taiwan, Peru, Germany, Ethiopia, Russian Federation, Singapore, Viet Nam, United States, Egypt, Sierra Leone, Madagascar, Ivory Coast, Thailand, Bolivia, Netherlands, Ireland, China, Slovakia, Nigeria, France, United Kingdom, Switzerland, Spain, Djibouti, Czech Republic, Zimbabwe, Suriname, Israel, Australia, Estonia, Indonesia, DRC- Congo (Kinshasa), 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Bolivia, Thailand, Netherlands, Ireland, China, Slovakia, France, Nigeria, United Kingdom, Switzerland, Spain, Djibouti, Czech Republic, Zimbabwe, Suriname, Israel, Australia, Estonia, Indonesia,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Excludes Covered Countries, Excludes Covered Countries and CAHRA, INDONESIA | DRC- Congo (Kinshasa), Myanmar, Cambodia, Malaysia, Kazakhstan, Portugal, Austria, Mongolia, Luxembourg, Guyana, Brazil, Korea, Republic of, Chile, Laos, Ecuador, Colombia, Argentina, Hungary, Japan, India, Canada, Belgium, Namibia, Taiwan, Peru, Germany, | L1, R/S | Some are recycled or scrap sourced but not all | L1, R/S | INDONESIA | Some are recycled or scrap sourced but not all | DRC- Congo (Kinshasa), Myanmar, Cambodia, Malaysia, Kazakhstan, Portugal, Austria, Mongolia, Luxembourg, Guyana, Brazil, Korea, Republic of, Chile, Laos, Ecuador, Colombia, Argentina, | DRC- Congo (Kinshasa), Myanmar, Cambodia, Malaysia, Kazakhstan, Portugal, Mongolia, Austria, Luxembourg, Brazil, Korea, Republic of, Guyana, Chile, Laos, Ecuador, Colombia, Argentina, Hungary, Japan, India, Canada, Belgium, Namibia, Taiwan, Peru, Ethiopia | Ganxian Hongjin Industry Zone 2nd Stage, Ganzhou Jiangxi, China | Mineral sourcing L1,R/S, not disclosed by RMI | Excludes Covered Countries, L1, R/S, L1, R/S | Some are recycled or scrap sourced but not all | DRC- Congo (Kinshasa), Myanmar, Cambodia, Malaysia, Kazakhstan, Portugal, Austria, Mongolia, Luxembourg, Brazil, Guyana, Korea, Republic of, Chile, Laos, Ecuador, Colombia, Argentina, Hungary, Japan, India, Canada, Belgium, Namibia, Taiwan, Peru, Germany, | Excludes Covered Countries | Ganxian Hongjin Industry Zone 2nd Stage, Ganzhou Jiangxi, China, Mineral sourcing L1, R/S based on RMAP-RMI's RCOI data, Mineral sourcing not disclosed by TI-CMC sourcing, No information, R/S, RCOI confirmed per RMI, Recycled/Scrap, China, Brazil, Colombia, Mongolia, Portugal, Austria, Japan, Malaysia, Myanmar, Argentina, Chile, Ecuador, Guyana, Cambodia, Hungary, Kazakhstan, Korea, Luxembourg, Canada, India, Belgium, Namibia, Peru, Germany, United States, Australia, Ireland, Niger, Nigeria, Spain, United Kingdom, Indonesia, Ethiopia, Madagascar, France, Sierra Leone, Thailand, Egypt, Netherlands, Singapore, Slovakia, Switzerland, Djibouti, Estonia, Israel, Suriname, Zimbabwe, Democratic Republic of Congo, Taiwan, Russian Federation, Viet Nam, 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 Some are recycled or scrap sourced but not all, Some are recycled or scrap sourced but not all. , Some are recycled/scrap sourced but not all., Unknown</t>
  </si>
  <si>
    <t>Compliant, COMPLIANT 09/22/2015, Compliant Conformant, Conformant, Conformant Smelter, Conformant smelter according to RMI, audit valid until 2024, Conformant Smelter according to RMI, last cycle in 07.02.2018 with a cycle of 3 Years, Listed on CFSI Conflict Free Smelter List, RCOI confirmed per RMI, RMAP Conformant</t>
  </si>
  <si>
    <t>CID000218</t>
  </si>
  <si>
    <t>Guangdong Xianglu Tungsten Co., Ltd.</t>
  </si>
  <si>
    <t>CID002542</t>
  </si>
  <si>
    <t>CID002649</t>
  </si>
  <si>
    <t>Hydrometallurg, JSC</t>
  </si>
  <si>
    <t>Nalchik, the Kabardino-Balkar Republic, Russia</t>
  </si>
  <si>
    <t>Nalchik</t>
  </si>
  <si>
    <t>Kabardino-Balkarskaya Respublika</t>
  </si>
  <si>
    <t>Ardan Malatsagaev, Igor Akhachev, Kepulauan Bangka Belitung, Leonid Perevalov, Timur Iskhakov; Dmit</t>
  </si>
  <si>
    <t>akhachev@wolframcompany.ru, am@wmcy.ru, iskhakov@wolframcompany.ru, sabitov@wolframcompany, perevalov@wolframcompany.ru</t>
  </si>
  <si>
    <t>Conformant, No Action Required as company is RMAP conformant, None, CFS Certified, None, Ti-CMC member, Validated by RMI until 06/26/2022</t>
  </si>
  <si>
    <t>0, GERMANY | Some are recycled or scrap sourced but not all. | Some are recycled or scrap sourced but not all | not available | GERMANY | Some are recycled or scrap sourced but not all | Some are recycled or scrap sourced but not all. | Recycled, Scrap and mines | Recycled, Scrap and mines | Recycled, Scrap and mines, not disclosed by supplier, No information, R/S and Mined (See aggregated data below for TI-CMC Sourcing), RCOI confirmed per RMI, Recycled, Scrap and mines, Recycled, Scrap and mines | Some are recycled or scrap sourced but not all, Recycled, Scrap and mines not disclosed by supplier, Some are recycled or scrap sourced but not all, Some are recycled or scrap sourced but not all. | RCOI confirmed per RMI, Some are recyled/scrap, TI-CMC sourced but not all., Unknown, but some recycled/scrap</t>
  </si>
  <si>
    <t>Argentina, Australia, Austria, Belgium, Brazil, Cambodia, Canada, Chile, China, Democratic Republic of Congo, Ecuador, Ethiopia, Germany, Guyana, Hungary, India, Ireland, Japan, Kazakhstan, Korea, Luxembourg, Malaysia, Mongolia, Myanmar, Namibia, Niger, Peru, Portugal, Recycled/Scrap, Taiwan, DRC- Congo (Kinshasa), Myanmar, Cambodia, Malaysia, Kazakhstan, Portugal, Austria, Mongolia, Luxembourg, Brazil, Guyana, Korea, Republic of, Chile, Laos, Ecuador, Argentina, Hungary, Japan, India, Canada, Belgium, Namibia, Taiwan, Peru, Germany, Ethiopia, Russian Federation, Viet Nam, United States, Egypt, Sierra Leone, Madagascar, Ivory Coast, Thailand, Bolivia, Netherlands, Ireland, China, Slovakia, Nigeria, France, United Kingdom, Switzerland, Spain, Djibouti, Czech Republic, Zimbabwe, Suriname, Israel, Australia, Indonesia, Estonia, DRC- Congo (Kinshasa), Myanmar, Cambodia, Malaysia, Kazakhstan, Portugal, Mongolia, Austria, Luxembourg, Brazil, Guyana, Korea, Republic of, Chile, Laos, Ecuador, Argentina, Hungary, Japan, India, Canada, Belgium, Namibia, Taiwan, Peru, Ethiopia, Germany, Russian Federation, Viet Nam, United States, Egypt, Sierra Leone, Madagascar, Ivory Coast, Thailand, Bolivia, Netherlands, Ireland, China, Slovakia, France, Nigeria, United Kingdom, Switzerland, Spain, Djibouti, Czech Republic, Zimbabwe, Suriname, Israel, Australia, Estonia, Indonesia, DRC- Congo (Kinshasa), Myanmar, Cambodia, Malaysia, Kazakhstan, Portugal, Mongolia, Austria, Luxembourg, Guyana, Brazil, Korea, Republic of, Chile, Laos, Ecuador, Argentina, Hungary, Japan, India, Canada, Belgium, Namibia, Taiwan, Peru, Germany, Ethiopia, Russian Federation, Viet Nam, United States, Egypt, Sierra Leone, Madagascar, Ivory Coast, Thailand, Bolivia, Netherlands, China, Ireland, Slovakia, Nigeria, France, United Kingdom, Switzerland, Spain, Djibouti, Czech Republic, Zimbabwe, Suriname, Israel, Australia, Indonesia, Estonia, 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 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RussiaRussia,, DRC, Argentina, Australia, Austria, Belgium, Bolivia, Brazil, Cambodia, Canada, Chile, China,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Slovakia, Spain, Suriname, Switzerland, Taiwan, Thailand, United Kingdom, USA, Vietnam, Zimbabwe, recycled/scrap, DRC, Burundi, Rwanda,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 | GERMANY | DRC- Congo (Kinshasa), Myanmar, Cambodia, Malaysia, Kazakhstan, Portugal, Mongolia, Austria, Luxembourg, Guyana, Korea, Republic of, Brazil, Chile, Laos, Ecuador, Argentina, Hungary, Japan, India, Canada, Belgium, Namibia, Taiwan, Peru, Germany, Ethiopia, | L1, R/S | Some are recycled or scrap sourced but not all | Mineral sourcing L1,R/S, Not disclosed by supplier | L1, R/S | Excludes Covered Countries | - | GERMANY | Some are recycled or scrap sourced but not all | DRC- Congo (Kinshasa), Myanmar, Cambodia, Malaysia, Kazakhstan, Portugal, Mongolia, Austria, Luxembourg, Guyana, Korea, Republic of, Brazil, Chile, Laos, | DRC- Congo (Kinshasa), Myanmar, Cambodia, Malaysia, Kazakhstan, Portugal, Austria, Mongolia, Luxembourg, Guyana, Brazil, Korea, Republic of, Chile, Laos, Ecuador, Argentina, Hungary, Japan, India, Canada, Belgium, Namibia, Taiwan, Peru, Ethiopia, Germany, | Nalchik, the Kabardino-Balkar Republic, Russia | Mineral sourcing L1, R/S, not disclosed by RMI, L1, R/S, Mineral sourcing R/S and Mined based on RMAP-RMI's RCOI data, Nalchik, the Kabardino-Balkar Republic, Russia | L1, R/S | Some are recycled or scrap sourced but not all | Excludes Covered Countries, No information, RCOI confirmed per RMI, Recycled/Scrap, Brazil, China, Peru, Austria, Canada, Japan, Mongolia, Portugal, Argentina, Belgium, Cambodia, Chile, Ecuador, Guyana, Hungary, India, Kazakhstan, Korea, Luxembourg, Malaysia, Myanmar, Namibia, Australia, Germany, Ethiopia, Ireland, Niger, Nigeria, Spain, United Kingdom, United States, Egypt, France, Madagascar, Netherlands, Sierra Leone, Slovakia, Suriname, Switzerland, Thailand, Zimbabwe, Djibouti, Indonesia, Estonia, Israel, Colombia, Russian Federation, Taiwan, Democratic Republic of Congo, Viet Nam, Some are recycled or scrap sourced but not all, Some are recyled/scrap, TI-CMC sourced but not all., Unknown</t>
  </si>
  <si>
    <t>Compliant, Compliant Conformant, Conformant, Conformant Smelter, Conformant smelter according to RMI, audit valid until 2022, Conformant Smelter according to RMI, last cycle in 26.06.2019 with a cycle of 3 Years, Listed on CFSI Conflict Free Smelter List, RCOI confirmed per RMI, RCOI confirmed per RMI / approved by TI-CMC, RMAP Conformant</t>
  </si>
  <si>
    <t>CID001326</t>
  </si>
  <si>
    <t>OJSC “The Gulidov Krasnoyarsk Non-Ferrous Metals Plant” (OJSC Krastvetmet)</t>
  </si>
  <si>
    <t>OJSC "The Gulidov Krasnoyarsk Non-Ferrous Metals Plant" (OJSC Krastsvetmet)</t>
  </si>
  <si>
    <t>Krasnoyarsk, Russian Federation</t>
  </si>
  <si>
    <t>Krasnoyarsk</t>
  </si>
  <si>
    <t>Krasnoyarskiy kray</t>
  </si>
  <si>
    <t>Bern, Svetlana Chetverikova</t>
  </si>
  <si>
    <t>SChetverikova@krastsvetmet.ru</t>
  </si>
  <si>
    <t>No Action Required as company is RMAP conformant, None, CFS Certified, Validated by LBMA RG until 07/30/2022</t>
  </si>
  <si>
    <t>0, Amur Region, Chelyabinsk Region, Chukotka Autonomo, and recycled/scrap, Amur Region; Chelyabinsk Region; Chukotka Autonomous Area;Irkutsk Region;Khabarovsk Territory;Krasnoyarsk Territory;Magadan Region; Novosibirsk Region;Republic of Sakha (Yakutia) (Aldan, Neryungri, settlement Ust-Nera);Sverdlovsk Region;Trans-Baikal Terri | RCOI confirmed as per RMI but not disclosed by LBMA, Amur Region; Chelyabinsk Region; Chukotka Autonomous Area;Irkutsk Region;Khabarovsk Territory;Krasnoyarsk Territory;Magadan Region; Novosibirsk Region;Republic of Sakha (Yakutia) (Aldan, Neryungri, settlement Ust-Nera);Sverdlovsk Region;Trans-Baikal Territory., GERMANY | Amur Region; Chelyabinsk Region; Chukotka Autonomous Area;Irkutsk Region;Khabarovsk Territory;Krasnoyarsk Territory;Magadan Region; Novosibirsk Region;Republic of Sakha (Yakutia) (Aldan, Neryungri, settlement Ust-Nera);Sverdlovsk Region;Trans-Baikal Terri | Not disclosed by supplier | Not disclosed per LBMA | RCOI confirmed as per RMI but not disclosed by LBMA | GERMANY | Amur Region; Chelyabinsk Region; Chukotka Autonomous Area;Irkutsk Region;Khabarovsk Territory;Krasnoyarsk Territory;Magadan Region; Novosibirsk Region;Republic of Sakha (Yakutia) (Aldan, Neryungri, settlement Ust-Nera);Sverdlovsk Region;Trans-Ba, Not disclosed by supplier, Not disclosed per LBMA, RCOI confirmed as per RMI., RCOI confirmed per RMI, Unknown, but some recycled/scrap</t>
  </si>
  <si>
    <t>Andorra, Argentina, Armenia, Australia, Brazil, Canada, China, Ethiopia, Germany, India, Indonesia, Japan, Korea, Mozambique, Namibia, Panama, Recycled/Scrap, Russian Federation, Rwanda, Sierra Leone, Switzerland, Thailand, United States, Zimbabwe, Brazil, Germany, Indonesia, Japan, Russia, recycled/scrap, Brazil, Indonesia, Russia, Recycled/Scrap, Germany, Japan, Burundi, Rwanda, Tanzania, Uganda, Zambia, 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Known Countries from which LBMA Good Delivery List Refiners Source - Mined  Material (Provided by LBMA), Known Countries from which LBMA Good Delivery List Refiners Source - Mined  Material (Provided by LBMA) | RCOI confirmed as per RMI but not disclosed by LBMA | Krasnoyarsk, Russian Federation, LBMA Good Delivery Sourcing based on RMAP-RMI's RCOI data, Not disclosed per LBMA, Not disclosed per LBMA | GERMANY | Not disclosed per LBMA (Russian Federation) | Russian Federation | Krasnoyarsk Krai | RCOI confirmed as per RMI but not disclosed by LBMA | RUSSIAN FEDERATION | Not disclosed per LBMA | GERMANY | Not disclosed per LBMA (Russian Federation) | RCOI confirmed as per CFSI but not disclosed by LBMA | Russian Federation | Krasnoyarsk Krai | Known Countries from which LBMA Good Delivery List Refiners Source - Mined  Mat | Known Countries from which LBMA Good Delivery List Refiners Source - Mined  Material (Provided by LBMA) | Krasnoyarsk, Russian Federation, RCOI confirmed as per RMI., RCOI confirmed per RMI, Recycled/Scrap, Japan, Germany, Brazil, Indonesia, Russian Federation, Recycled/Scrap, Japan, Germany, Brazil, Indonesia, Russian Federation, China, Australia, Canada, Ethiopia, India, Korea, Namibia, Rwanda, Sierra Leone, Thailand, United States, Zimbabwe, Mozambique, Panama, Switzerland, Andorra, Argentina, Armenia, Austria, Azerbaijan, Bahamas, Barbados, Belarus, Belgium, Benin, Bolivia (Plurinational State of), Bosnia and Herzegovina, Botswana, Bulgaria, Burkina Faso, Burundi, Cambodia, Cameroon, Chile, Colombia, Croatia, Cyprus, Denmark, Dominica, Dominican Republic, Ecuador, Egypt, El Salvador, Eritrea, Estonia, Fiji, Finland, France, Gabon, Gambia, Georgia, Ghana, Greece, Guatemala, Guinea, Guyana, Honduras, Hong Kong, Hungary, Iceland, Iran, Ireland, Israel, Italy, Jordan, Kazakhstan, Kuwait, Kyrgyzstan, Latvia, Lebanon, Liberia, Libya, Liechtenstein, Lithuania, Luxembourg, Madagascar, Malaysia, Mali, Malta, Mauritania, Mauritius, Mexico, Mongolia, Morocco, Myanmar, Netherlands, New Caledonia, New Zealand, Nicaragua, Niger, Nigeria, Norway, Oman, Pakistan, Papua New Guinea, Peru, Philippines, Poland, Portugal, Puerto Rico, Romania, San Marino, Saudi Arabia, Senegal, Serbia, Singapore, Slovakia, Slovenia, Solomon Islands, Spain, Suriname, Sweden, Taiwan, Tajikistan, Tanzania, Togo, Trinidad and Tobago, Tunisia, Turkey, Uganda, Ukraine, United Arab Emirates, United Kingdom, Uruguay, Uzbekistan, Yemen, Zambia, Russian Federation, Unknown</t>
  </si>
  <si>
    <t>0, Compliant, Compliant Conformant, Conformant, Conformant Smelter, Conformant Smelter according to RMI, last cycle in 30.07.2020 with a cycle of 1 Year, RCOI confirmed per RMI, RCOI confirmed per RMI / LBMA Good Delivery Sourcing, RMAP Conformant</t>
  </si>
  <si>
    <t>OJSC Kolyma Refinery</t>
  </si>
  <si>
    <t>CID001328</t>
  </si>
  <si>
    <t>CID000493</t>
  </si>
  <si>
    <t>OJSC Novosibirsk Refinery</t>
  </si>
  <si>
    <t>Novosibirskaya oblast'</t>
  </si>
  <si>
    <t>CID001761</t>
  </si>
  <si>
    <t>Solar Applied Materials Technology Corp.</t>
  </si>
  <si>
    <t>No. 16, Gong 1st Rd., Liuying District, Tainan City, 73659 Taiwan</t>
  </si>
  <si>
    <t>Tainan City</t>
  </si>
  <si>
    <t>Tainan</t>
  </si>
  <si>
    <t>Claire Lin, Jimmy Gan, Gold, Jimmy Wu, Ms. Claire Lin
Ava Hsieh, Ms. Claire Lin; Ava Hsieh, Nei Mongol, tf.tsai</t>
  </si>
  <si>
    <t>claire.lin@solartech.com.tw, claire.lin@solartech.com.tw
avahsieh@solartech.com.tw, claire.lin@solartech.com.tw, jimmy@solartech.com.tw, claire.lin@solartech.com.tw; avahsieh@solartech.com.tw, jimmy@solartech.com.tw, Solar Applied Materials Technology Corp., tf.tsai@solartech.com.tw</t>
  </si>
  <si>
    <t>already in the CFS compliant list, Conformant, Conformant-audited by LBMA RG- valid until 06/14/2023, NA, no action need, No Action Required as company is RMAP conformant, None, CFS Certified, Solar Applied Materials Technology Corp., Supplier contacts: hyeju.lee@amkor.com; catherine.pelissonnier@st.com; (Phiron) nancy.joy@materion.com; chenjean@nanyapcb.com.tw; Infineon Customer Contact @infineon.com;  jeffery.hung@awsc.com.tw; julieli@chipbond.com.tw; eagle@solartech.com.tw; nadine.jahn@aim-micro-systems.de; lisa.bjornson@sanmina.com; theodore.knudson@materion.com; yushin@harvatek.com; kevinlin@jentech.com.tw; Emily_Hsieh@epistar.com; t.gruber@ats.net; shelly.ding@inari-amertron.com.cn, Validated by LBMA RG until 08/24/2022</t>
  </si>
  <si>
    <t>0, NA, No information, Not disclosed by supplier, Not disclosed by supplier | Recycle or Scrap | RCOI confirmed per RMI | Recycled, Not disclosed per LBMA, RCOI confirmed as per RMI., RCOI confirmed per RMI, recycled, Recycled | RCOI confirmed as per RMI but not disclosed by LBMA, See aggregated data below for LBMA Good Delivery Sourcing, Some are recycled or scrap sourced but not all. | Recycled &amp;amp; Scrap | RCOI confirmed as per RMI but not disclosed by LBMA | RECYCLED | Recycled | Some are recycled or scrap sourced but not all. | Some are recycled or scrap sourced but not all | recycled | Recycled &amp;amp; Scrap | RECYCLED | Recycled | recycled, TAIWAN, PROVINCE OF CHINA,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</si>
  <si>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Suriname, Switzerland, Thailand, United Kingdom, USA, Vietnam, Zimbabwe, recycled/scrap, Argentina, Austria, Belgium, Brazil, Cambodia, Canada, Chile, China, Colombia, Ecuador, Ethiopia, Germany, Guyana, Hungary, India, Japan, Kazakhstan, Korea, Luxembourg, Malaysia, Mongolia, Myanmar, Namibia, Peru, Portugal, Recycled/Scrap, Taiwan, United States, Canada/South America, recycled or scrap source, CID001761, DRC, Aland Islands,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Known Countries from which LBMA Good Delivery List Refiners Source - Mined  Material (Provided by LBMA), Known Countries from which LBMA Good Delivery List Refiners Source - Mined  Material (Provided by LBMA) | RCOI confirmed as per RMI but not disclosed by LBMA | Myanmar, Cambodia, Malaysia, Kazakhstan, Portugal, Mongolia, Austria, Luxembourg, Guyana, Korea, Republic of, Brazil, Chile, Laos, Ecuador, Colombia, Argentina, Hungary, Japan, India, Canada, Belgium, Namibia, Taiwan, Peru, Germany, Ethiopia, Russian Fede | No. 16, Gong 1st Rd., Liuying District, Tainan City, 73659 Taiwan, L1, R/S | Excludes Covered Countries | Not disclosed per LBMA (Taiwan, HK, Recycled) | Myanmar, Cambodia, Malaysia, Kazakhstan, Portugal, Mongolia, Austria, Luxembourg, Brazil, Guyana, Korea, Republic of, Chile, Laos, Ecuador, Colombia, Argentina, Hungary, Japan, India, Canada, Belgium, Namibia, Taiwan, Peru, Ethiopia, Germany, Russian Fede | Some are recycled or scrap sourced but not all. | Recycled, Taiwan, HK. | RCOI confirmed as per RMI but not disclosed by LBMA | Mineral sourcing L1,R/S, Not disclosed by supplier | RECYCLED | L1, R/S | Excludes Covered Countries | Not disclosed per LBMA (Taiwan, HK, Recycled) | Some are recycled or scrap sourced but not all | Myanmar, Cambodia, Malaysia, Kazakhstan, Portugal, Mongolia, Austria, Luxembourg, Brazil, Guyana, Korea, Republic of, C | Known Countries from which LBMA Good Delivery List Refiners Source - Mined  Material (Provided by LBMA) | Myanmar, Cambodia, Malaysia, Kazakhstan, Portugal, Mongolia, Austria, Luxembourg, Guyana, Brazil, Korea, Republic of, Chile, Laos, Ecuador, Colombia, Argentina, Hungary, Japan, India, Canada, Belgium, Namibia, Taiwan, Peru, Germany, Ethiopia, Russian Fede | No. 16, Gong 1st Rd., Liuying District, Tainan City, 73659 Taiwan | Recycled etc. | recycled | Mineral sourcing R/S, Mineral sourcing not disclosed by LBMA, Mineral sourcing not disclosed by LBMA | Canada, South America | RCOI confirmed per RMI | Recycled etc. | Recycled/Scrap, China, Malaysia, Canada, Chile, Ecuador, Guyana, Peru, Korea, Japan, Brazil, Argentina, Austria, Cambodia, Hungary, Kazakhstan, Luxembourg, Mongolia, Myanmar, Portugal, Belgium, Ethiopia, Germany, India, Namibia, Colombia, United States, A, Mineral sourcing R/S, Myanmar, Cambodia, Malaysia, Kazakhstan, Portugal, Austria, Mongolia, Luxembourg, Brazil, Korea, Republic of, Guyana, Chile, Laos, Colombia, Ecuador, Argentina, Hungary, Japan, India, Canada, Belgium, Namibia, Taiwan, Peru, Ethiopia, Germany, Russian Federation, Viet Nam, Singapore, Hong Kong, United States, Egypt, Sierra Leone, Madagascar, Ivory Coast, Bolivia, Thailand, Netherlands, China, Ireland, Slovakia, Nigeria, France, United Kingdom, Switzerland, Djibouti, Czech Republic, Zimbabwe, Suriname, Israel, Australia, Indonesia, Estonia, Myanmar, Cambodia, Malaysia, Kazakhstan, Portugal, Austria, Mongolia, Luxembourg, Guyana, Korea, Republic of, Brazil, Chile, Laos, Ecuador, Colombia, Argentina, Hungary, Japan, India, Canada, Belgium, Namibia, Taiwan, Peru, Ethiopia, Germany, Russian Federation, Viet Nam, Singapore, Hong Kong, United States, Egypt, Sierra Leone, Madagascar, Ivory Coast, Bolivia, Thailand, Netherlands, China, Ireland, Slovakia, France, Nigeria, United Kingdom, Switzerland, Djibouti, Czech Republic, Zimbabwe, Suriname, Israel, Australia, Indonesia, Estonia, Myanmar, Cambodia, Malaysia, Kazakhstan, Portugal, Austria, Mongolia, Luxembourg, Guyana, Korea, Republic of, Brazil, Chile, Laos, Ecuador, Colombia, Argentina, Hungary, Japan, India, Canada, Belgium, Namibia, Taiwan, Peru, Germany, Ethiopia, Russian Federation, Viet Nam, Singapore, Hong Kong, United States, Egypt, Madagascar, Sierra Leone, Ivory Coast, Bolivia, Thailand, Netherlands, Ireland, China, Slovakia, France, Nigeria, United Kingdom, Switzerland, Djibouti, Czech Republic, Zimbabwe, Suriname, Israel, Australia, Indonesia, Estonia, Myanmar, Cambodia, Malaysia, Kazakhstan, Portugal, Austria, Mongolia, Luxembourg, Korea, Republic of, Brazil, Guyana, Chile, Laos, Ecuador, Colombia, Argentina, Hungary, Japan, India, Canada, Belgium, Namibia, Taiwan, Peru, Germany, Ethiopia, Russian Federation, Viet Nam, Singapore, Hong Kong, United States, Egypt, Madagascar, Sierra Leone, Ivory Coast, Bolivia, Thailand, Netherlands, China, Ireland, Slovakia, France, Nigeria, United Kingdom, Switzerland, Djibouti, Czech Republic, Zimbabwe, Suriname, Israel, Australia, Estonia, Indonesia, NA, No information, Not disclosed per LBMA, RCOI confirmed as per RMI., RCOI confirmed per RMI, recycled, Recycled etc., Recycled/Scrap, China, Malaysia, Canada, Chile, Ecuador, Guyana, Peru, Korea, Japan, Brazil, Argentina, Austria, Cambodia, Hungary, Kazakhstan, Luxembourg, Mongolia, Myanmar, Portugal, Belgium, Ethiopia, Germany, India, Namibia, Colombia, United States, Australia, Egypt, France, Ireland, Israel, Madagascar, Netherlands, Niger, Nigeria, Sierra Leone, Slovakia, Suriname, Switzerland, Thailand, United Kingdom, Zimbabwe, Djibouti, Singapore, Estonia, Indonesia, Taiwan, Russian Federation, Hong Kong, Viet Nam, 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 Unknown</t>
  </si>
  <si>
    <t>NO, No information, RMI, Unknown, Yes</t>
  </si>
  <si>
    <t>Compliant, COMPLIANT 09/22/2015, Compliant Conformant, Conformant, Conformant Smelter, Conformant smelter according to RMI, audit valid until 2022, Conformant Smelter according to RMI, last cycle in 24.08.2020 with a cycle of 1 Year,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RMI Conformant.
http://www.responsiblemineralsinitiative.org/gold-refiners-list/</t>
  </si>
  <si>
    <t>CID003383</t>
  </si>
  <si>
    <t>Sovereign Metals</t>
  </si>
  <si>
    <t>Ahmedab</t>
  </si>
  <si>
    <t>Gujarat</t>
  </si>
  <si>
    <t>Viral Lodhiya</t>
  </si>
  <si>
    <t>viral.lodhiya@sovereignmetals.in</t>
  </si>
  <si>
    <t>Democratic Republic of Congo, India, DRC, India, Due diligence results pending, India, Malawi, Argentina, Australia, Austria, Belgium, Brazil, Cambodia, Canada, Chile, China, Democratic Republic of Congo, Djibouti, Ecuador, Egypt, Estonia, Ethiopia, France, Germany, Guyana, Hungary, Indonesia, Ireland, Israel, Japan, Kazakhstan, Korea, Luxembourg, Madagascar, Malaysia, Mongolia, Myanmar, Namibia, Netherlands, Niger, Nigeria, Peru, Portugal, Russian Federation, Sierra Leone, Slovakia, Spain, Suriname, Switzerland, Taiwan, Thailand, United Kingdom, United States, Viet Nam, Zimbabwe, Recycled/Scrap, Liechtenstein, No known country of origin, Unknown, Unknown, but no reason to believe sources from covered countries</t>
  </si>
  <si>
    <t>CID003153</t>
  </si>
  <si>
    <t>State Research Institute Center for Physical Sciences and Technology</t>
  </si>
  <si>
    <t>Lithuania</t>
  </si>
  <si>
    <t>Savanoriu Ave. 231, LT-02300, Vilnius, Lithuania</t>
  </si>
  <si>
    <t>Vilnius</t>
  </si>
  <si>
    <t>0, Romas Ragauskas</t>
  </si>
  <si>
    <t>0, chieb@chi.it, chieb@chi.lt</t>
  </si>
  <si>
    <t>Democratic Republic of Congo, Lithuania, Recycled/Scrap, DRC, Lithuania, Recycled/Scrap, Lithuania, Lithuania, Recycled/Scrap, China, United States,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Viet Nam, Zimbabwe, No known country of origin, Unknown</t>
  </si>
  <si>
    <t>CID002567</t>
  </si>
  <si>
    <t>Sudan Gold Refinery</t>
  </si>
  <si>
    <t>Sudan</t>
  </si>
  <si>
    <t>Khartoum, Sudan</t>
  </si>
  <si>
    <t>Khartoum</t>
  </si>
  <si>
    <t>0, GoldSudan Gold Refinery, Unspecified</t>
  </si>
  <si>
    <t>GoldSudan Gold Refinery, info@minerals.gov.sd</t>
  </si>
  <si>
    <t>China, Democratic Republic of Congo, Sudan, China, Sudan, DRC, China, Sudan, No known country of origin, Sudan, China, Sudan, China, Argentina, Australia, Austria, Belgium, Brazil, Cambodia, Canada, Chile, Colombia, Democratic Republic of Congo, Djibouti, Ecuador, Egypt, Estonia, Ethiopia, France, Germany, Guyana, Hungary, India, Indonesia, Ireland, Israel, Japan, Kazakhstan, Korea, Luxembourg, Madagascar, Malaysia, Mongolia, Myanmar, Namibia, Netherlands, Niger, Nigeria, Peru, Philippines, Portugal, Russian Federation, Sierra Leone, Singapore, Slovakia, Spain, Suriname, Switzerland, Taiwan, Thailand, United Kingdom, United States, Viet Nam, Zimbabwe, Recycled/Scrap, Unknown</t>
  </si>
  <si>
    <t>CID002918</t>
  </si>
  <si>
    <t>SungEel HiMetal Co., Ltd.</t>
  </si>
  <si>
    <t>143-15(Bieungdo-dong) Gunsansandan-ro, Gunsan-si, Jeollabuk-do, Korea, 573-450</t>
  </si>
  <si>
    <t>Gunsan-si</t>
  </si>
  <si>
    <t>Jeollabuk-do</t>
  </si>
  <si>
    <t>0, Gold, JH Ahn, Neuchâtel, Son Hyun Tae (QC Manager)</t>
  </si>
  <si>
    <t>0, hyuntae3@sungeel.com, jhahn@sungeel.com, SungEel HiMetal Co., Ltd.</t>
  </si>
  <si>
    <t>Conformant-audited by RMI (members / partners)- valid until 03/10/2023, Conformant-Reaudit In Progress, no action need, No Action Required as company is RMAP conformant, SungEel HiMetal Co., Ltd., Supplier contacts: hyeju.lee@amkor.com; Infineon Customer Contact @infineon.com; lisa.bjornson@sanmina.com; yushin@harvatek.com, Validated by RMI until 03/10/2023</t>
  </si>
  <si>
    <t>0, KOREA, REPUBLIC OF, No information, R/S, RCOI confirmed per RMI, Recycled, Scrap, Recycled, Scrap | Recycled/Scrap, Recycled/Scrap | not available | Recycled, Scrap | Recycled, Scrap | Recycled, Scrap, not disclosed by supplier, Recyled/Scrap, Sourced from Mines/Recyale/Scrap | Recycled, Scrap,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</si>
  <si>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Switzerland, Thailand, United Kingdom, USA, Vietnam, Zimbabwe, recycled/scrap, Argentina, Australia, Austria, Belgium, Brazil, Cambodia, Canada, Chile, China, Colombia, Ecuador, Ethiopia, Germany, Guyana, Hungary, India, Japan, Kazakhstan, Korea, Luxembourg, Malaysia, Mongolia, Myanmar, Namibia, Peru, Portugal, Recycled/Scrap, CID002918, Mineral sourcing R/S, Mineral sourcing R/S based on RMAP-RMI's RCOI data, 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 No information, No known country of origin, No known country of origin | Recycled/Scrap | Recycled/Scrap Only | No known country of origin | R/S | Does not source from DRC or covered countries | Mineral sourcing R/S | R/S | Mineral sourcing R/S, R/S, R/S | Recycled/Scrap | Recycled/Scrap Only, RCOI confirmed per RMI, Recycled, Scrap, Recycled/Scrap Only, Recycled/Scrap Only | Myanmar, Cambodia, Malaysia, Kazakhstan, Portugal, Mongolia, Austria, Luxembourg, Guyana, Republic Of Korea, Brazil, Chile, Laos, Colombia, Ecuador, Argentina, Hungary, Japan, India, Canada, Belgium, Namibia, China, Peru, Germany, Ethiopia, Russia, Singap | Mineral sourcing R/S, Recycled/Scrap, Korea, Chile, China, Peru, Argentina, Canada, Germany, Japan, Austria, Belgium, Brazil, Cambodia, Colombia, Ecuador, Ethiopia, Guyana, Hungary, India, Kazakhstan, Luxembourg, Malaysia, Mongolia, Myanmar, Namibia, Portugal, Australia, Indonesia, Switzerland, United States, Egypt, Estonia, France, Ireland, Israel, Madagascar, Netherlands, Niger, Nigeria, Sierra Leone, Singapore, Slovakia, Spain, Thailand, United Kingdom, Zimbabwe, Djibouti, Recyled/Scrap,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t>
  </si>
  <si>
    <t>Compliant, Compliant Conformant, Conformant, Conformant Smelter, Conformant smelter according to RMI, audit valid until 2023, Conformant Smelter according to RMI, last cycle in 10.03.2020 with a cycle of 3 Years, RCOI confirmed per RMI, RMAP Conformant</t>
  </si>
  <si>
    <t>CID001808</t>
  </si>
  <si>
    <t>Suntain Co., Ltd.</t>
  </si>
  <si>
    <t>CID002314</t>
  </si>
  <si>
    <t>Umicore Precious Metals Thailand</t>
  </si>
  <si>
    <t>Dokmai, Pravet, Thailand</t>
  </si>
  <si>
    <t>Khwaeng Dok Mai</t>
  </si>
  <si>
    <t>Krung Thep Maha Nakhon</t>
  </si>
  <si>
    <t>Jeroen Dejonckheere, Saitama</t>
  </si>
  <si>
    <t>jeroen.dejonckheere@ap.umicore.com</t>
  </si>
  <si>
    <t>Conformant, Conformant-audited by RJC- valid until 01/29/2024, no action need, No Action Required as company is RMAP conformant, None, CFS Certified, Supplier contacts: hyeju.lee@amkor.com; Infineon Customer Contact @infineon.com,  lisa.bjornson@sanmina.com; yushin@harvatek.com, Validated by RJC until 06/21/2022</t>
  </si>
  <si>
    <t>0, No information, Not disclosed by supplier, Not disclosed per RJC, RCOI confirmed as per RMI., RCOI confirmed per RMI, Recycled or Scrap, Recycled or Scrap | not available | Not disclosed per LBMA | RCOI confirmed as per RMI but not disclosed by LBMA | Not disclosed by supplier | RCOI confirmed as per CFSI but not disclosed by RJC | not available | Recycled or Scrap | RCOI confirmed as per CFSI but not disclosed by LBMA | Not disclosed per LBMA | Not disclosed by supplier | RCOI confirmed as per RMI but not disclosed by RJC, Recycled or Scrap | RCOI confirmed as per RMI but not disclosed by RJC, See aggregated data below for RJC Sourcing, Sourced from Mines/Recyale/Scrap | Not disclosed by supplier, Unknown, but some recycled/scrap</t>
  </si>
  <si>
    <t>Andorra, Australia, Belgium, Brazil, Chile, China, Eritrea, India, Indonesia, Japan, Korea, Mexico, Peru, Recycled/Scrap, South Africa, Thailand, United States, Andorra, Australia, Belgium, Brazil, Chile, China, Eritrea, India, Indonesia, Japan, Mexico, Peru, Republic of Korea, South Africa, Thailand, USA, Recycled/Scrap, Belgium, Brazil, China, Indonesia, Peru, Thailand, USA, recycled/scrap, Mineral sourcing not disclosed by RJC, Mineral sourcing not disclosed per RJC, No information, Not disclosed per RJC, Not disclosed per RJC | Not disclosed per LBMA (recycled or scrap) | United States, China, Thailand, Peru | Not disclosed per LBMA | RCOI confirmed as per RMI but not disclosed by LBMA | Mineral sourcing not disclosed per RJC | Recycled/Scrap Only | RCOI confirmed as per CFSI but not disclosed by RJC | Not disclosed per RJC | Not disclosed per LBMA (recycled or scrap) | RCOI confirmed as per CFSI but not disclosed by LBMA | United States, China, Thailand, Peru | Not disclosed per LBMA | Known Countries from which LBMA Good Delivery List Refiners Source | Known Countries from which LBMA Good Delivery List Refiners Source - Mined  Material (Provided by LBMA) | R/S and Mined (material risk not disclosed by RJC) | RCOI confirmed as per RMI but not disclosed by RJC, R/S and Mined (material risk not disclosed by RJC), R/S and Mined (material risk not disclosed by RJC) | RCOI confirmed as per RMI but not disclosed by RJC | United States, China, Thailand, Peru, RCOI confirmed as per RMI., RCOI confirmed per RMI, Recycled/Scrap Only, Recycled/Scrap, Thailand, China, United States, Peru, Brazil, Indonesia, Belgium, Recycled/Scrap, Thailand, China, United States, Peru, Brazil, Indonesia, Belgium, Andorra, Japan, Chile, Korea, Mexico, not disclosed per LBMA (recycled or scrap), South Africa, Eritrea, India, Australia, United States, China, Thailand, Peru, Unknown, USA, China, Thailand, Peru, Belgium, Indonesia, Recycled/Scrap, Brazil, USA, China, Thailand, Peru, Belgium, Indonesia, Recycled/Scrap, Brazil | Mineral sourcing not disclosed by RJC</t>
  </si>
  <si>
    <t>Compliant, COMPLIANT 09/22/2015, Compliant Conformant, Conformant, Conformant Smelter, Conformant smelter according to RMI, audit valid until 2022, Conformant Smelter according to RMI, last cycle in 21.06.2019 with a cycle of 3 Years, RCOI confirmed per RMI, RCOI confirmed per RMI / RJC Sourcing, RMAP Conformant</t>
  </si>
  <si>
    <t>CID001980</t>
  </si>
  <si>
    <t>Umicore S.A. Business Unit Precious Metals Refining</t>
  </si>
  <si>
    <t>Hoboken, Belgium</t>
  </si>
  <si>
    <t>Antwerpen</t>
  </si>
  <si>
    <t>Gold, Jan Robbroeckx, Maurice Lee</t>
  </si>
  <si>
    <t>jan.robbroeckx@eu.umicore.com, Maurice_Lee@jjsea.com, Umicore Precious Metals Refining Hoboken</t>
  </si>
  <si>
    <t>Conformant-audited by LBMA RG- valid until 06/27/2023, NA, no action need, No Action Required as company is RMAP conformant, None, CFS Certified, RCOI validated by RMI Protocols , Supplier contacts: hyeju.lee@amkor.com; catherine.pelissonnier@st.com; (Phiron) nancy.joy@materion.com; wolf@pactech.de; Infineon Customer Contact @infineon.com;  jeffery.hung@awsc.com.tw; (Heimerle) harald.ziller@eu.umicore.com; os.materialdeclaration@jenoptik.com; nadine.jahn@aim-micro-systems.de; lisa.bjornson@sanmina.com; theodore.knudson@materion.com; yushin@harvatek.com; andreas.schwender@saxonia-tm.de; Emily_Hsieh@epistar.com; christian.frei@eu.umicore.com; t.gruber@ats.net; s.rossi@varioprint.ch; s.rossi@varioprint.ch; Ravikumar.Ramachandran@fci.com; shelly.ding@inari-amertron.com.cn, Umicore S.A. Business Unit Precious Metals Refining, Validated by LBMA RG until 04/30/2022</t>
  </si>
  <si>
    <t>0, BELGIUM, NA, No information, Not disclosed by supplier, Not disclosed per LBMA, RCOI confirmed as per RMI., RCOI confirmed per RMI, recycled, Recycled or scrap | recycled or scrap | Not disclosed per LBMA | Not disclosed | RCOI confirmed as per RMI but not disclosed by LBMA | Recycled or scrap | RCOI confirmed as per CFSI but not disclosed by LBMA | Reycled | Not disclosed per LBMA | recycled or scrap | Not disclosed | RCOI confirmed as per CFSI | Recycled, Scrap | Recycled, Scrap, Recycled, Scrap, Recycled, Scrap | RCOI confirmed as per RMI but not disclosed by LBMA | recycled, Scrap and not disclosed by supplier, Scrap and not disclosed by supplier | Sourced from Mines/Recyale/Scrap | RCOI confirmed per RMI,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</si>
  <si>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Mongolia, Myanmar, Namibia, Peru, Portugal, Recycled/Scrap, Taiwan, BELGIUM, Belgium, Bolivia, Canada, China, Japan, recycled/scrap, Canada, China, Japan, Bolivia, Canada, China, Japan, Bolivia, Belgium, Recycled/Scrap, Canada, China, Japan, Bolivia, Belgium, Recycled/Scrap; Japan, Canada, China, Belgium, Chile, Korea, Argentina, Austria, Brazil, Cambodia, Colombia, Ecuador, Ethiopia, Germany, Guyana, Hungary, India, Kazakhstan, Luxembourg, Malaysia, Mongolia, Myanmar, Namibia, Peru, Portugal, Taiwan, Bolivia (Plurinational State of), Thailand, Andorra, not disclosed per LBMA (recycled or scrap), Mexico, United States, Eritrea, Australia, Egypt, Estonia, France, Indonesia, Ireland, Israel, Madagascar, Netherlands, Niger, Nigeria, Sierra Leone, Singapore, Slovakia, Spain, Suriname, Switzerland, United Kingdom, Zimbabwe, Djibouti, Russian Federation, Viet Nam, Armenia, Azerbaijan, Bahamas, Barbados, Belarus, Benin,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Canada, Japan, China, Bolivia, CID001980,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Recycled | Hoboken, Belgium, LBMA Good Delivery Sourcing and RJC Sourcing not disclosed, Scrap &amp;amp; Recycled, Mineral R/S and mining from Japan, Canada, China and Belgium, Mineral R/S and mining from Japan, Canada, China and Belgium | Canada, China, Japan, Bolivia, Belgium, Recycled/Scrap | RCOI confirmed per RMI, No information, Not disclosed per LBMA, Not disclosed per LBMA | Not disclosed per LBMA (recycled or scrap) | Canada, Japan, China, Bolivia | Not disclosed | RCOI confirmed as per RMI but not disclosed by LBMA | Merrimack | Excludes Covered Countries | Not disclosed per LBMA | Not disclosed per LBMA (recycled or scrap) | RCOI confirmed as per CFSI but not disclosed by LBMA | Canada, Japan, China, Bolivia | Recycled | Not disclosed | Known Countries from which LBMA Good Delivery List Refiners Source - Mi | Known Countries from which LBMA Good Delivery List Refiners Source - Mined  Material (Provided by LBMA) | Hoboken, Belgium | Mineral sourcing R/S, RCOI confirmed as per RMI., RCOI confirmed per RMI, Recycled, Recycled/Scrap, Japan, Canada, China, Belgium, Recycled/Scrap, Japan, Canada, China, Belgium, Chile, Korea, Argentina, Austria, Brazil, Cambodia, Colombia, Ecuador, Ethiopia, Germany, Guyana, Hungary, India, Kazakhstan, Luxembourg, Malaysia, Mongolia, Myanmar, Namibia, Peru, Portugal, Taiwan, Bolivia (Plurinational State of), Thailand, Andorra, not disclosed per LBMA (recycled or scrap), Mexico, United States, Eritrea, Australia, Egypt, Estonia, France, Indonesia, Ireland, Israel, Madagascar, Netherlands, Niger, Nigeria, Sierra Leone, Singapore, Slovakia, Spain, Suriname, Switzerland, United Kingdom, Zimbabwe, Djibouti, Russian Federation, Viet Nam, Armenia, Azerbaijan, Bahamas, Barbados, Belarus, Benin, Bosnia and Herzegovina, Botswana, Bulgaria, Burkina Faso, Cameroon, Croatia, Cyprus, Denmark, Dominica, Dominican Republic, El Salvador,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Unknown</t>
  </si>
  <si>
    <t>Compliant, COMPLIANT 09/22/2015, Compliant Conformant, Conformant, Conformant Smelter, Conformant smelter according to RMI, audit valid until 2022, Conformant Smelter according to RMI, last cycle in 30.04.2020 with a cycle of 1 Year, PI &amp;amp; SC,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t>
  </si>
  <si>
    <t>CID002492</t>
  </si>
  <si>
    <t>Hengyang King Xing Lifeng New Materials Co., Ltd.</t>
  </si>
  <si>
    <t>NO.1 Songjia Village, Zhuhui District, Hengyang City, Hunan Province, China</t>
  </si>
  <si>
    <t>Haryana, Jiang Ying, Mr. Chen Yi, NA, XU LILI</t>
  </si>
  <si>
    <t>3377815@qq.com, dept1@cniecjx.com.cn, NA</t>
  </si>
  <si>
    <t>-, Conformant, Conformant-audited by RMI (members / partners)- valid until 05/24/2023, NA, no action need, No Action Required as company is RMAP conformant, None, CFS Certified, Supplier contacts: Infineon Customer Contact @infineon.com; yushin@harvatek.com, Validated by RMI until 06/03/2022</t>
  </si>
  <si>
    <t>0, from other mines in china, KOREA, REPUBLIC OF | Some are recycled, scrap, cover countries or DRC sourced but not all. | RCOI confirmed as per RMI | Some are recycled or scrap sourced but not all. | not available | KOREA, REPUBLIC OF | RCOI confirmed as per CFSI | Some are recycled or scrap sourced but not all. | Some are recycled, scrap, cover countries or DRC sourced but not all. | Not disclosed by supplier | Not disclosed by supplier, LR, HR, CC, DRC, NA, No information, Not disclosed by supplier, Not disclosed by supplier | RCOI confirmed as per RMI, Not disclosed by supplier | Sourced from Mines/Recyale/Scrap | RCOI confirmed per RMI, RCOI confirmed per RMI, Some are high-risk countries, covered countries, and DRC sourced but not all., Some are sourced from covered countries but not all. , Some are sourced from covered countries or DRC, but not all, Some are sourced from covered countries or DRC. | RCOI confirmed per RMI, Unknown, but some recycled/scrap</t>
  </si>
  <si>
    <t>Argentina, Austria, Belgium, Brazil, Cambodia, Canada, Chile, China, Colombia, Ecuador, Ethiopia, Germany, Guyana, Hungary, India, Indonesia, Japan, Kazakhstan, Korea, Luxembourg, Malaysia, Mongolia, Myanmar, Namibia, Peru, Portugal, Recycled/Scrap, Taiwan, China, DRC, Burundi, Rwanda,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Includes CAHRA, Includes Covered Countries, Includes Covered Countries | L1, R/S | KOREA, REPUBLIC OF | Myanmar, Cambodia, Malaysia, Kazakhstan, Portugal, Austria, Mongolia, Luxembourg, Guyana, Korea, Republic of, Brazil, Chile, Laos, Ecuador, Colombia, Argentina, Hungary, Japan, India, Canada, Belgium, Namibia, Taiwan, Peru, Germany, Ethiopia, Russian Fede | RCOI confirmed as per CFSI | L1, L3, DRC, R/S | RCOI confirmed as per RMI | Mineral sourcing L1, R/S | Excludes Covered Countries | Mineral sourcing L1,R/S, Not disclosed by supplier | L1, R/S | Includes Covered Countries | KOREA, REPUBLIC OF | RCOI confirmed as per CFSI | Myanmar, Cambodia, Malaysia, Kazakhstan, Portugal, Austria, Mongolia, Luxembourg, Guyana, Korea, Republic of, Brazil, Chile, Laos, Ecuador, Colombia, Argentina, Hunga | the DRC or an adjoining country(covered countries) | Myanmar, Cambodia, Malaysia, Kazakhstan, Portugal, Mongolia, Austria, Luxembourg, Brazil, Korea, Republic of, Guyana, Chile, Laos, Ecuador, Colombia, Argentina, Hungary, Japan, India, Canada, Belgium, Namibia, Taiwan, Peru, Germany, Ethiopia, Russian Fede | NO.1 Songjia Village, Zhuhui District, Hengyang City, Hunan Province, China | LR, HR, CC | Mineral sourcing L1, not disclosed by RMI | L1, Includes Covered Countries and CAHRA, Includes Covered Countries and CAHRA | Mineral sourcing LR, HR, CC, DRC, based on RMAP-RMI's RCOI data | Myanmar, Cambodia, Malaysia, Kazakhstan, Portugal, Austria, Mongolia, Luxembourg, Guyana, Republic Of Korea, Brazil, Chile, Laos, Ecuador, Colombia, Argentina, Hungary, Japan, India, Canada, Belgium, Namibia, China, Peru, Germany, Ethiopia, Russia, Singap | RCOI confirmed per RMI, LR, HR, CC, LR, HR, CC | L1 | RCOI confirmed as per RMI | Myanmar, Cambodia, Malaysia, Kazakhstan, Portugal, Austria, Mongolia, Luxembourg, Brazil, Korea, Republic of, Guyana, Chile, Laos, Ecuador, Colombia, Argentina, Hungary, Japan, India, Canada, Belgium, Namibia, Taiwan, Peru, Germany, Ethiopia, Russian Fede | the DRC or an adjoining country(covered countries) | Includes Covered Countries | NO.1 Songjia Village, Zhuhui District, Hengyang City, Hunan Province, China, Mineral sourcing LR, HR, CC, DRC based on RMAP-RMI's RCOI data, Mineral sourcing LR, HR, CC, DRC, based on RMAP-RMI's RCOI data , Myanmar, Cambodia, Malaysia, Kazakhstan, Portugal, Austria, Mongolia, Luxembourg, Guyana, Brazil, Korea, Republic of, Chile, Laos, Colombia, Ecuador, Argentina, Hungary, Japan, India, Canada, Belgium, Namibia, Taiwan, Peru, Germany, Ethiopia, Russian Federation, Viet Nam, Singapore, United States, Egypt, Sierra Leone, Madagascar, Ivory Coast, Thailand, Bolivia, Netherlands, Ireland, China, Slovakia, France, Nigeria, United Kingdom, Switzerland, Spain, Djibouti, Czech Republic, Zimbabwe, Suriname, Israel, Australia, Indonesia, Estonia, 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 Myanmar, Cambodia, Malaysia, Kazakhstan, Portugal, Mongolia, Austria, Luxembourg, Brazil, Guyana, Korea, Republic of,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Estonia, Indonesia, Myanmar, Cambodia, Malaysia, Kazakhstan, Portugal, Mongolia, Austria, Luxembourg, Guyana, Korea, Republic of, Brazil, Chile, Laos, Colombia, Ecuador,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Estonia, Indonesia, Myanmar, Cambodia, Malaysia, Kazakhstan, Portugal, Mongolia, Austria, Luxembourg, Guyana, Korea, Republic of, Brazil, Chile, Laos, Ecuador, Colombia, Argentina, Hungary, Japan, India, Canada, Belgium, Namibia, Taiwan, Peru, Germany, Ethiopia, Russian Federation, Singapore, Viet Nam, United States, Egypt, Madagascar, Sierra Leone, Ivory Coast, Bolivia, Thailand, Netherlands, China, Ireland, Slovakia, France, Nigeria, United Kingdom, Switzerland, Spain, Djibouti, Czech Republic, Zimbabwe, Suriname, Israel, Australia, Indonesia, Estonia, NA, No information, RCOI confirmed per RMI, Recycled/Scrap, China, Canada, Japan, Brazil, India, Guyana, Malaysia, Ethiopia, Namibia, Germany, Argentina, Austria, Myanmar, Colombia, Ecuador, Mongolia, Portugal, Korea, Cambodia, Chile, Hungary, Kazakhstan, Luxembourg, Peru, Belgium, Indonesia, United States, Australia, Niger, Nigeria, Sierra Leone, Thailand, Zimbabwe, France, Madagascar, Spain, Singapore, Egypt, Estonia, Ireland, Israel, Netherlands, Slovakia, Suriname, Switzerland, United Kingdom, Djibouti, Taiwan, Russian Federation, Viet Nam, Some are high-risk countries, covered countries, and DRC sourced but not all., Some are sourced from covered countries or DRC, but not all, Unspecified covered country,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t>
  </si>
  <si>
    <t>Compliant, COMPLIANT 09/22/2015, Compliant Conformant, Conformant, Conformant Smelter, Conformant smelter according to RMI, audit valid until 2022, Conformant Smelter according to RMI, last cycle in 03.06.2020 with a cycle of 1 Year, Listed on CFSI Conflict Free Smelter List, Part or all material comes from Covered Country, RCOI confirmed as per RMAP, RCOI confirmed per RMI, RMAP Conformant, RMAP Conformant Smelter, RMAP Conformant Smelter / RCOI confirmed per RMI</t>
  </si>
  <si>
    <t>Yifeng</t>
  </si>
  <si>
    <t>CID000041</t>
  </si>
  <si>
    <t>Toshkent</t>
  </si>
  <si>
    <t>CID000180</t>
  </si>
  <si>
    <t>CID000077</t>
  </si>
  <si>
    <t>Mendrisio, Ticino, Switzerland</t>
  </si>
  <si>
    <t>Argor, Christoph Wild, Christoph Wild (Co-CEO), Christoph Wild, Simone Frigerio, Gold, Mr. Simmone Frigerio, Simone Frigerio, Simone Frigerio, Christoph Wild (Co-CEO)</t>
  </si>
  <si>
    <t>Argor-Heraeus S.A., christoph.wild@argor.com, christoph.wild@argor.com, simone.frigerio@argor.com, simmone.frigerio@heraeus.com, simone.frigerio@argor.com, simone.frigerio@argor.com; christoph.wild@argor.com</t>
  </si>
  <si>
    <t>Argor-Heraeus S.A., Conformant-audited by LBMA RG / RJC- valid until 07/28/2023, N/A, no action need, No Action Required as company is RMAP conformant, None, CFS Certified, RMAP Compliant Smelter, Supplier contacts: hyeju.lee@amkor.com; catherine.pelissonnier@st.com; (Phiron) nancy.joy@materion.com; hikhor@carsem.com; Infineon Customer Contact @infineon.com; os.materialdeclaration@jenoptik.com; nutthaphon@focuz-mfg.com; nadine.jahn@aim-micro-systems.de; lisa.bjornson@sanmina.com; theodore.knudson@materion.com; yushin@harvatek.com; kevinlin@jentech.com.tw; Emily_Hsieh@epistar.com; kalentang@apt-hk.com; t.gruber@ats.net; s.rossi@varioprint.ch; Ravikumar.Ramachandran@fci.com; nalinnipay@lpn.hanabk.th.com; shelly.ding@inari-amertron.com.cn; waikhee.seetho@heraeus.com, Validated by LBMA RG / RJC until 06/27/2023</t>
  </si>
  <si>
    <t>0, Mendrisio, Ticino, Argor-Heraeus SA, and recycled/scrap, No information, Not disclosed per RJC/LBMA, POLAND | From Mendrisio mine + recycled + scrap | Argor-Heraeus SA | Various mines + recycled + scrap | Not disclosed per LBMA | Not Disclosed per LBMA | Mendrisio | RCOI confirmed as per RMI but not disclosed by LBMA | Not disclosed by supplier | From Mendrisio mine + recycled + scrap | POLAND | RCOI confirmed as per CFSI but not disclosed by LBMA | recycled or scrap | Argor-Heraeus SA | Not disclosed per LBMA | Recycled and scrap sourced | Various mines + recycled + scrap | Not Disclosed per LBMA | recycled or scrap | Recycled | Recycled, Scrap and mines | Argor-Heraeus S.A. | Recycled and scrap sourced, RCOI confirmed as per RMI., RCOI confirmed per RMI, RCOI confirmed per RMI | Recycled or scrap, and mining not disclosed by supplier | Ticino and Recycled or scrap. | Recycled and scrap sourced | Recycled, Recycled, Recycled and scrap sourced, recycled or scrap, recycled or scrap | RCOI confirmed as per RMI but not disclosed by LBMA, Recycled or scrap, and mining not disclosed by supplier, SWITZERLAND, Ticino and Recycled/Scrap, Undisclosed mine, Recycled or scrap.</t>
  </si>
  <si>
    <t>Andorra, Argentina, Australia, Brazil, Burkina Faso, Canada, Chile, China, Ghana, Hong Kong, Indonesia, Japan, Mexico, Mongolia, Panama, Peru, Philippines, Poland, Recycled/Scrap, Singapore, South Africa, Sweden, Switzerland, United Kingdom, United States, Argentina, Burkina Faso, Canada, Chile, China, Hong Kong, Indonesia, Mongolia, Mongolia, Philippines, Philippines, Singapore, South Africa, Sweden, Switzerland, recycled/scrap, Argentina, Singapore, Hong Kong, China, Philippines, South Africa, Chile, Switzerland, Indonesia, Argentina, Singapore, Hong Kong, Philippines, China, South Africa, Chile, Switzerland, Indonesia, CID000077, confidential, Known Countries from which LBMA Good Delivery List Refiners Source - Mined  Material (Provided by LBMA), Known Countries from which LBMA Good Delivery List Refiners Source - Mined  Material (Provided by LBMA) | RCOI confirmed as per RMI but not disclosed by LBMA | Argentina, Singapore, Hong Kong, Philippines, China, South Africa, Chile, Switzerland, Indonesia | Mendrisio, Ticino, Switzerland, Mine located in Sweden. Recycled or scrap, Mineral R/S and mining from Switzerland, China, Indonesia, South Africa, Argentina, Chile, Philippines, Singapore, Sweden, Canada, Mongolia, Hong Kong, No information, Not Disclosed per LBMA | Not disclosed per LBMA | POLAND | Not disclosed per LBMA (Switzerland) | Argentina, Singapore, Hong Kong, Philippines, China, South Africa, Chile, Switzerland, Indonesia | SWITZERLAND | RCOI Confirmed as per CSFI | Switzerland | RCOI confirmed as per RMI but not disclosed by LBMA | Mineral sourcing not disclosed per LBMA, Not disclosed by supplier | confidential | Not Disclosed per LBMA | Not disclosed per LBMA | No | POLAND | Not disclosed per LBMA (Switzerland) | RCOI confirmed as per CFSI but not disclosed by LBMA | recycled or scrap | Argentina, Singapore, Hong Kong, Philippines, China, South Africa, Chile, Swi | recycled or scrap | Known Countries from which LBMA Good Delivery List Refiners Source - Mined  Material (Provided by LBMA) | Argentina, Singapore, Hong Kong, China, Philippines, South Africa, Chile, Switzerland, Indonesia | Mendrisio, Ticino, Switzerland | RCOI confirmed as per RMI | Recycled or scrap (Not 100%) | Various mines + recycled + scrap | Yes, Not disclosed per RJC/LBMA, RCOI confirmed as per RMI., RCOI confirmed per RMI, RCOI confirmed per RMI | Mineral R/S and mining from Switzerland, China, Indonesia, South Africa, Argentina, Chile, Philippines, Singapore, Sweden, Canada, Mongolia, Hong Kong | SWITZERLAND | Recycled and scrap sourced | Confidential | Recycled etc., Recycled, Recycled and scrap sourced, Recycled etc., Recycled/Scrap, Switzerland, Argentina, Singapore, China, Philippines, South Africa, Chile, Indonesia, Canada, Philippines, Mongolia, Sweden, Recycled/Scrap, Switzerland, China, Indonesia, South Africa, Argentina, Chile, Philippines, Singapore, Sweden, Canada, Mongolia, Hong Kong, Recycled/Scrap, Switzerland, China, Indonesia, South Africa, Argentina, Chile, Philippines, Singapore, Sweden, Canada, Mongolia, Hong Kong, Andorra, Japan, Australia, United States, Mexico, United Kingdom, Burkina Faso, Brazil, Poland, Panama, Ghana, Peru, Tanzania, Korea, Turkey, Taiwan, SWITZERLAND, Tanzania, Andorra, Argentina, Australia, Brazil, Burkina Faso, Canada, Chile, China, Ghana, Hong Kong, Indonesia, Japan, Mexico, Mongolia, Panama, Peru, Philippines, Poland, Republic of Korea, Singapore, South Africa, Sweden, Switzerland, Taiwan, Turkey, USA, United Kingdom, Recycled/Scrap, the DRC or an adjoining country(covered countries), Unknown</t>
  </si>
  <si>
    <t>Compliant, COMPLIANT 09/22/2015, Compliant Conformant, Conformant, Conformant Smelter, Conformant smelter according to RMI, audit valid until 2023, Conformant Smelter according to RMI, last cycle in 27.06.2020 with a cycle of 3 Years, PI &amp;amp; SC,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This smelter is RMI Conformant.
http://www.responsiblemineralsinitiative.org/gold-refiners-list/</t>
  </si>
  <si>
    <t>CID000924</t>
  </si>
  <si>
    <t>Johnson Matthey Limited</t>
  </si>
  <si>
    <t>Asahi Refining Canada Ltd.</t>
  </si>
  <si>
    <t>Brampton</t>
  </si>
  <si>
    <t>CID002850</t>
  </si>
  <si>
    <t>AU Traders and Refiners</t>
  </si>
  <si>
    <t>SA Jewel Centre - Suite 417, 225 Main Street, Johannesburg, 2001</t>
  </si>
  <si>
    <t>Johannesburg</t>
  </si>
  <si>
    <t>William Botes, William Botes (General Manager)</t>
  </si>
  <si>
    <t>william@autraders.co.za</t>
  </si>
  <si>
    <t>due diligence needed, No Action Required as company is RMAP conformant, Validated by RJC until 05/28/2021</t>
  </si>
  <si>
    <t>0, Not disclosed by supplier, Not disclosed by supplier | RCOI confirmed as per RMI and disclosed by RJC, Not disclosed per RJC, RCOI confirmed as per RMI but not disclosed by RJC | RCOI confirmed as per CFSI but not disclosed by RJC | Not disclosed per RJC | Not disclosed by supplier | Not disclosed per RJC | Not disclosed by supplier | RCOI confirmed as per RMI and disclosed by RJC, RCOI confirmed as per RMI., RCOI confirmed per RMI, Unknown, but some recycled/scrap</t>
  </si>
  <si>
    <t>Democratic Republic of Congo, Korea, Recycled/Scrap, South Africa, DRC, Republic of Korea, South Africa, Recycled/Scrap, Excludes Covered Countries, Mineral sourcing not disclosed per RJC, No known country of origin, No known country of origin | RCOI confirmed as per RMI but not disclosed by RJC | Some are recycled or scrap sourced but not all. | Excludes Covered Countries | RCOI confirmed as per CFSI but not disclosed by RJC | No known country of origin | Not disclosed per RJC | Excludes Covered Countries | Does not source from DRC or covered countries | Some are recycled or scrap sourced but not all. | Not disclosed per RJC | R/S (RJC RCOI data) | Recycled/Scrap Only | RCOI confirmed as per RMI and disclosed by RJC, Not disclosed per RJC, R/S (RJC RCOI data) | RCOI confirmed as per RMI and disclosed by RJC | Recycled/Scrap Only, R/S and Mined (material risk not disclosed by RJC), RCOI confirmed as per RMI., RCOI confirmed per RMI, Recycled/Scrap, Republic Of Korea, South Africa, Recycled/Scrap, South Africa, Korea, Recycled/Scrap, South Africa, Korea, Canada, Chile, Argentina, Austria, Belgium, Brazil, Cambodia, Colombia, Democratic Republic of Congo, Ecuador, Ethiopia, Guyana, Hungary, India, Japan, Kazakhstan, Luxembourg, Malaysia, Mongolia, Myanmar, Namibia, Peru, Portugal, Taiwan, Sierra Leone, Australia, Burundi, China, Djibouti, Egypt, Estonia, France, Germany, Indonesia, Ireland, Israel, Madagascar, Netherlands, Niger, Nigeria, Russian Federation, Rwanda, Singapore, Slovakia, Spain, Suriname, Switzerland, Thailand, United Kingdom, United States, Viet Nam, Zimbabwe, Republic of Korea, South Africa, recycled/scrap, Unknown</t>
  </si>
  <si>
    <t>0, Compliant, Compliant Conformant, Conformant, Conformant Smelter, Conformant Smelter according to RMI, last cycle in 28.05.2018 with a cycle of 3 Years, Non Conformant, RCOI confirmed per RMI, RMAP Conformant, this smelter is only used in product WE-XTAL</t>
  </si>
  <si>
    <t>CID003461</t>
  </si>
  <si>
    <t>Augmont Enterprises Private Limited</t>
  </si>
  <si>
    <t>Bullion House, 115 Tambakata Lane, opp. Dagina Bazar, Pydhonie, Mumbai - 400003</t>
  </si>
  <si>
    <t>Sunny Parekh</t>
  </si>
  <si>
    <t>sunny.parekh@augmont.in</t>
  </si>
  <si>
    <t>Wisconsin</t>
  </si>
  <si>
    <t>CID002863</t>
  </si>
  <si>
    <t>Bangalore Refinery Pvt Ltd</t>
  </si>
  <si>
    <t>Bangalore Refinery</t>
  </si>
  <si>
    <t>#6/1, 1st Cross, 1st Stage Peenya,KIADB Main Road, Next to RTO Driving Test Track, 560 058</t>
  </si>
  <si>
    <t>Bangalore</t>
  </si>
  <si>
    <t>Karnataka</t>
  </si>
  <si>
    <t>Gold, Jakarta Raya, Nikhil S Dhruv, Nikhil S Dhruv (Director)</t>
  </si>
  <si>
    <t>Bangalore Refinery Pvt Ltd, nikhil@bangalorerefinery.com</t>
  </si>
  <si>
    <t>Bangalore Refinery, Conformant- Reaudit In Progress, Conformant-Reaudit In Progress, no action need, No Action Required as company is RMAP conformant, None; conformant to RMAP protocol, Supplier contacts: hyeju.lee@amkor.com; Infineon Customer Contact @infineon.com;  lisa.bjornson@sanmina.com; yushin@harvatek.com; t.gruber@ats.net, Validated by RMI until 05/20/2021</t>
  </si>
  <si>
    <t>0, BELGIUM | not available | Some are recycled or scrap sourced but not all, INDIA, LR, R/S, No information, not available, not available | Some are recycled or scrap sourced but not all, RCOI confirmed per RMI, Recycled and mining not disclosed by supplier, Recycled and mining not disclosed by supplier | Sourced from Mines/Recyale/Scrap, Recycled and scrap, and mines not disclosed by supplier, Some are recycled or scrap sourced but not all, Some are recycled or scrap sourced but not all. , Some are recyled/scrap sourced but not all., Unknown, but some recycled/scrap</t>
  </si>
  <si>
    <t>Argentina, Australia, Austria, Belgium, Bolivia (Plurinational State of), Brazil, Canada, China, Ethiopia, Germany, Ghana, Guinea, Guyana, India, Indonesia, Japan, Malaysia, Mozambique, Namibia, Niger, Nigeria, Peru, Philippines, Recycled/Scrap, Zimbabwe, Argentina, Australia, Austria, Belgium, Bolivia, Brazil, Canada, Chile, China, Ethiopia, Germany, Ghana, Guinea, Guyana, India, Indonesia, Japan, Malaysia, Mexico, Mongolia, Mozambique, Namibia, Niger, Nigeria, Peru, Philippines, Portugal, Russia, Sierra Leone, Spain, Thailand, USA, Zimbabwe, Recycled/Scrap, BELGIUM | No known country of origin | BELGIUM | No known country of origin | Does not source from DRC or covered countries | LR, R/S | Excludes Covered Countries | Some are recycled or scrap sourced but not all, Belgium, Bolivia, Brazil, Canada, China, Germany, India, Japan, Malaysia, Peru, Philippines, recycled/scrap, Belgium, Canada, Philippines, Japan, China, Brazil, Malaysia, Bolivia, Peru, Germany, India, Recycled/Scrap, CID002863, Excludes Covered Countries, Excludes Covered Countries and CAHRA, Excludes Covered Countries and CAHRA | Mineral sourcing R/S, LR based on RMAP-RMI's RCOI data with mining from India, Germany, Belgium, Brazil, China, Canada, Japan, Malaysia, Peru, Philippines | Belgium, Canada, Philippines, Japan, China, Brazil, Malaysia, Bolivia, Peru, Germany, India, Recycled/Scrap, LR, R/S, LR, R/S | Some are recycled or scrap sourced but not all | Excludes Covered Countries, Mineral sourcing LR,R/S based on RMAP-RMI's RCOI data, Mineral sourcing R/S, LR based on RMAP-RMI's RCOI data with mining from India, Germany, Belgium, Brazil, China, Canada, Japan, Malaysia, Peru, Philippines, No information, No known country of origin, RCOI confirmed per RMI, Recycled/Scrap, India, Germany, Belgium, Brazil, China, Canada, Japan, Malaysia, Peru, Philippines, Recycled/Scrap, India, Germany, Belgium, Brazil, China, Canada, Japan, Malaysia, Peru, Philippines, Bolivia (Plurinational State of), Australia, Ethiopia, Ghana, Guinea, Guyana, Mozambique, Namibia, Niger, Nigeria, Zimbabwe, Argentina, Austria, Indonesia, Mexico, Mongolia, Portugal, Russian Federation, Sierra Leone, Spain, Thailand, United States, Chile, Some are recycled or scrap sourced but not all, Some are recycled or scrap sourced but not all. , Some are recyled/scrap sourced but not all.</t>
  </si>
  <si>
    <t>Compliant, Compliant Conformant, Conformant, Conformant Smelter, Conformant smelter according to RMI, audit valid until 2020, reassessment in progress, Conformant Smelter according to RMI, last cycle in 20.05.2019 with a cycle of 1 Year, RCOI confirmed per RMI, RMAP Conformant</t>
  </si>
  <si>
    <t>CID000185</t>
  </si>
  <si>
    <t>Xstrata</t>
  </si>
  <si>
    <t>CCR Refinery - Glencore Canada Corporation</t>
  </si>
  <si>
    <t>Montréal</t>
  </si>
  <si>
    <t>Quebec</t>
  </si>
  <si>
    <t>CID003583</t>
  </si>
  <si>
    <t>Yancheng Jinye New Material Technology Co., Ltd.</t>
  </si>
  <si>
    <t>No.3 Weier Road, Funing Aoyang Industrial Park, Yecheng City, Jiangsu Province, China</t>
  </si>
  <si>
    <t>Yecheng City</t>
  </si>
  <si>
    <t>Rongfeng Li</t>
  </si>
  <si>
    <t>#N/A, lyfyuxin@foxmail.com</t>
  </si>
  <si>
    <t>Conformant-audited by RMI (members / partners)- valid until 06/13/2023</t>
  </si>
  <si>
    <t>Due diligence results pending, Excludes Covered Countries and CAHRA, Excludes Covered Countries and CAHRA | Mineral sourcing LR based on RMAP-RMI's RCOI data, Mineral sourcing LR based on RMAP-RMI's RCOI data, No information, No known country of origin, Unknown</t>
  </si>
  <si>
    <t>CID002307</t>
  </si>
  <si>
    <t>Yichun Jin Yang Rare Metal Co., Ltd.</t>
  </si>
  <si>
    <t>Qingshuiqiao, Lianggang Induatrial Park</t>
  </si>
  <si>
    <t>Includes Covered Countries, Unknown</t>
  </si>
  <si>
    <t>CID003324</t>
  </si>
  <si>
    <t>QG Refining, LLC</t>
  </si>
  <si>
    <t>500 Quality Blvd, Fairfield, OH 45014</t>
  </si>
  <si>
    <t>Fairfield</t>
  </si>
  <si>
    <t>Mike Menz</t>
  </si>
  <si>
    <t>menzm@qgold.com</t>
  </si>
  <si>
    <t>Angola, Burundi, Central African Republic, Rwanda, South Sudan, Tanzania, Uganda, Zambia, Argentina, Australia, Austria, Belgium, Bolivia, Brazil, Cambodia, Canada, Chile, China, Colombia, Czech Republic, Djibouti, Ecuador, Egypt, Estonia, Ethiopia, France, Germany, Guyana, Hungary, India, Indonesia, Ireland, Israel, Italy, Ivory Coast, Japan, Kazakhstan, Laos, Luxembourg, Madagascar, Malaysia, Mongolia, Myanmar, Namibia, Netherlands, Nigeria, Peru, Portugal, Republic of Korea, Russia, Sierra Leone, Singapore, Slovakia, Spain, Suriname, Switzerland, Thailand, United Kingdom, USA, Vietnam, Zimbabwe, Argentina, Australia, Austria, Belgium, Brazil, Cambodia, Canada, Chile, China, Colombia, Djibouti, Ecuador, Egypt, Estonia, Guyana, Hungary, India, Japan, Kazakhstan, Korea, Luxembourg, Malaysia, Mongolia, Myanmar, Portugal, Switzerland, United States, 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 DRC, Angola, Burundi, Central African Republic, Rwanda, South Sudan, Tanzania, Uganda, Zambia, Argentina, Australia, Austria, Belgium, Bolivia, Brazil, Cambodia, Canada, Chile, China, Colombia, Djibouti, Ecuador, Egypt, Estonia, Ethiopia, France, Germany, Guyana, Hungary, India, Indonesia, Ireland, Israel, Italy, Ivory Coast, Japan, Kazakhstan, Laos, Luxembourg, Madagascar, Malaysia, Mongolia, Myanmar, Namibia, Netherlands, Niger, Nigeria, Peru, Portugal, Republic of Korea, Russia, Sierra Leone, Singapore, Slovakia, Spain, Sudan, Suriname, Switzerland, Thailand, USA, United Kingdom, Vietnam, Zimbabwe, No known country of origin, 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 United States, Canada, Argentina, Austria, Belgium, Brazil, Cambodia, Chile, Colombia, Ecuador, Guyana, Hungary, India, Japan, Kazakhstan, Korea, Luxembourg, Malaysia, Mongolia, Myanmar, Portugal, Australia, Switzerland, China, Djibouti, Egypt, Estonia, Ethiopia, France, Germany, Indonesia, Ireland, Israel, Madagascar, Namibia, Netherlands, Niger, Nigeria, Peru, Sierra Leone, Singapore, Slovakia, Spain, Thailand, United Kingdom, Zimbabwe, Italy, Suriname, Angola, Burundi, Central African Republic, Rwanda, South Sudan, Sudan, Tanzania, Uganda, Zambia, Eritrea, Recycled/Scrap, Mozambique, Bolivia (Plurinational State of), Viet Nam, Unknown</t>
  </si>
  <si>
    <t>Hohhot</t>
  </si>
  <si>
    <t>CID001534</t>
  </si>
  <si>
    <t>Ottawa, Canada</t>
  </si>
  <si>
    <t>Akita, Amanda Bartleman, Gold, Ms. Amanda Bartleman, Royal Canadian Mint</t>
  </si>
  <si>
    <t>bartleman@mint.ca, http://www.mint.ca/, Royal Canadian Mint</t>
  </si>
  <si>
    <t>Conformant-audited by LBMA RG- valid until 05/20/2023, Conformant-audited by LBMA RG- valid until 09/13/2022, NA, no action need, No Action Required as company is RMAP conformant, None, CFS Certified, RCOI validated by RMI Protocols , Royal Canadian Mint, Supplier contacts: hyeju.lee@amkor.com; catherine.pelissonnier@st.com; (Phiron) nancy.joy@materion.com; Infineon Customer Contact @infineon.com; os.materialdeclaration@jenoptik.com; nutthaphon@focuz-mfg.com; julieli@chipbond.com.tw; nadine.jahn@aim-micro-systems.de; lisa.bjornson@sanmina.com; theodore.knudson@materion.com; yushin@harvatek.com; Emily_Hsieh@epistar.com; Ravikumar.Ramachandran@fci.com; shelly.ding@inari-amertron.com.cn, Validated by LBMA RG until 05/20/2022</t>
  </si>
  <si>
    <t>0, CANADA, L1 and Recycled | From various mines, scrap recyclers | L1 | Not disclosed per LBMA | Not Disclosed per LBMA | Recycled | RCOI confirmed as per RMI but not disclosed by LBMA | Some are recycled or scrap sourced but not all. | From various mines, scrap recyclers | L1 and Recycled | RCOI confirmed as per CFSI but not disclosed by LBMA | Recycled | Not disclosed per LBMA | Some are recycled or scrap sourced but not all. | L1 | Not Disclosed per LBMA | Various mines, scrap recycle | Recycled, Scrap and mines | Recycled, Scrap and mines, not disclosed by supplier, NA, No information, Not disclosed by supplier, Not disclosed per LBMA, RCOI confirmed as per RMI., RCOI confirmed per RMI, Recycled sources and mines not disclosed by supplier, Recycled, Scrap and mines, Recycled, Scrap and mines | RCOI confirmed as per RMI but not disclosed by LBMA, Recycled/Scrap, Various Mines, Scrap, See aggregated data below for LBMA Good Delivery Sourcing, Sourced from Mines/Recyale/Scrap | RCOI confirmed per RMI | Not disclosed by supplier,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</si>
  <si>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Austria, Belgium, Brazil, Cambodia, Canada, Chile, China, Colombia, Ecuador, Ethiopia, Germany, Guyana, Hungary, India, Japan, Kazakhstan, Korea, Luxembourg, Malaysia, Mexico, Namibia, Peru, Recycled/Scrap, Suriname, Switzerland, United States, CANADA, Canada | Not disclosed per LBMA | Not disclosed per LBMA (L1, Canada, USA and Guyana) | Canada, United States, Japan, Guyana, Mexico, Suriname, Chile, Switzerland, Peru, Germany | Mineral sourcing not disclosed per LBMA, Canada, Suriname, Guyana, and recycled and scrap | RCOI Confirmed as per CSFI | Recycled | RCOI confirmed as per RMI but not disclosed by LBMA | Mineral sourcing not disclosed per LBMA, Mineral sourcing L1, from Canada, USA and Guyana by smelter | Excludes Covered Countries | Mineral sourcing L1,R/S, Not disclosed by supplier | Not disclosed per LBMA | Not disclosed per LBMA (L1, Canada, USA and Guyana) | RCOI confirmed as per CFSI but not disclosed by LBMA | Canada, United States, Japan, Guyana, Mexico, Suriname, Chile, Switzerland, Peru, Germany | Mineral sourcing not disclose | Known Countries from which LBMA Good Delivery List Refiners Source - Mined  Material (Provided by LBMA) | Ottawa, Canada | RCOI confirmed as per RMI | Mineral sourcing L1, R/S, Canada, Suriname, Guyana, Canada, Chile, China, Germany, Guyana, Japan, Mexico, Peru, Suriname, Switzerland, USA, recycled/scrap, Canada, Recycled/Scrap, Suriname, Guyana, Switzerland, Chile, Germany, Peru, USA, Mexico, Japan, China, Canada, Recycled/Scrap, Suriname, Guyana, Switzerland, Chile, Germany, Peru, USA, Mexico, Japan, China | RCOI confirmed per RMI | Mineral R/S and mining from Canada, Guyana, Suriname, United States, Peru, Japan, Chile, Germany, Switzerland, Mexico, China, Canada, United States, Japan, Guyana, Mexico, Suriname, Chile, Peru, Switzerland, Germany, Canada, United States, Japan, Guyana, Mexico, Suriname, Chile, Switzerland, Peru, Germany, CID001534,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CANADA | Canada, United States, Japan, Guyana, Mexico, Suriname, Chile, Peru, Switzerland, Germany | Ottawa, Canada, Mineral R/S and mining from Canada, Guyana, Suriname, United States, Peru, Japan, Chile, Germany, Switzerland, Mexico, China, Mineral sourcing not disclosed per LBMA RG, No information, Not disclosed per LBMA, RCOI confirmed as per RMI., RCOI confirmed per RMI, Recycled, Recycled/Scrap, Canada, Guyana, Suriname, United States, Peru, Japan, Chile, Germany, Switzerland, Mexico, China, Recycled/Scrap, Canada, Guyana, Suriname, United States, Peru, Japan, Chile, Germany, Switzerland, Mexico, China, Belgium, Malaysia, Korea, Namibia, Argentina, Austria, Brazil, Cambodia, Colombia, Ecuador, Ethiopia, Hungary, India, Kazakhstan, Luxembourg, Mongolia, Myanmar, Portugal, Taiwan, Indonesia, Eritrea, Australia, Singapore, United Kingdom, Hong Kong, Uzbekistan, South Africa, Egypt, Estonia, France, Ireland, Israel, Madagascar, Netherlands, Niger, Nigeria, Russian Federation, Sierra Leone, Slovakia, Spain, Thailand, Zimbabwe, Djibouti, Viet Nam,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Yemen, Unknown</t>
  </si>
  <si>
    <t>Compliant, COMPLIANT 09/22/2015, Compliant Conformant, Conformant, Conformant Smelter, Conformant smelter according to RMI, audit valid until 2022, Conformant Smelter according to RMI, last cycle in 20.05.2020 with a cycle of 1 Year, http://www.mint.ca/store/mint/about-the-mint/quality-7300008?cat=Quality&amp;amp;nId=7300008&amp;amp;nodeGroup=About+the+Mint#.VyZAeJj2Ywl, PI, T, SC, CA,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t>
  </si>
  <si>
    <t>CID000524</t>
  </si>
  <si>
    <t>Ganzhou Grand Sea W &amp; Mo Group Co., Ltd.</t>
  </si>
  <si>
    <t>CID002494</t>
  </si>
  <si>
    <t>Ganzhou Seadragon W &amp; Mo Co., Ltd.</t>
  </si>
  <si>
    <t>No. 45 Dongyongshan Road, Ganzhou City, Jiangzi Province, China</t>
  </si>
  <si>
    <t>Minas Gerais, Nancy Zhang, nancy@sinda-tungsten, nancy@sinda-tungsten.com</t>
  </si>
  <si>
    <t>nancy@grand-tungsten.com, nancy@sinda-tungsten.com, RMI validated</t>
  </si>
  <si>
    <t>Conformant-audited by RMI (members / partners)- valid until 03/25/2024, NA, no action need, No Action Required as company is RMAP conformant, None, CFS Certified, Reaudit In Progress, RMI validated, Supplier contacts: hyeju.lee@amkor.com; siew.khim.og@ssmc.com; catherine.pelissonnier@st.com; ehs@xfab.com; Infineon Customer Contact @infineon.com; cammmh@towersemi.com; lisa.bjornson@sanmina.com; yushin@harvatek.com; cindy.dodd@avx.com; Amber_cy_chang@umc.com; shimizu.yasunori@tpsemico.com</t>
  </si>
  <si>
    <t>0, Dapengshan, Dapengshan Mining, Simaoao Mining, Piqiaokeng Mining, Ganzhou Grand Sea Metals Minerals Industry, and Ganzhou Haixin Tungsten Product Ltd, From Ganzhou Grand Metals Minerals Industry Co,.Ltd.and Ganzhou Haixin Tungsten Product Ltd, From Ganzhou Haixin Tungsten Products Ltd, Ganzhou Grand Metals Minerals Industry Co,.Ltd.,Dapengshan 2. Ganzhou Grand Sea Metals Minerals Industry  W&amp;amp;Mo Co,.Ltd. Dapengshan, From Ganzhou Haixin Tungsten Products Ltd, Ganzhou Grand Metals Minerals Industry Co,.Ltd.,Dapengshan 2. Ganzhou Grand Sea Metals Minerals Industry  W&amp;amp;Mo Co,.Ltd. Dapengshan | RCOI confirmed as per RMI, Ganzhou Grand Metals Minerals Industry Co.,Ltd., Ganzhou Haixin Tungsten Products Ltd, Ganzhou Grand Metals Minerals Industry Co Ltd, Piqiaokeng Mining, Simaoao Mining, Dapengshan Mining, Ganzhou Haixin Tungsten Products Ltd, Ganzhou Grand Metals Minerals Industry Co.,Ltd., No information, Not disclosed per TI-CMC, RCOI Confirmed as per CSFI | RCOI confirmed per RMI | Ganzhou Grand Metals Minerals Industry Co.,Ltd., RCOI confirmed as per RMI., RCOI confirmed per RMI, RCOI confirmed per RMI | Ganzhou Haixin Tungsten Products Ltd, Ganzhou Grand Metals Minerals Industry Co.,Ltd. | Ganzhou Grand Metals Minerals Industry Co.,Ltd.
Dapengshan
Ganzhou Haixin Tungsten Products Ltd | Not disclosure | Dapengshan, See aggregated data below for TI-CMC Sourcing, VIET NAM | From 1. Dapengshan 2. Ganzhou Grand Sea Metals Minerals Industry  W&amp;amp;Mo Co,.Ltd. | Dapengshan | RCOI Confirmed as per CSFI | Jiangxi Mine | RCOI confirmed as per RMI | Some are recycled or scrap sourced but not all. | From Ganzhou Grand Metals Minerals Industry Co.,Ltd; Ganzhou Grand Sea Metals Minerals Industry  W&amp;amp;Mo Co,.Ltd.; Dapengshan | Ganzhou Grand Sea Metals Minerals Industry  W&amp;amp;Mo Co,.Ltd. | VIET NAM | RCOI confirmed as per CFSI | Metallo-Chimique N.V. | Ganzho | Metallo-Chimique N.V. | From Ganzhou Haixin Tungsten Products Ltd, Ganzhou Grand Metals Minerals Industry Co,.Ltd.,Dapengshan 2. Ganzhou Grand Sea Metals Minerals Industry  W&amp;amp;Mo Co,.Ltd. Dapengshan | Ganzhou Grand Metals Minerals Industry Co., Ltd. | From Ganzhou Haixin Tungsten Products Ltd, Ganzhou Grand Metals Minerals Industry Co,.Ltd. 
Dapengshan</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</si>
  <si>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Argentina, Austria, Belgium, Brazil, Cambodia, Canada, Chile, China, Colombia, Ecuador, Ethiopia, Germany, Guyana, Hungary, India, Indonesia, Japan, Kazakhstan, Korea, Luxembourg, Malaysia, Mongolia, Myanmar, Namibia, Peru, Portugal, Taiwan, United States, China, China, India, Brazil, Canada, Japan, Namibia, Ethiopia, Germany, Austria, Colombia, Mongolia, Portugal, Belgium, Argentina, Cambodia, Chile, Ecuador, Guyana, Hungary, Kazakhstan, Korea, Luxembourg, Malaysia, Myanmar, Peru, United States, Indonesia, Australia, Niger, Nigeria, Sierra Leone, Zimbabwe, Ireland, Spain, United Kingdom, Switzerland, Singapore, Egypt, France, Israel, Madagascar, Netherlands, Slovakia, Suriname, Thailand, Djibouti, Estonia, Taiwan, Viet Nam, Russian Federation,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From China, L1, L1 | Excludes Covered Countries | VIET NAM | Myanmar, Cambodia, Malaysia, Kazakhstan, Portugal, Austria, Mongolia, Luxembourg, Guyana, Brazil, Korea, Republic of, Chile, Laos, Ecuador, Colombia, Argentina, Hungary, Japan, India, Canada, Belgium, Namibia, Taiwan, Peru, Ethiopia, Germany, Russian Fede | CHINA | RCOI Confirmed as per CSFI | Jiangxi, China | RCOI confirmed as per RMI | Mineral sourcing L1,R/S, Not disclosed by supplier | L1 | CHINA | Excludes Covered Countries | VIET NAM | RCOI confirmed as per CFSI | Myanmar, Cambodia, Malaysia, Kazakhstan, Portugal, Austria, Mongolia, Luxembourg, Guyana, Brazil, Korea, Republic of, Chile, Laos, Ecuador, Colombia, Argentina, Hungary, Jap | Myanmar, Cambodia, Malaysia, Kazakhstan, Portugal, Austria, Mongolia, Luxembourg, Brazil, Guyana, Korea, Republic of, Chile, Laos, Ecuador, Colombia, Argentina, Hungary, Japan, India, Canada, Belgium, Namibia, Taiwan, Peru, Ethiopia, Germany, Russian Fede | Belgium | No. 45 Dongyongshan Road, Ganzhou City, Jiangzi Province, China | China | Mineral sourcing L1, China, L1 | RCOI confirmed as per RMI | Myanmar, Cambodia, Malaysia, Kazakhstan, Portugal, Mongolia, Austria, Luxembourg, Brazil, Korea, Republic of, Guyana, Chile, Laos, Colombia, Ecuador, Argentina, Hungary, Japan, India, Canada, Belgium, Namibia, Taiwan, Peru, Germany, Ethiopia, Russian Fede | No. 45 Dongyongshan Road, Ganzhou City, Jiangzi Province, China | Excludes Covered Countries, Mineral sourcing from China, Myanmar, Cambodia, Malaysia, Kazakhstan, Portugal, Austria, Mongolia, Luxembourg, Guyana, Brazil, Korea, Republic of, Chile, Laos, Colombia, Ecuador,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 Myanmar, Cambodia, Malaysia, Kazakhstan, Portugal, Austria, Mongolia, Luxembourg, Guyana, Korea, Republic of, Brazil, Chile, Laos, Ecuador, Colombia, Argentina, Hungary, Japan, India, Canada, Belgium, Namibia, Taiwan, Peru, Ethiopia, Germany, Russian Federation, Singapore, Viet Nam, United States, Egypt, Madagascar, Sierra Leone, Ivory Coast, Thailand, Bolivia, Netherlands, Ireland, China, Slovakia, Nigeria, France, United Kingdom, Switzerland, Spain, Djibouti, Czech Republic, Zimbabwe, Suriname, Israel, Australia, Estonia, Indonesia, 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Myanmar, Cambodia, Malaysia, Kazakhstan, Portugal, Mongolia, Austria, Luxembourg, Brazil, Guyana, Korea, Republic of, Chile, Laos, Ecuador, Colombia, Argentina, Hungary, Japan, India, Canada, Belgium, Namibia, Taiwan, Peru, Germany, Ethiopia, Russian Federation, Viet Nam, Singapore, United States, Egypt, Madagascar, Sierra Leone, Ivory Coast, Bolivia, Thailand, Netherlands, China, Ireland, Slovakia, Nigeria, France, United Kingdom, Switzerland, Spain, Djibouti, Czech Republic, Zimbabwe, Suriname, Israel, Australia, Indonesia, Estonia, Myanmar, Cambodia, Malaysia, Kazakhstan, Portugal, Mongolia, Austria, Luxembourg, Guyana, Brazil, Korea, Republic of,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Estonia, Indonesia, NA, No information, Not disclosed per TI-CMC, RCOI confirmed as per RMI., RCOI confirmed per RMI, RCOI confirmed per RMI | From China | China | Not disclosure | CHINA, Unknown</t>
  </si>
  <si>
    <t>Compliant, COMPLIANT 09/22/2015, Compliant Conformant, Conformant, Conformant Smelter, Conformant smelter according to RMI, audit valid until 2024, Conformant Smelter according to RMI, last cycle in 09.08.2017 with a cycle of 3 Years, Listed on CFSI Conflict Free Smelter List, RCOI confirmed per RMI / approved by TI-CMC, RMAP Conformant, RMAP Conformant Smelter, RMAP Conformant Smelter / RCOI confirmed per RMI</t>
  </si>
  <si>
    <t>CID002541</t>
  </si>
  <si>
    <t>H.C. Starck Tungsten GmbH</t>
  </si>
  <si>
    <t>Conflidential, Dr. Markus Zumdick, Frank Habig, Markus Zumdick, Mr. Steve Krause, NA, tanja.stalke@hcstarc, tanja.stalke@hcstarck.com</t>
  </si>
  <si>
    <t>Confidential, frank.habig@hcstark.com, markus.zumdick@hcstarck.com, NA, skrause@globaladvance, tanja.stalke@hcstarck.com</t>
  </si>
  <si>
    <t>Conformant-audited by RMI (members / partners)- valid until 10/06/2024, NA, no action need, No Action Required as company is RMAP conformant, None, CFS Certified, RCOI validated by RMI Protocols , Reaudit In Progress, Supplier contacts: hyeju.lee@amkor.com; catherine.pelissonnier@st.com; ehs@xfab.com; Infineon Customer Contact @infineon.com; joanne.ambat@nepeshayyim.com; cammmh@towersemi.com; eagle@solartech.com.tw; lisa.bjornson@sanmina.com; yushin@harvatek.com; andreas.schwender@saxonia-tm.de; cindy.dodd@avx.com; t.gruber@ats.net</t>
  </si>
  <si>
    <t>0, KOREA, REPUBLIC OF | Some are recycled or scrap sourced but not all. | RCOI Confirmed as per CSFI | Mines and recycled scrap | Some are recycled or scrap sourced but not all | From Mines and recycled scrap | KOREA, REPUBLIC OF | Some are recycled or scrap sourced but not all | Some are recycled or scrap sourced but not all. | RCOI Confirmed as per CSFI | Mines and recycled scrap | R/S, From Talison, Noventa, Tanco, proprietary | R/S, From Talison, Noventa, Tanco, proprietary | Recycled, Scrap and mines, not disclosed by supplier, NA, No information, R/S, From Talison, Noventa, Tanco, proprietary, R/S, From Talison, Noventa, Tanco, proprietary | Some are recycled or scrap sourced but not all, Raw material is sourced from multiple conflict-fre, RCOI confirmed per RMI, Recycled or scrap, and mining not disclosed by supplier, Recycled or scrap, and mining not disclosed by supplier | Recycle or Scrap | Not disclosure | RCOI confirmed per RMI, Recycled, Scrap and mines not disclosed by supplier, Some are recycled or scrap sourced but not all, Some are recycled or scrap sourced but not all. | RCOI confirmed per RMI, Some are recyled/scrap, TI-CMC sourced but not all., Unknown, but some recycled/scrap</t>
  </si>
  <si>
    <t>Argentina, Australia, Austria, Belgium, Brazil, Cambodia, Canada, Chile, Colombia, Ecuador, Ethiopia, Germany, Guyana, Hungary, India, Japan, Kazakhstan, Korea, Luxembourg, Malaysia, Mongolia, Mozambique, Myanmar, Namibia, Peru, Portugal, Recycled/Scrap, Spain, Taiwan, DRC, Burundi, Rwanda, Tanzania, Uganda, Zambia, Argentina, Australia, Austria, Belgium, Bolivia, Brazil, Cambodia, Canada, Chile, China, Colombia, Djibouti, Ecuador, Egypt, Estonia, Ethiopia,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South Africa, Spain, Suriname, Switzerland, Taiwan, Thailand, USA, United Kingdom, Uzbekistan, Vietnam, Zimbabwe, Recycled/Scrap, L1, R/S, L1, R/S | Some are recycled or scrap sourced but not all | Myanmar, Cambodia, Malaysia, Kazakhstan, Portugal, Mongolia, Austria, Mozambique, Luxembourg, Korea, Republic of, Guyana, Brazil, Chile, Laos, Colombia, Ecuador, Argentina, Hungary, Japan, India, Canada, Belgium, Namibia, Taiwan, Peru, Germany, Ethiopia, | Plant Goslar, Im Schleeke 78-91, 38642 Goslar | Excludes Covered Countries, Mineral sourcing R/S and Mined  from Australia, Bolivia, Canada, Portugal, Russia, Spain, Vietnam., Mineral sourcing R/S and mined not disclosed by TI-CMC sourcing, Mineral sourcing R/S and mined not disclosed by TI-CMC sourcing | Australia, Bolivia, Canada, Portugal, Russia, Spain, Vietnam | Not disclosure | RCOI confirmed per RMI | Not coverd countries area, Myanmar, Cambodia, Malaysia, Kazakhstan, Portugal, Austria, Mongolia, Mozambique, Luxembourg, Brazil, Korea, Republic of, Guyana, Chile, Laos, Colombia, Ecuador, Argentina, Hungary, Japan, India, Canada, Belgium, Namibia, Taiwan, Peru, Ethiopia, Germany, Russian Federation, Singapore, Viet Nam, United States, Egypt, Madagascar, Sierra Leone, Ivory Coast, Bolivia, Thailand, Netherlands, China, Ireland, Slovakia, France, Nigeria, Rwanda, United Kingdom, Switzerland, Spain, Djibouti, Czech Republic, Zimbabwe, Suriname, Israel, Australia, Indonesia, Estonia, Myanmar, Cambodia, Malaysia, Kazakhstan, Portugal, Mongolia, Austria, Mozambique, Luxembourg, Brazil, Guyana, Korea, Republic of, Chile, Laos, Colombia, Ecuador, Argentina, Hungary, Japan, India, Canada, Belgium, Namibia, Taiwan, Peru, Ethiopia, Germany, Russian Federation, Viet Nam, Singapore, United States, Egypt, Sierra Leone, Madagascar, Ivory Coast, Bolivia, Thailand, Netherlands, China, Ireland, Slovakia, Nigeria, France, Rwanda, United Kingdom, Switzerland, Spain, Djibouti, Czech Republic, Zimbabwe, Suriname, Israel, Australia, Indonesia, Estonia, Myanmar, Cambodia, Malaysia, Kazakhstan, Portugal, Mongolia, Austria, Mozambique, Luxembourg, Korea, Republic of, Brazil, Guyana, Chile, Laos, Colombia, Ecuador, Argentina, Hungary, Japan, India, Canada, Belgium, Namibia, Taiwan, Peru, Germany, Ethiopia, Russian Federation, Viet Nam, Singapore, United States, Egypt, Madagascar, Sierra Leone, Ivory Coast, Bolivia, Thailand, Netherlands, Ireland, China, Slovakia, Nigeria, France, Rwanda, United Kingdom, Switzerland, Spain, Djibouti, Czech Republic, Zimbabwe, Suriname, Israel, Australia, Indonesia, Estonia, Myanmar, Cambodia, Malaysia, Kazakhstan, Portugal, Mongolia, Austria, Mozambique, Luxembourg, Korea, Republic of, Guyana, Brazil, Chile, Laos, Ecuador, Colombia, Argentina, Hungary, Japan, India, Canada, Belgium, Namibia, Taiwan, Peru, Ethiopia, Germany, Russian Federation, Singapore, Viet Nam, United States, Egypt, Madagascar, Sierra Leone, Ivory Coast, Thailand, Bolivia, Netherlands, China, Ireland, Slovakia, Nigeria, France, Rwanda, United Kingdom, Switzerland, Spain, Djibouti, Czech Republic, Zimbabwe, Suriname, Israel, Australia, Indonesia, Estonia, NA, No information, Not coverd countries area, Not disclosed | Excludes Covered Countries | L1, R/S | KOREA, REPUBLIC OF | Myanmar, Cambodia, Malaysia, Kazakhstan, Portugal, Mongolia, Austria, Mozambique, Luxembourg, Guyana, Brazil, Korea, Republic of, Chile, Laos, Colombia, Ecuador, Argentina, Hungary, Japan, India, Canada, Belgium, Namibia, Taiwan, Peru, Germany, Ethiopia, | RCOI Confirmed as per CSFI | Australia, Bolivia, Canada, Portugal, Russia, Spain | Some are recycled or scrap sourced but not all | Mineral sourcing L1, R/S, from Australia, Bolivia, Canada, Portugal, Russia, Spain, Vietnam | Not disclosed | L1, R/S | Excludes Covered Countries | KOREA, REPUBLIC OF | Some are recycled or scrap sourced but not all | Myanmar, Cambodia, Malaysia, Kazakhstan, Portugal, Mongolia, Austria, Mozambique, Luxembourg, Guyana, Brazil, Korea, Republic of, | Myanmar, Cambodia, Malaysia, Kazakhstan, Portugal, Austria, Mongolia, Mozambique, Luxembourg, Brazil, Guyana, Korea, Republic of, Chile, Laos, Colombia, Ecuador, Argentina, Hungary, Japan, India, Canada, Belgium, Namibia, Taiwan, Peru, Ethiopia, Germany, | Thailand | Plant Goslar, Im Schleeke 78-91, 38642 Goslar | Not coverd countries area | Mineral sourcing L1,R/S, Australia, Bolivia, Canada, Portugal, Russia, Spain, Vietnam, R/S, RCOI confirmed per RMI, 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 Recycled/Scrap, Portugal, Canada, Germany, Australia, Spain, Brazil, Austria, Colombia, Mongolia, Mozambique, Korea, Guyana, Argentina, Cambodia, Chile, Ecuador, Kazakhstan, Luxembourg, Malaysia, Myanmar, Japan, Hungary, Namibia, India, Ethiopia, Belgium, Peru, China, Niger, Nigeria, United States, Ireland, United Kingdom, Sierra Leone, Zimbabwe, Thailand, Rwanda, Djibouti, Egypt, France, Madagascar, Netherlands, Singapore, Slovakia, Switzerland, Estonia, Indonesia, Israel, Suriname, Taiwan, Viet Nam, Russian Federation, Rwanda,  Myanmar,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Mozambique, Namibia, Netherlands, Nigeria, Peru, Portugal, Republic of Korea, Russia, Sierra Leone, Singapore, Slovakia, Spain, Suriname, Switzerland, Thailand, United Kingdom, USA, Vietnam, Vietnam, Zimbabwe, recycled/scrap, Some are recycled or scrap sourced but not all, Some are recyled/scrap, TI-CMC sourced but not all., Unknown</t>
  </si>
  <si>
    <t>Compliant, COMPLIANT 09/22/2015, Compliant Conformant, Conformant, Conformant Smelter, Conformant smelter according to RMI, audit valid until 2024, Conformant Smelter according to RMI, last cycle in 04.05.2018 with a cycle of 3 Years, Listed on CFSI Conflict Free Smelter List, RCOI confirmed per RMI / approved by TI-CMC, RMAP Conformant, RMAP Conformant Smelter, RMAP Conformant Smelter / RCOI confirmed per RMI, This smelter is CFS. http://www.responsiblemineralsinitiative.org/tungsten-conformant-smelters/, This smelter is CFS.
http://www.conflictfreesourcing.org/tungsten-conflict-free-smelters/, This smelter is RMI Conformant.
http://www.responsiblemineralsinitiative.org/tungsten-smelters-list/</t>
  </si>
  <si>
    <t>CID003978</t>
  </si>
  <si>
    <t>HANNAE FOR T Co., Ltd.</t>
  </si>
  <si>
    <t>Dangjin-si</t>
  </si>
  <si>
    <t>CID000712</t>
  </si>
  <si>
    <t>CID000730</t>
  </si>
  <si>
    <t>Hitachi</t>
  </si>
  <si>
    <t>CID000767</t>
  </si>
  <si>
    <t>Hunan Chenzhou Mining Co., Ltd.</t>
  </si>
  <si>
    <t>Yuanling</t>
  </si>
  <si>
    <t>Cici, Liu Liling, Liu Liling 刘莉玲</t>
  </si>
  <si>
    <t>7231684@qq.com, lesleyliu619@163.com</t>
  </si>
  <si>
    <t>Australia, Canada, China, Mozambique, Recycled/Scrap, Switzerland, Australia, Canada, China, Mozambique, Switzerland, Canada, Mozambique, China, Australia, Switzerland, China, China, Australia, Canada, Mozambique, Switzerland, China, Australia, Canada, Mozambique, Switzerland, Zimbabwe, Recycled/Scrap,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Unknown</t>
  </si>
  <si>
    <t>0, RCOI confirmed per RMI</t>
  </si>
  <si>
    <t>CID000773</t>
  </si>
  <si>
    <t>Hunan Guiyang yinxing Nonferrous Smelting Co., Ltd.</t>
  </si>
  <si>
    <t xml:space="preserve">Guiyang County, Hunan Province, Lu Feng Lei Daling street child Long Industrial Park 
</t>
  </si>
  <si>
    <t>Chenzhou</t>
  </si>
  <si>
    <t>Ms. Tang</t>
  </si>
  <si>
    <t>2508891618@qq.com</t>
  </si>
  <si>
    <t>Chile, China, Japan, Rwanda, United States, China, Chile, Japan, United States, Rwanda, China, Chile, Japan, United States, Rwanda, Argentina, Australia, Austria, Belgium, Brazil, Cambodia, Canada, Colombia, Djibouti, Ecuador, Egypt, Estonia, Ethiopia, France, Germany, Guyana, Hungary, India, Indonesia, Israel, Kazakhstan, Korea, Luxembourg, Madagascar, Malaysia, Mongolia, Myanmar, Namibia, Netherlands, Niger, Nigeria, Peru, Portugal, Russian Federation, Sierra Leone, Singapore, Slovakia, Spain, Suriname, Switzerland, Taiwan, Thailand, United Kingdom, Viet Nam, Zimbabwe, Recycled/Scrap, China, USA, Japan, Rwanda, Chile, No known country of origin, Rwanda, Chile, China, Japan, USA, Unknown</t>
  </si>
  <si>
    <t>CID000801</t>
  </si>
  <si>
    <t>Inner Mongolia Qiankun Gold and Silver Refinery Share Co., Ltd.</t>
  </si>
  <si>
    <t>Nei Mongol Zizhiqu</t>
  </si>
  <si>
    <t>CID002562</t>
  </si>
  <si>
    <t>International Precious Metal Refiners</t>
  </si>
  <si>
    <t>CID002893</t>
  </si>
  <si>
    <t>JALAN &amp; Company</t>
  </si>
  <si>
    <t>C-16 Lajpat Nagar, Central Market, New Delhi - 110024, India</t>
  </si>
  <si>
    <t>New Delhi</t>
  </si>
  <si>
    <t>Delhi</t>
  </si>
  <si>
    <t>Ishwar Kumar, Mr. Ishwar Kumar</t>
  </si>
  <si>
    <t>jalan@jalanco.com, jalan@jalanco.com, info@jalanco.com</t>
  </si>
  <si>
    <t>Due diligence results pending, India, Belgium, Canada, China, Hong Kong, Indonesia, Sweden, Switzerland, United Kingdom, United States, Recycled/Scrap, Liechtenstein, India, Recycled/Scrap, No known country of origin, Unknown, Unknown, but no reason to believe sources from covered countries</t>
  </si>
  <si>
    <t>CID002765</t>
  </si>
  <si>
    <t>Italpreziosi</t>
  </si>
  <si>
    <t>Strada A, 32 – Loc. San Zeno 52100 Arezzo</t>
  </si>
  <si>
    <t>Filippo Finocchi, Gold, Ohio</t>
  </si>
  <si>
    <t>filippo.finocchi@italpreziosi.it, Italpreziosi</t>
  </si>
  <si>
    <t>Conformant-audited by LBMA RG / RJC- valid until 03/23/2023, Conformant-audited by LBMA RG /RJC- valid until 03/23/2023, Italpreziosi, no action need, No Action Required as company is RMAP conformant, Supplier contacts: hyeju.lee@amkor.com; Infineon Customer Contact @infineon.com;  lisa.bjornson@sanmina.com; yushin@harvatek.com, Validated by LBMA RG / RJC until 03/23/2023</t>
  </si>
  <si>
    <t>0, ITALY, No information, Not disclosed by supplier, Not disclosed by supplier | RCOI confirmed as per RMI but not disclosed by RJC, Not disclosed by supplier | Sourced from Mines/Recyale/Scrap, Not disclosed per LBMA/RJC, Not disclosed per RJC, Not disclosed per RJC/LBMA, RCOI confirmed as per RMI but not disclosed by RJC | not available | Not disclosed by supplier | Not disclosed by supplier, RCOI confirmed as per RMI., RCOI confirmed per RMI, See aggregated data below for LBMA Good Delivery Sourcing and RJC Sourcing, Unknown, but some recycled/scrap</t>
  </si>
  <si>
    <t>Australia, Austria, Belgium, Canada, China, Dominica, Dominican Republic, France, Germany, Guinea, Honduras, Hong Kong, Indonesia, Italy, Japan, Malaysia, Mexico, Mongolia, Mozambique, Papua New Guinea, Peru, Philippines, South Africa, Sweden, Switzerland, USA, United Kingdom, Uzbekistan, Recycled/Scrap, Australia, Austria, Belgium, Canada, China, Dominica, France, Germany, Hong Kong, Indonesia, Italy, Japan, Malaysia, Mexico, Mongolia, Mozambique, Philippines, Recycled/Scrap, South Africa, Sweden, Switzerland, United Kingdom, United States, Australia, Austria, Canada, China, Germany, Italy, Malaysia, Mexico, Mongolia, Mozambique, Philippines, South Africa, USA, recycled/scrap, CID002765, Italy, Recycled/Scrap, China, Philippines, Malaysia, Canada, Mongolia, Austria, Mozambique, Mexico, South Africa, USA, Australia, Germany, LBMA Good Delivery Sourcing and RJC Sourcing based on RMAP-RMI's RCOI data, Mineral sourcing not disclosed by LBMA and RJC, Mineral sourcing not disclosed by LBMA and RJC | Italy, Recycled/Scrap, China, Philippines, Malaysia, Canada, Mongolia, Austria, Mozambique, Mexico, South Africa, USA, Australia, Germany, No information, No known country of origin, No known country of origin | RCOI confirmed as per RMI but not disclosed by RJC | No known country of origin | Not disclosed per RJC | Does not source from DRC or covered countries | Strada A, 32 – Loc. San Zeno 52100 Arezzo | R/S and Mined (material risk not disclosed by RJC), Not disclosed per LBMA/RJC, Not disclosed per RJC, Not disclosed per RJC/LBMA, R/S and Mined (material risk not disclosed by RJC), R/S and Mined (material risk not disclosed by RJC) | RCOI confirmed as per RMI but not disclosed by RJC | Strada A, 32 – Loc. San Zeno 52100 Arezzo, RCOI confirmed as per RMI., RCOI confirmed per RMI, Recycled/Scrap, Italy, United States, Canada, China, Australia, Mexico, Germany, Austria, Malaysia, Mongolia, Mozambique, Philippines, South Africa, Recycled/Scrap, Italy, United States, Canada, China, Australia, Mexico, Germany, Austria, Malaysia, Mongolia, Mozambique, Philippines, South Africa, Belgium, Hong Kong, Indonesia, Sweden, Switzerland, United Kingdom, France, Japan, Dominica, Dominican Republic, Guinea, Papua New Guinea, Peru, Uzbekistan, Honduras, Unknown</t>
  </si>
  <si>
    <t>Compliant, Compliant Conformant, Conformant, Conformant Smelter, Conformant smelter according to RMI, audit valid until 2023, Conformant Smelter according to RMI, last cycle in 23.03.2020 with a cycle of 3 Years, RCOI confirmed per RMI, RMAP Conformant</t>
  </si>
  <si>
    <t>CID000823</t>
  </si>
  <si>
    <t>Japan Mint</t>
  </si>
  <si>
    <t>Osaka</t>
  </si>
  <si>
    <t>JCC</t>
  </si>
  <si>
    <t>Guixi City</t>
  </si>
  <si>
    <t>CID000920</t>
  </si>
  <si>
    <t>Johnson Matthey Inc. (USA)</t>
  </si>
  <si>
    <t>Salt Lake City</t>
  </si>
  <si>
    <t>Johnson Matthey Canada</t>
  </si>
  <si>
    <t>CID000927</t>
  </si>
  <si>
    <t>JSC Ekaterinburg Non-Ferrous Metal Processing Plant</t>
  </si>
  <si>
    <t>131 Lenina st  (new name - Uspensky Avenue), Verhnjaja Pyshma city, 
Sverdlovsk region, 624097 Russia</t>
  </si>
  <si>
    <t>Verkhnyaya Pyshma</t>
  </si>
  <si>
    <t>0, Goldekaterinburg, Unspecified</t>
  </si>
  <si>
    <t>0, u.tukalova@ezocm.ru</t>
  </si>
  <si>
    <t>Australia, Canada, Japan, Recycled/Scrap, Russian Federation, Australia, Canada, Japan, Russia, Recycled/Scrap, Canada, Russia, Japan, Australia, Recycled/Scrap, Canada, Russian Federation, Japan, Australia, Recycled/Scrap, Australia, Japan, Canada, Russian Federation, Recycled/Scrap, Australia, Japan, Canada, Russian Federation, Brazil, Switzerland, Taiwan, South Africa, Panama, China, India, Indonesia, Unknown</t>
  </si>
  <si>
    <t>CID001147</t>
  </si>
  <si>
    <t>Metalor Technologies (Suzhou) Ltd.</t>
  </si>
  <si>
    <t>Building B, 48 Dongfu Road, Suzhou Industrial Park, Jiangsu Province, P.R. China 215123</t>
  </si>
  <si>
    <t>Suzhou</t>
  </si>
  <si>
    <t>Bernie Chen, Gold, Jack Xue, Jack Xue, Xiaodong Li, Mr. Fifa Sun, Mr. Xiaodong Li, Rhode Island</t>
  </si>
  <si>
    <t>Bernie.Chen@metalor.com, fifa.sun@metalor.com, Jack.xue@metalor.com, jack.xue@metalor.com, xiaodong.li@metalor.com, Metalor Technologies (Suzhou) Ltd., xiaodong.li@metalor.com</t>
  </si>
  <si>
    <t>Conformant-audited by LBMA RG / RJC- valid until 02/19/2025, Metalor Technologies (Suzhou) Ltd., NA, no action need, No Action Required as company is RMAP conformant, None, CFS certified, Supplier contacts: hyeju.lee@amkor.com; catherine.pelissonnier@st.com; (Phiron) nancy.joy@materion.com; Infineon Customer Contact @infineon.com; environment.zs@ShunSinTech.com; WendyWei@subtron.com.tw; nadine.jahn@aim-micro-systems.de; lisa.bjornson@sanmina.com; theodore.knudson@materion.com; yushin@harvatek.com; Emily_Hsieh@epistar.com; gmo003@runlite.cn; andre.dinther@possehlelectronics.nl; beate.ostermeier@deutsche-technoplast.com; s.rossi@varioprint.ch; Ravikumar.Ramachandran@fci.com; nalinnipay@lpn.hanabk.th.com, Validated by LBMA RG / RJC until 02/18/2022</t>
  </si>
  <si>
    <t>0, CHINA, Mining, recycled and scrap sources, Mining, recycled and scrap sources not disclosed by supplier, No information, Not disclosed per RJC, Not disclosed per RJC/LBMA, RCOI confirmed as per RMI., RCOI confirmed per RMI, Recycled or scrap, and mining not disclosed by supplier, Recycled or scrap, and mining not disclosed by supplier | Sourced from Mines/Recyale/Scrap | RCOI confirmed per RMI | Mining, recycled and scrap sources, Recycled, Scrap and mines, Recycled, Scrap and mines | Recyled, Scrap, RUSSIAN FEDERATION | Essakane mine | Not disclosed per RJC | RCOI confirmed as per RMI but not disclosed by RJC | China | not available | RUSSIAN FEDERATION | Essakane mine | RCOI confirmed as per CFSI but not disclosed by RJC | Not disclosed per RJC | Mining, recycled and scrap sources | China | Recycled, Scrap and mines | Mining, recycled and scrap sources | Recycled, Scrap and mines | Recycled, Scrap and mines, Shanghai Exchange Market | Recyled, Scrap, Shanghai Exchange Market, Shanghai Exchange Market and recycled/scrap, Shanghai Exchange Market, Recycled/Scrap</t>
  </si>
  <si>
    <t>Andorra,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Andorra, Argentina, Armenia, Australia, Austria, Azerbaijan, Bahamas, Barbados, Belarus, Belgium, Benin, Brazil, Canada, China, Indonesia, Mexico, Niger, Nigeria, Recycled/Scrap, Russian Federation, Singapore, South Africa, Switzerland, United States, Brazil, China, Indonesia, Russia, Singapore, South Africa, Switzerland, recycled/scrap, China, South Africa, China, South Africa, Recycled/Scrap, Brazil, Switzerland, Singapore, Indonesia, Russia, CID001147, Excludes Covered Countries, From China, From China | China, South Africa, Recycled/Scrap, Brazil, Switzerland, Singapore, Indonesia, Russia | RCOI confirmed per RMI | Mining, recycled and scrap sources, LBMA Good Delivery Sourcing and RJC Sourcing not disclosed, Scrap &amp;amp; Recycled, Mining, recycled and scrap sources, No information, Not disclosed per RJC, Not disclosed per RJC/LBMA, R/S (RJC RCOI data), R/S (RJC RCOI data) | Recyled, Scrap | Building B, 48 Dongfu Road, Suzhou Industrial Park, Jiangsu Province, P.R. China 215123 | Recycled/Scrap Only, RCOI confirmed as per RMI., RCOI confirmed per RMI, Recycled/Scrap, China, South Africa, Switzerland, Singapore, Brazil, Indonesia, Recycled/Scrap, China, South Africa, Switzerland, Singapore, Brazil, Indonesia, United States, Canada, Mexico, Nigeria, Russian Federation, Andorra, Argentina, Armenia, Australia, Austria, Azerbaijan, Bahamas, Barbados, Belarus, Belgium, Benin, Bolivia (Plurinational State of), Bosnia and Herzegovina, Botswana, Bulgaria, Burkina Faso, Cambodia, Cameroon, Chile, Colombia, Croatia, Cyprus, Denmark, Dominica, Dominican Republic, Ecuador, Egypt, El Salvador, Eritrea, Estonia, Ethiopia, Fiji, Finland, France, Gabon, Gambia, Georgia, Germany, Ghana, Greece, Guatemala, Guinea, Guyana, Honduras, Hong Kong, Hungary, Iceland, India, Iran, Ireland, Israel, Italy, Japan, Jordan, Kazakhstan, Korea, Kuwait, Kyrgyzstan, Latvia, Lebanon, Liberia, Libya, Liechtenstein, Lithuania, Luxembourg, Madagascar, Malaysia, Mali, Malta, Mauritania, Mauritius, Mongolia, Morocco, Myanmar, Namibia, Netherlands, New Caledonia, New Zealand, Nicaragua, Niger, Norway, Oman, Pakistan, Panama, Papua New Guinea, Peru, Philippines, Poland, Portugal, Puerto Rico, Romania, San Marino, Saudi Arabia, Senegal, Serbia, Sierra Leone, Slovakia, Slovenia, Solomon Islands, Spain, Suriname, Sweden, Taiwan, Tajikistan, Thailand, Togo, Trinidad and Tobago, Tunisia, Turkey, Ukraine, United Arab Emirates, United Kingdom, Uruguay, Uzbekistan, Yemen, Zimbabwe, RUSSIAN FEDERATION | Not disclosed per RJC (Switzerland) | China, South Africa | Not disclosed per RJC | RCOI confirmed as per RMI but not disclosed by RJC | China | Excludes Covered Countries | not available | RUSSIAN FEDERATION | Not disclosed per RJC (Switzerland) | RCOI confirmed as per CFSI but not disclosed by RJC | China, South Africa | Not disclosed per RJC | Excludes Covered Countries | Does not source from DRC or covered countries | Chi | Building B, 48 Dongfu Road, Suzhou Industrial Park, Jiangsu Province, P.R. China 215123 | RCOI confirmed as per RMI | R/S (RJC RCOI data) | Mineral sourcing not disclosed per LBMA, Shanghai | Recycled/Scrap Only | Recyled, Scrap, Shanghai, the DRC or an adjoining country(covered countries), Unknown</t>
  </si>
  <si>
    <t>Compliant, Compliant Conformant, Conformant, Conformant Smelter, Conformant smelter according to RMI, audit valid until 2022, Conformant Smelter according to RMI, last cycle in 18.02.2019 with a cycle of 3 Years, RCOI confirmed as per RMAP (LBMA Good Delivery List Refiners Source - Mined  Material, LBMA Good Delivery List Refiners Source - Recycled Material, and/or RJC Refiners Source - Mined  Material), RCOI confirmed per RMI / RCOI disclosed by RJC / LBMA approved, RMAP Conformant, RMAP Conformant Smelter, RMAP Conformant Smelter / RCOI confirmed per RMI, SC, L, Shanghai Exchange Market Accredited</t>
  </si>
  <si>
    <t>CID002857</t>
  </si>
  <si>
    <t>Modeltech Sdn Bhd</t>
  </si>
  <si>
    <t>Lot 148, Jalan PBR 20, Kawasan Perindustrian Bukit Rambai (Fasa 4A), 75250</t>
  </si>
  <si>
    <t>Kawasan Perindustrian Bukit Rambai</t>
  </si>
  <si>
    <t>Melaka</t>
  </si>
  <si>
    <t>Miss Low, Miss Low (Administration Manager)</t>
  </si>
  <si>
    <t>low@modeltech.com.my</t>
  </si>
  <si>
    <t>Aland Islands, China, Germany, Malaysia, Netherlands, New Zealand, Philippines, Russia, Thailand, Recycled/Scrap, China, Germany, Malaysia, Netherlands, New Zealand, Philippines, Recycled/Scrap, Thailand, China, Germany, Malaysia, Netherlands, New Zealand, Philippines, Russia, Thailand, recycled/scrap, Netherlands, Philippines, China, Thailand, Recycled/Scrap, Germany, Malaysia, New Zealand, Russia, No known country of origin, Recycled/Scrap, Malaysia, China, Germany, Philippines, Netherlands, New Zealand, Thailand, Recycled/Scrap, Malaysia, China, Germany, Philippines, Netherlands, New Zealand, Thailand, Åland Islands, Saudi Arabia, Belgium, Brazil, Canada, India, Japan, Peru, Unknown</t>
  </si>
  <si>
    <t>CID001070</t>
  </si>
  <si>
    <t>China Tin Group Co., Ltd.</t>
  </si>
  <si>
    <t>Laibin</t>
  </si>
  <si>
    <t>CID002108</t>
  </si>
  <si>
    <t>China Yunnan Tin Co Ltd.</t>
  </si>
  <si>
    <t>PT Stanindo Inti Perkasa</t>
  </si>
  <si>
    <t>CID002455</t>
  </si>
  <si>
    <t>CV Venus Inti Perkasa</t>
  </si>
  <si>
    <t>CID003154</t>
  </si>
  <si>
    <t>Da Nang Processing Import and Export Joint Stock</t>
  </si>
  <si>
    <t>King Mon</t>
  </si>
  <si>
    <t>Hải Dương</t>
  </si>
  <si>
    <t>CID000340</t>
  </si>
  <si>
    <t>CID000402</t>
  </si>
  <si>
    <t>Dowa Metaltech Co., Ltd.</t>
  </si>
  <si>
    <t>--, Kishu Okuda, Kishu Okuda, Tomoyoshi Omura, Koji Miyake, NA, Noriaki Kita, Tin</t>
  </si>
  <si>
    <t>--, Dowa Metaltech Co., Ltd., kitan@dowa.co.jp, miyakek@dowa.co.jp, NA, okudak@dowa.co.jp, okudak@dowa.co.jp, omurat@dowa.co.jp</t>
  </si>
  <si>
    <t>Conformant-Reaudit In Progress, Continue to monitor, Dowa, Huckleberry  recycled, NA, no action need, No Action Required as company is RMAP conformant, No Action Required as smelter is RMAP conformant, None Required - RMI  certified conflict free, None, CFSP Certified, RMAP Compliant Smelter, Supplier contacts: hyeju.lee@amkor.com; catherine.pelissonnier@st.com; oh-dongho@auk.co.kr; Infineon Customer Contact @infineon.com; lisa.bjornson@sanmina.com; theodore.knudson@materion.com; yushin@harvatek.com; shelly.ding@inari-amertron.com.cn; Demi_Lo@arimalasers.com; cindy.dodd@avx.com; t.gruber@ats.net; Chih-Hung.Chen@opto.com.tw; oh-dongho@auk.co.kr, Validated by RMI until 10/30/2022</t>
  </si>
  <si>
    <t>0, Huckleberry, JAPAN, Mines From Huckleberry and Recycled/Scrap, No information, RCOI confirmed per RMI, Recaycled, Scrap, Recycled, recycled | INDONESIA | Not disclosed by supplier | RCOI confirmed as per RMI | RCOI confirmed as per CFSI | recycled | Not disclosed by supplier | INDONESIA | RCOI confirmed as per CFSI | Recycled | Recycled, Scrap and mines | Recycled | Recycled, Scrap and mines | Recycled, Scrap | Recycled/Scrap | Recycled/Scrap Only, Recycled | Recycled, Scrap, Recycled, Scrap, Recycled, Scrap | Not disclosure | RCOI confirmed per RMI | Recycled, Recycled, Scrap and mines, Recycled, Scrap and mines | Recycled/Scrap | Recycled/Scrap Only, Recycled/scrap only, Recyled/Scrap</t>
  </si>
  <si>
    <t>Argentina, Austria, Belgium, Brazil, Cambodia, Canada, Chile, Colombia, Ecuador, Ethiopia, Germany, Guyana, Hungary, India, Japan, Kazakhstan, Korea, Luxembourg, Malaysia, Mongolia, Myanmar, Namibia, Panama, Peru, Portugal, Recycled/Scrap, Taiwan, Canada, recycled, CID000402, L1 | Excludes Covered Countries | Recycled | INDONESIA | No known country of origin | recycled | Mineral sourcing L1, Not disclosed by supplier | RCOI confirmed as per RMI | RCOI confirmed as per CFSI | L1 | Excludes Covered Countries | INDONESIA | RCOI confirmed as per CFSI | No known country of origin | Mineral sourcing L1, Not disclosed by supplier | recycled | Recycled | Does not source from DRC or covered countries | Mineral sourcing L1, R/S, Not di | 60-1 Otarube, Kosaka-machi, Kazuno-gun, Akita 017-0202 Japan | R/S | Mineral sourcing L1, R/S, not disclosed by supplier | Yes | Recycled/Scrap Only | Not Available | Recycled/Scrap, Mineral sourcing R/S, Mineral sourcing R/S based on RMAP-RMI's RCOI data, No information, No known country of origin, R/S, R/S | Recycled/Scrap | No known country of origin | Not Available | 60-1 Otarube, Kosaka-machi, Kazuno-gun, Akita 017-0202 Japan | Recycled/Scrap Only, RCOI confirmed per RMI, Recycled, Recycled , Scrap, Recycled, Scrap, Recycled/Scrap, Recycled/Scrap Only, Recycled/Scrap Only | Mineral sourcing R/S | Not disclosure | Recycled or Scrap | RCOI confirmed per RMI | Recycled | Recycled/Scrap, Japan, Recycled/Scrap, Japan, Recycled/Scrap;Recycled/Scrap, Japan, Panama, Argentina, Brazil, Colombia, Germany, Malaysia, Mongolia, Myanmar, Peru, Portugal, Canada, India, Austria, Belgium, Cambodia, Chile, Ecuador, Ethiopia, Guyana, Hungary, Kazakhstan, Korea, Luxembourg, Namibia, Taiwan, Australia, Indonesia, Bolivia (Plurinational State of), China, Ireland, Niger, Nigeria, Russian Federation, Thailand, United Kingdom, Viet Nam, Zimbabwe, Mexico, Djibouti, Egypt, Estonia, France, Israel, Madagascar, Netherlands, Sierra Leone, Singapore, Slovakia, Spain, Suriname, Switzerland, United States, Recyled/Scrap, scrap, Zambia, Argentina, Australia, Austria, Belgium, Benin, Bolivia, Brazil, Burkina Faso, Cambodia, Canada, Chile, China, Colombia, Djibouti, Ecuador, Egypt, Eritrea, Estonia, Ethiopia, Finland, France, Germany, Ghana, Guatemala, Guinea, Guyana, Honduras, Hong Kong, Hungary, India, Indonesia, Ireland, Israel, Japan, Kazakhstan, Luxembourg, Madagascar, Malaysia, Mali, Mexico, Mongolia, Mozambique, Myanmar, Namibia, Netherlands, Nicaragua, Niger, Nigeria, Panama, Peru, Philippines, Portugal, Republic of Korea, Russia, Senegal, Sierra Leone, Singapore, Slovakia, Spain, Suriname, Sweden, Switzerland, Taiwan, Thailand, Togo, USA, United Kingdom, Vietnam, Zimbabwe, Recycled/Scrap, スクラップ</t>
  </si>
  <si>
    <t>Compliant, COMPLIANT 09/22/2015, Compliant Conformant, Conformant, Conformant Smelter, Conformant smelter according to RMI, audit valid until 2023, Conformant Smelter according to RMI, last cycle in 30.10.2020 with a cycle of 1 Year, RCOI confirmed as per RMAP, RMAP Conformant, RMAP Conformant Smelter, RMAP Conformant Smelter / RCOI confirmed per RMI, This smelter is RMI Conformant.
http://www.responsiblemineralsinitiative.org/tin-smelters-list/</t>
  </si>
  <si>
    <t>CID003579</t>
  </si>
  <si>
    <t>Dragon Silver Holdings Limited</t>
  </si>
  <si>
    <t>CID003831</t>
  </si>
  <si>
    <t>DS Myanmar</t>
  </si>
  <si>
    <t>CID003410</t>
  </si>
  <si>
    <t>Gejiu City Fuxiang Industry and Trade Co., Ltd.”</t>
  </si>
  <si>
    <t>Gejiu City Fuxiang Industry and Trade Co., Ltd.</t>
  </si>
  <si>
    <t>Xiaowatang Industrial park, Shuitangzhai Village Committee, Xicheng town, Gejiu city, Honghe , Yunnan Province, China</t>
  </si>
  <si>
    <t>Mr. Wang Pengxiang, Wang Pengxiang</t>
  </si>
  <si>
    <t>357212710@qq.com</t>
  </si>
  <si>
    <t>China, Liechtenstein, Myanmar, Recycled/Scrap, China, Myanmar, Recycled/Scrap, Liechtenstein, China, Recycled/Scrap, Due diligence results pending, No known country of origin, Unknown, Unknown, but no reason to believe sources from covered countries</t>
  </si>
  <si>
    <t>CID002572</t>
  </si>
  <si>
    <t>Electro-Mechanical Facility of the Cao Bang Minerals &amp; Metallurgy Joint Stock Company</t>
  </si>
  <si>
    <t>Tinh Tuc Town, Nguyen Binh District, Cao Bang Province, VietNam</t>
  </si>
  <si>
    <t>Tinh Tuc</t>
  </si>
  <si>
    <t>Cao Bằng</t>
  </si>
  <si>
    <t>Hoa Pham</t>
  </si>
  <si>
    <t>hoapham86@gmail.com</t>
  </si>
  <si>
    <t>Brazil, Canada, Chile, China, Indonesia, Malaysia, Namibia, Recycled/Scrap, United States, Viet Nam, Brazil, Canada, Chile, China, Indonesia, Malaysia, United States, Vietnam, recycled/scrap, Canada, Viet Nam, United States, China, Brazil, Chile, Canada, Vietnam, USA, China, Brazil, Chile, Indonesia, Recycled/Scrap, DRC or an adjoining country (Covered Countries), Malaysia, Vietnam, , DRC, Brazil, Canada, Chile, China, Indonesia, Malaysia, Namibia, USA, Vietnam, Recycled/Scrap, Recycled/Scrap, Brazil, Canada, Chile, China, United States, Malaysia, Indonesia, Viet Nam, Recycled/Scrap, Brazil, Canada, Chile, China, United States, Malaysia, Indonesia, Viet Nam, Namibia, Uzbekistan, Argentina, Australia, Austria, Belgium, Cambodia, Colombia, Djibouti, Ecuador, Egypt, Estonia, Ethiopia, France, Germany, Guyana, Hungary, India, Ireland, Israel, Japan, Kazakhstan, Korea, Luxembourg, Madagascar, Mongolia, Myanmar, Netherlands, Niger, Nigeria, Peru, Portugal, Russian Federation, Sierra Leone, Singapore, Slovakia, Spain, Suriname, Switzerland, Taiwan, Thailand, United Kingdom, Zimbabwe, Åland Islands, Unknown</t>
  </si>
  <si>
    <t>0, ACTIVE 09/22/2015</t>
  </si>
  <si>
    <t>CID001323</t>
  </si>
  <si>
    <t>EM Vinto</t>
  </si>
  <si>
    <t>CID000448</t>
  </si>
  <si>
    <t>Estanho de Rondônia S.A.</t>
  </si>
  <si>
    <t>Estanho de Rondonia S.A.</t>
  </si>
  <si>
    <t>Rua do Estanho, 123, Ariquemes, Rondônia, Brasil</t>
  </si>
  <si>
    <t>0, Firmino Da Silva, Firmino Da Silva, Ivan Cardoso, Ivan Cardoso, Ivan Cardoso, Firmino Da Silva, ROBINSON BORGES</t>
  </si>
  <si>
    <t>0, canal_denuncia@csn.com.br, canal_denuncia@csn.com.br; ivan.viana@csn.com.br, ivan.viana@csn.com.br, ivan.viana@csn.com.br, canal_denuncia@csn.com.br</t>
  </si>
  <si>
    <t>Conformant-Reaudit In Progress</t>
  </si>
  <si>
    <t>Brazil, Brazil, Recycled/Scrap, Taiwan, Brazil, Taiwan, Brazil, Taiwan, Recycled/Scrap, India, Indonesia, Australia, Austria, Canada, Chile, China, France, Germany, Japan, Malaysia, Mongolia, Peru, Singapore, Switzerland, Thailand, United States, Angola, Argentina, Belgium, Burundi, Cambodia, Central African Republic, Colombia, Djibouti, Ecuador, Egypt, Estonia, Ethiopia, Guyana, Hungary, Ireland, Israel, Kazakhstan, Korea, Luxembourg, Madagascar, Myanmar, Namibia, Netherlands, Niger, Nigeria, Portugal, Rwanda, Sierra Leone, Slovakia, South Sudan, Spain, Sudan, Suriname, Tanzania, Uganda, United Kingdom, Zambia, Zimbabwe, Bolivia (Plurinational State of), Mexico, Mozambique, Philippines, South Africa, DRC, Angola, Burundi, Central African Republic, Rwanda, South Sudan, Tanzania, Uganda, Zambia, Argentina, Australia, Austria, Belgium, Bolivia, Brazil, Cambodia, Canada, Chile, China, Colombia, Djibouti, Ecuador, Egypt, Estonia, Ethiopia, France, Germany, Guyana, Hungary, India, Indonesia, Ireland, Israel, Japan, Kazakhstan, Laos, Luxembourg, Madagascar, Malaysia, Mexico, Mongolia, Mozambique, Myanmar, Namibia, Netherlands, Niger, Nigeria, Peru, Philippines, Portugal, Republic of Korea, Sierra Leone, Singapore, Slovakia, South Africa, Spain, Sudan, Suriname, Switzerland, Taiwan, Thailand, USA, United Kingdom, Zimbabwe, Recycled/Scrap, Excludes Covered Countries and CAHRA, Excludes Covered Countries and CAHRA | From Brazil and Taiwan, From Brazil and Taiwan, No information, Taiwan, Brazil, Unknown</t>
  </si>
  <si>
    <t>Compliant, Compliant Conformant, Conformant smelter according to RMI, audit valid until 2022, RMAP Conformant Smelter</t>
  </si>
  <si>
    <t>CID003582</t>
  </si>
  <si>
    <t>Fabrica Auricchio Industria e Comercio Ltda.</t>
  </si>
  <si>
    <t>Mogi das Cruzes</t>
  </si>
  <si>
    <t>#N/A, Douglas Cesar de Araujo</t>
  </si>
  <si>
    <t>#N/A, douglas.araujo@chumbo.com.br</t>
  </si>
  <si>
    <t>Conformant, Conformant- Reaudit In Progress, Conformant-Reaudit In Progress, due diligence needed, Supplier contacts: hyeju.lee@amkor.com; lisa.bjornson@sanmina.com</t>
  </si>
  <si>
    <t>0, LR, No information, Not disclosed by supplier, RCOI confirmed per RMI, Unknown</t>
  </si>
  <si>
    <t>0, Due diligence results pending, Excludes Covered Countries and CAHRA, Excludes Covered Countries and CAHRA | Mineral sourcing LR based on RMAP-RMI's RCOI data, Mineral sourcing LR based on RMAP-RMI's RCOI data, No information, No known country of origin, RCOI confirmed per RMI, Unknown</t>
  </si>
  <si>
    <t>Compliant, Compliant Conformant, Conformant, RCOI confirmed per RMI</t>
  </si>
  <si>
    <t>Fenix Metals</t>
  </si>
  <si>
    <t>Chmielów</t>
  </si>
  <si>
    <t>CID000468</t>
  </si>
  <si>
    <t>Podkarpackie</t>
  </si>
  <si>
    <t>Paracas</t>
  </si>
  <si>
    <t>Ica</t>
  </si>
  <si>
    <t>CID002576</t>
  </si>
  <si>
    <t>Furuuchi Chemical Corporation</t>
  </si>
  <si>
    <t>CID001173</t>
  </si>
  <si>
    <t>Toboca/ Paranapenema</t>
  </si>
  <si>
    <t>Bairro Guarapiranga</t>
  </si>
  <si>
    <t>Mineração Taboca S.A.</t>
  </si>
  <si>
    <t>CID002580</t>
  </si>
  <si>
    <t>T.C.A S.p.A</t>
  </si>
  <si>
    <t>Capolona, Italy</t>
  </si>
  <si>
    <t>Capolona</t>
  </si>
  <si>
    <t>Gold, GoldT.C.A S.p.A, N/A, not available, T.C.A S.P.A, Unspecified</t>
  </si>
  <si>
    <t>GoldT.C.A S.p.A, T.C.A S.p.A, tcapsa@tcaspa.com, tcaspa@tcaspa.com</t>
  </si>
  <si>
    <t>Conformant, Conformant-audited by LBMA RG- valid until 05/19/2023, no action need, No Action Required as company is RMAP conformant, None, CFS Certified, Supplier contacts: hyeju.lee@amkor.com; Infineon Customer Contact @infineon.com;  lisa.bjornson@sanmina.com; yushin@harvatek.com, T.C.A S.p.A, Validated by LBMA RG until 07/21/2022</t>
  </si>
  <si>
    <t>0, Arezzo, Alessandria and Vicenza, Arezzo, Alessandria and Vicenza | Not disclosed per LBMA | RCOI confirmed as per RMI but not disclosed by LBMA | Arezzo, Alessandria and Vicenza | RCOI confirmed as per CFSI but not disclosed by LBMA | Not disclosed per LBMA | Not disclosed by supplier | Not disclosed by supplier, Arezzo, Alessandria and Vicenza | RCOI confirmed as per RMI but not disclosed by LBMA, ITALY, No information, Not disclosed by supplier, Not disclosed per LBMA, RCOI confirmed as per RMI., RCOI confirmed per RMI, See aggregated data below for LBMA Good Delivery Sourcing, Sourced from Mines/Recyale/Scrap | Not disclosed by supplier, Unknown, but some recycled/scrap</t>
  </si>
  <si>
    <t>Argentina, Austria, Belgium, Brazil, Cambodia, Canada, Chile, China, Colombia, Ecuador, Ethiopia, Guinea, Guyana, Hungary, India, Italy, Japan, Kazakhstan, Korea, Luxembourg, Malaysia, Mongolia, Myanmar, Namibia, Papua New Guinea, Peru, Recycled/Scrap, Burundi, Rwanda, Argentina, Australia, Austria, Belgium, Brazil, Cambodia, Canada, Chile, China, Colombia, Djibouti, Ecuador, Egypt, Estonia, Ethiopia, France, Germany, Guinea, Guyana, Hong Kong, Hungary, India, Indonesia, Ireland, Israel, Italy, Japan, Kazakhstan, Luxembourg, Madagascar, Malaysia, Mexico, Mongolia, Myanmar, Namibia, Netherlands, Niger, Nigeria, Panama, Papua New Guinea, Peru, Portugal, Republic of Korea, Russia, Sierra Leone, Singapore, Slovakia, Spain, Suriname, Taiwan, Thailand, USA, United Kingdom, Uzbekistan, Vietnam, Zimbabwe, Recycled/Scrap, China, Italy, Japan, recycled/scrap, CID002580, Italy, Italy, Recycled/Scrap, China, Japan, Italy, Recycled/Scrap, China, Japan | Mineral sourcing not disclosed by LBMA, Known Countries from which LBMA Good Delivery List Refiners Source - Mined  Material (Provided by LBMA), Known Countries from which LBMA Good Delivery List Refiners Source - Mined  Material (Provided by LBMA) | RCOI confirmed as per RMI but not disclosed by LBMA | Italy | Capolona, Italy, LBMA Good Delivery Sourcing based on RMAP-RMI's RCOI data, Mineral sourcing not disclosed by LBMA, No information, Not disclosed per LBMA, Not disclosed per LBMA (Italy) | Italy | Not disclosed per LBMA | RCOI confirmed as per RMI but not disclosed by LBMA | Not disclosed per LBMA (Italy) | RCOI confirmed as per CFSI but not disclosed by LBMA | Italy | Not disclosed per LBMA | Known Countries from which LBMA Good Delivery List Refiners Source - Mined  Material (Provided by LBMA) | Does not source from DRC or | Known Countries from which LBMA Good Delivery List Refiners Source - Mined  Material (Provided by LBMA) | Capolona, Italy, RCOI confirmed as per RMI., RCOI confirmed per RMI, Recycled/Scrap, Italy, Japan, China, Recycled/Scrap, Italy, Japan, China, Korea, Argentina, Austria, Belgium, Brazil, Cambodia, Canada, Chile, Colombia, Ecuador, Ethiopia, Guinea, Guyana, Hungary, India, Kazakhstan, Luxembourg, Malaysia, Mongolia, Myanmar, Namibia, Papua New Guinea, Peru, Portugal, Taiwan, Panama, Burundi, Rwanda, Australia, Djibouti, Egypt, Estonia, France, Germany, Hong Kong, Indonesia, Ireland, Israel, Madagascar, Mexico, Netherlands, Niger, Nigeria, Russian Federation, Sierra Leone, Singapore, Slovakia, Spain, Suriname, Thailand, United Kingdom, United States, Uzbekistan, Viet Nam, Zimbabwe, Unknown</t>
  </si>
  <si>
    <t>Compliant, Compliant Conformant, Conformant, Conformant Smelter, Conformant smelter according to RMI, audit valid until 2022, Conformant Smelter according to RMI, last cycle in 21.07.2020 with a cycle of 1 Year, RCOI confirmed per RMI, RCOI confirmed per RMI / LBMA Good Delivery Sourcing, RMAP Conformant</t>
  </si>
  <si>
    <t>CID001840</t>
  </si>
  <si>
    <t>Tai Perng</t>
  </si>
  <si>
    <t>CID001857</t>
  </si>
  <si>
    <t>TAIWAN TOTAI CO., LTD.</t>
  </si>
  <si>
    <t>Taiwan Totai Co., Ltd.</t>
  </si>
  <si>
    <t>CID002615</t>
  </si>
  <si>
    <t>TOO Tau-Ken-Altyn</t>
  </si>
  <si>
    <t>A194 Street, house 1 Industrial Park Astana city, Almaty Region Republic of Kasakhstan</t>
  </si>
  <si>
    <t>Astana</t>
  </si>
  <si>
    <t>Almaty</t>
  </si>
  <si>
    <t>Gold, Zhanas Muratbek</t>
  </si>
  <si>
    <t>admin@taukenaltyn.kz, TOO Tau-Ken-Altyn</t>
  </si>
  <si>
    <t>Conformant, Conformant-audited by LBMA RG- valid until 06/07/2023, no action need, No Action Required as company is RMAP conformant, Supplier contacts: hyeju.lee@amkor.com; Infineon Customer Contact @infineon.com; lisa.bjornson@sanmina.com; yushin@harvatek.com, TOO Tau-Ken-Altyn, Validated by LBMA RG until 09/10/2022</t>
  </si>
  <si>
    <t>0, KAZAKHSTAN, No information, Not disclosed by supplier, Not disclosed by supplier | Sourced from Mines/Recyale/Scrap, Not disclosed per LBMA, RCOI confirmed as per RMI., RCOI confirmed per RMI, See aggregated data below for LBMA Good Delivery Sourcing, Unknown, Unknown, but some recycled/scrap</t>
  </si>
  <si>
    <t>Austria, Estonia, Kazakhstan, Recycled/Scrap, Viet Nam, Austria, Estonia, Kazakhstan, Vietnam, Recycled/Scrap, Austria, Kazakhstan, CID002615, Excludes Covered Countries, Kazakhstan, Austria, Kazakhstan, Austria, Estonia, Viet Nam, Recycled/Scrap, LBMA Good Delivery Sourcing based on RMAP-RMI's RCOI data, Mineral sourcing not disclosed by LBMA, Mineral sourcing not disclosed by LBMA | Austria, Kazakhstan, No information, No known country of origin, Not disclosed per LBMA, RCOI confirmed as per RMI., RCOI confirmed per RMI, Unknown</t>
  </si>
  <si>
    <t>Compliant, Compliant Conformant, Conformant, Conformant Smelter, Conformant smelter according to RMI, audit valid until 2022, Conformant Smelter according to RMI, last cycle in 10.09.2020 with a cycle of 1 Year, RCOI confirmed per RMI, RMAP Conformant</t>
  </si>
  <si>
    <t>CID001938</t>
  </si>
  <si>
    <t>Tokuriki Honten Co., Ltd.</t>
  </si>
  <si>
    <t>Kuki, Saitama, Japan</t>
  </si>
  <si>
    <t>Kuki</t>
  </si>
  <si>
    <t>(+81)3-3252-0171, Gold, Jiangxi, Naoji Yamada, Not disclosed</t>
  </si>
  <si>
    <t>Inqurities on the home page of the company, nao-yamada@tokuriki-kanda.co.jp, Not disclosed, Tokuriki Honten Co., Ltd.</t>
  </si>
  <si>
    <t>CFS validated, Conformant, Conformant-audited by LBMA RG- valid until 06/28/2023, no action need, No Action Required as company is RMAP conformant, None, CFS Certified, RCOI validated by RMI Protocols , Supplier contacts: hyeju.lee@amkor.com; catherine.pelissonnier@st.com; (Phiron) nancy.joy@materion.com; Infineon Customer Contact @infineon.com; jeffery.hung@awsc.com.tw; katsunori.hirata@jp.fujikura.com; asaharah@dowa.co.jp; zhengna@rohm.com.sg; nadine.jahn@aim-micro-systems.de; lisa.bjornson@sanmina.com; theodore.knudson@materion.com; yushin@harvatek.com; Demi_Lo@arimalasers.com; Emily_Hsieh@epistar.com; t.gruber@ats.net; higuchi.yasunobu.xhfos@showadenko.com; antony@elaser.com.tw, Tokuriki Honten Co., Ltd., Validated by LBMA RG until 05/22/2022</t>
  </si>
  <si>
    <t>0, JAPAN, No information, Not disclosed per LBMA, RCOI confirmed as per RMI., RCOI confirmed per RMI, Recycled, Recycled | Not disclosed per LBMA | Not disclosed | RCOI confirmed as per RMI but not disclosed by LBMA | Some are recycled or scrap sourced but not all. | Recycled | RCOI confirmed as per CFSI but not disclosed by LBMA | recycled | Not disclosed per LBMA | Some are recycled or scrap sourced but not all. | Not disclosed | recycled, Recycled | RCOI confirmed as per RMI but not disclosed by LBMA, Recycled and mines, not disclosed by supplier, Recycled and mining not disclosed by supplier, Recycled and mining not disclosed by supplier | RCOI confirmed per RMI | Sourced from Mines/Recyale/Scrap | Recycled, See aggregated data below for LBMA Good Delivery Sourcing, Unknown, but some recycled/scrap</t>
  </si>
  <si>
    <t>Angola, Argentina, Australia, Austria, Belgium, Brazil, Burundi, Cambodia, Canada, Chile, China, Germany, Hong Kong, Indonesia, Japan, Korea, Peru, Portugal, Recycled/Scrap, Russian Federation, United States, Australia, Canada, Chile, China, Hong Kong, Indonesia, Japan, Peru, USA, recycled/scrap, Canada, Hong Kong, United States, China, Japan, Australia, Chile, Peru, Canada, Hong Kong, United States, Japan, China, Australia, Chile, Peru, CID001938, DRC, Angola, Burundi, Central African Republic, Rwanda, South Sudan, Tanzania, Uganda, Zambia, Argentina, Australia, Austria, Belgium, Brazil, Cambodia, Canada, Chile, China, Colombia, Djibouti, Ecuador, Egypt, Estonia, Ethiopia, France, Germany, Guyana, Hong Kong, Hungary, India, Indonesia, Ireland, Israel, Japan, Kazakhstan, Luxembourg, Madagascar, Malaysia, Mexico, Mongolia, Mozambique, Myanmar, Namibia, Netherlands, Niger, Nigeria, Panama, Peru, Portugal, Republic of Korea, Russia, Sierra Leone, Singapore, Slovakia, Spain, Sudan, Suriname, Switzerland, Taiwan, Thailand, USA, United Kingdom, Vietnam, Zimbabwe, Recycled/Scrap,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Kuki, Saitama, Japan, Mineral sourcing not disclosed by LBMA, Mineral sourcing not disclosed by LBMA | Recycled or Scrap | RCOI confirmed per RMI | Recycled/Scrap, Canada, China, USA, Japan, Australia, Chile, Peru, Indonesia | recycled | Recycled, Mineral sourcing R/S and Mines not disclosed per LBMA, No information, Not disclosed per LBMA, Not disclosed per LBMA | recycled | Recycled | Not disclosed per LBMA (recycled or scrap) | Canada, Hong Kong, United States, China, Japan, Australia, Chile, Peru | RCOI confirmed as per RMI but not disclosed by LBMA | Excludes Covered Countries | Mineral sourcing L1,R/S, Not disclosed by supplier | Not disclosed per LBMA | recycled | Not disclosed per LBMA (recycled or scrap) | RCOI confirmed as per CFSI but not disclosed by LBMA | Canada, Hong Kong, United States, China, Japan, Australia, Chile, Peru | Mineral sourcing L1,R/S, Not disclosed by supp | Known Countries from which LBMA Good Delivery List Refiners Source - Mined  Material (Provided by LBMA) | Kuki, Saitama, Japan | RCOI confirmed as per RMI | Mineral sourcing R/S | Yes, RCOI confirmed as per RMI., RCOI confirmed per RMI, recycled, Recycled/Scrap, Canada, China, USA, Japan, Australia, Chile, Peru, Indonesia, Recycled/Scrap, Canada, China, USA, Japan, Australia, Chile, Peru, Indonesia;Recycled/Scrap, Japan, China, Canada, Australia, United States, Chile, Peru, Indonesia, Hong Kong, Portugal, Russian Federation, not disclosed per LBMA (recycled or scrap), Germany, Korea, Belgium, Angola, Argentina, Austria, Brazil, Burundi, Cambodia, Central African Republic, Colombia, Congo, Democratic Republic of Congo, Djibouti, Ecuador, Egypt, Estonia, Ethiopia, France, Guyana, Hungary, India, Ireland, Israel, Kazakhstan, Luxembourg, Madagascar, Malaysia, Mexico, Mongolia, Mozambique, Myanmar, Namibia, Netherlands, Niger, Nigeria, Rwanda, Sierra Leone, Singapore, Slovakia, South Sudan, Spain, Sudan, Suriname, Switzerland, Taiwan, Tanzania, Thailand, Uganda, United Kingdom, Viet Nam, Zambia, Zimbabwe, Panama, Recycled/Scrap, Japan, China, Canada, Australia, United States, Chile, Peru, Indonesia, Hong Kong, Unknown</t>
  </si>
  <si>
    <t>CFS Compliant Gold Smelter &amp;amp; Refiner
Valid until Octobar 30,2014
Audited by LBMA, Compliant, COMPLIANT 09/22/2015, Compliant Conformant, Conformant, Conformant Smelter, Conformant smelter according to RMI, audit valid until 2022, Conformant Smelter according to RMI, last cycle in 22.05.2020 with a cycle of 1 Year,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RMI Conformant.
http://www.responsiblemineralsinitiative.org/gold-refiners-list/</t>
  </si>
  <si>
    <t>CID001947</t>
  </si>
  <si>
    <t>Tongling Nonferrous Metals Group Co., Ltd.</t>
  </si>
  <si>
    <t>West Changjiang Road, Tongling City, Anhui Province, China, 244001</t>
  </si>
  <si>
    <t>Tongling</t>
  </si>
  <si>
    <t>Anhui Sheng</t>
  </si>
  <si>
    <t>Mr. Wan, Mr. Wan (万经理)</t>
  </si>
  <si>
    <t>Wan.J@jyqh.com.cn</t>
  </si>
  <si>
    <t>China, China, Germany, Japan, Recycled/Scrap, China, Germany, Japan, Vietnam, Recycled/Scrap, China, Recycled/Scrap, Japan, Germany, Vietnam, Recycled/Scrap, China, Japan, Germany, Recycled/Scrap, China, Japan, Germany, Canada, Viet Nam, Portugal, Russian Federation, Panama, Argentina, Australia, Austria, Belgium, Brazil, Cambodia, Chile, Colombia, Djibouti, Ecuador, Egypt, Estonia, Ethiopia, France, Guyana, Hungary, India, Indonesia, Ireland, Israel, Kazakhstan, Korea, Luxembourg, Madagascar, Malaysia, Mongolia, Myanmar, Namibia, Netherlands, Niger, Nigeria, Peru, Poland, Sierra Leone, Singapore, Slovakia, Spain, Suriname, Switzerland, Thailand, United Kingdom, United States, Zimbabwe, Unknown</t>
  </si>
  <si>
    <t>CID002003</t>
  </si>
  <si>
    <t>Valcambi SA</t>
  </si>
  <si>
    <t>Valcambi S.A.</t>
  </si>
  <si>
    <t>Balerna, Switzerland</t>
  </si>
  <si>
    <t>Balerna</t>
  </si>
  <si>
    <t>customer service, Gennaro Maria Cristina, Gold, Michael Mesaric, Qaraghandy oblysy</t>
  </si>
  <si>
    <t>41 (0)91 260 05 69, mariacristina.gennaro@valcambi.com, Michael.Mesaric@valcambi.com, Valcambi S.A.</t>
  </si>
  <si>
    <t>Conformant-audited by LBMA RG / RJC- valid until 07/05/2023, NA, no action need, No Action Required as company is RMAP conformant, None, CFS Certified, Supplier contacts: hyeju.lee@amkor.com; catherine.pelissonnier@st.com; Infineon Customer Contact @infineon.com;  nutthaphon@focuz-mfg.com; lisa.bjornson@sanmina.com; yushin@harvatek.com; Ravikumar.Ramachandran@fci.com, Valcambi S.A., Validated by LBMA RG / RJC until 07/05/2023</t>
  </si>
  <si>
    <t>0, From various mines + recycled + scrap | Not disclosed per RJC | Not Disclosed per RJC | Recycled/Scrap;Japan | RCOI confirmed as per RMI but not disclosed by RJC | From Valcambi SA | Valcambi SA | From various mines + recycled + scrap | RCOI confirmed as per CFSI but not disclosed by RJC | Not disclosed per RJC | Not Disclosed per RJC | Recycled/Scrap;Japan | Not disclosed by supplier | Not disclosed by supplier | RCOI confirmed as per RMI but not disclosed by LBMA, No information, Not disclosed by supplier, Not disclosed by supplier | RCOI confirmed as per RMI but not disclosed by LBMA, Not disclosed by supplier | Sourced from Mines/Recyale/Scrap | RCOI confirmed per RMI, Not disclosed per RJC/LBMA, RCOI confirmed as per RMI., RCOI confirmed per RMI, See aggregated data below for LBMA Good Delivery Sourcing and RJC Sourcing, SWITZERLAND, Unknown, but some recycled/scrap, Valcambi S.A, Recycled/Scrap, Valcambi S.A.</t>
  </si>
  <si>
    <t>Andorra, Angola, Argentina, Australia, Austria, Brazil, Cambodia, Chile, China, Colombia, Democratic Republic of Congo, Ecuador, Germany, Guyana, Hong Kong, Hungary, Japan, Kazakhstan, Korea, Luxembourg, Recycled/Scrap, Switzerland, Taiwan, United States, Australia, China, Germany, Hong Kong, Japan, Switzerland, Taiwan, USA, recycled/scrap, China, Japan, Australia, Switzerland, Germany, Recycled/Scrap, USA, CID002003, DRC, Angola, Burundi, Central African Republic, Rwanda, South Sudan, Tanzania, Uganda, Zambia, Andorra, Argentina, Australia, Austria, Belgium, Brazil, Cambodia, Canada, Chile, China, Colombia, Djibouti, Ecuador, Egypt, Eritrea, Estonia, Ethiopia, France, Germany, Guyana, Hong Kong, Hungary, India, Indonesia, Ireland, Israel, Japan, Kazakhstan, Luxembourg, Madagascar, Malaysia, Mongolia, Mozambique, Myanmar, Namibia, Netherlands, Niger, Nigeria, Peru, Portugal, Republic of Korea, Russia, Sierra Leone, Singapore, Slovakia, South Africa, Spain, Sudan, Suriname, Switzerland, Taiwan, Thailand, USA, United Kingdom, Vietnam, Zimbabwe, Recycled/Scrap, Excludes Covered Countries, Hong Kong, China, Japan, Taiwan, Australia, Switzerland, Germany, Hong Kong, Japan, China, Taiwan, Australia, Switzerland, Germany, Known Countries from which Conformant Gold Refiners Source | RCOI confirmed as per RMI but not disclosed by LBMA | Hong Kong, China, Japan, Taiwan, Australia, Switzerland, Germany | Balerna, Switzerland, Known Countries from which LBMA Good Delivery List Refiners Source - Mined  Material (Provided by LBMA), Mineral sourcing not disclosed by LBMA and RJC, Mineral sourcing not disclosed by LBMA and RJC | China, Japan, Australia, Switzerland, Germany, Recycled/Scrap, USA | RCOI confirmed per RMI, Mineral sourcing not disclosed per LBMA RG / RJC, No information, Not disclosed per LBMA | Not disclosed per RJC (Switzerland) | Hong Kong, China, Japan, Taiwan, Australia, Switzerland, Germany | Not disclosed per RJC | RCOI Confirmed as per CSFI | Not disclosed | RCOI confirmed as per RMI but not disclosed by RJC | Excludes Covered Countries | Not disclosed per LBMA | Not disclosed per RJC | Switzerland | Not disclosed per RJC (Switzerland) | RCOI confirmed as per CFSI but not disclosed by RJC | Hong Kong, China, Japan, Taiwan, Australia, Switzerland, Germany | RCOI Confirmed as per CSFI | Not | Hong Kong, Japan, China, Taiwan, Australia, Switzerland, Germany | Balerna, Switzerland | Known Countries from which Conformant Gold Refiners Source | Not disclosed by LBMA | RCOI confirmed as per RMI but not disclosed by LBMA, Not disclosed per RJC/LBMA, RCOI confirmed as per RMI., RCOI confirmed per RMI, Recycled/Scrap, Switzerland, Japan, Australia, China, Germany, United States, Hong Kong, Taiwan, Andorra, Recycled/Scrap, Switzerland, Japan, Australia, China, Germany, United States, Hong Kong, Taiwan, Andorra, Angola, Argentina, Austria, Brazil, Cambodia, Chile, Colombia, Democratic Republic of Congo, Ecuador, Guyana, Hungary, Kazakhstan, Korea, Luxembourg, Malaysia, Mongolia, Mozambique, Myanmar, Portugal, South Sudan, Sudan, Tanzania, Zambia, Eritrea, Canada, South Africa, Peru, Belgium, Burundi, Central African Republic, Congo, Djibouti, Egypt, Estonia, Ethiopia, France, India, Indonesia, Ireland, Israel, Madagascar, Namibia, Netherlands, Niger, Nigeria, Russian Federation, Rwanda, Sierra Leone, Singapore, Slovakia, Spain, Suriname, Thailand, Uganda, United Kingdom, Viet Nam, Zimbabwe, SWITZERLAND, Unknown</t>
  </si>
  <si>
    <t>Compliant, COMPLIANT 09/22/2015, Compliant Conformant, Conformant, Conformant Smelter, Conformant smelter according to RMI, audit valid until 2023, Conformant Smelter according to RMI, last cycle in 05.07.2020 with a cycle of 3 Years, RCOI confirmed per RMI / LBMA Good Delivery Sourcing, RMAP Conformant, RMAP Conformant Smelter, RMAP Conformant Smelter / RCOI confirmed per RMI</t>
  </si>
  <si>
    <t>CID003617</t>
  </si>
  <si>
    <t>Value Trading</t>
  </si>
  <si>
    <t>CID002009</t>
  </si>
  <si>
    <t>Viagra Di precious metals (Zhaoyuan) Co., Ltd.</t>
  </si>
  <si>
    <t>Viagra Di Precious Metals (Zhaoyuan) Co., Ltd.</t>
  </si>
  <si>
    <t>CID002023</t>
  </si>
  <si>
    <t>WANG TING</t>
  </si>
  <si>
    <t>Wang Ting</t>
  </si>
  <si>
    <t>CID003615</t>
  </si>
  <si>
    <t>WEEEREFINING</t>
  </si>
  <si>
    <t>Tourville les Ifs</t>
  </si>
  <si>
    <t>Normandie</t>
  </si>
  <si>
    <t>GoldWEEEREFINING</t>
  </si>
  <si>
    <t>On RMAP Active List, RMAP Conformant Smelter</t>
  </si>
  <si>
    <t>AUSTRALIA</t>
  </si>
  <si>
    <t>CID002512</t>
  </si>
  <si>
    <t>Jiangxi Dinghai Tantalum &amp; Niobium Co., Ltd.</t>
  </si>
  <si>
    <t>NO.98hujiabian road fengxin jiangxi China</t>
  </si>
  <si>
    <t>Fengxin</t>
  </si>
  <si>
    <t>Jocelyn Liu, Ms. Fen Zhou, NA, Toscana, XU LILI</t>
  </si>
  <si>
    <t>2336763048@qq.com, dept1@cniecjx.com.cn, jocelynliu@qq.com, NA</t>
  </si>
  <si>
    <t>-, Conformant- Reaudit In Progress, Conformant-Reaudit In Progress, NA, no action need, No Action Required as company is RMAP conformant, None, CFSP Certified, Supplier contacts: Infineon Customer Contact @infineon.com; yushin@harvatek.com, Validated by RMI until 09/20/2021</t>
  </si>
  <si>
    <t>0, from other mines in china, LR, NA, No information, Not disclosed by supplier, Not disclosed by supplier | RCOI confirmed as per RMI, RCOI confirmed as per RMI., RCOI confirmed per RMI, Recycled or scrap, and mining not disclosed by supplier, Recycled or scrap, and mining not disclosed by supplier | Sourced from Mines/Recyale/Scrap | RCOI confirmed per RMI, RUSSIAN FEDERATION | RCOI confirmed as per RMI | RUSSIAN FEDERATION | RCOI confirmed as per CFSI | Some are recycled, scrap, cover countries or DRC sourced but not all. | Not disclosed by supplier | Not disclosed by supplier, Some are recycled, scrap, covered countries or DRC sourced but not all, Some are recycled, scrap, covered countries or DRC sourced but not all. | RCOI confirmed per RMI, Unknown, but some recycled/scrap</t>
  </si>
  <si>
    <t>Argentina, Australia, Brazil, Canada, Chile, China, Ethiopia, France, Guinea, India, Japan, Madagascar, Malaysia, Mexico, Niger, Nigeria, Papua New Guinea, Peru, Recycled/Scrap, Russian Federation, Sierra Leone, Singapore, Thailand, United States, China, China, DRC or an adjoining country (Covered Countries), Recycled/Scrap, USA, Russia, China, DRC or an adjoining country (Covered Countries), Recycled/Scrap, USA, Russia;Recycled/Scrap, China, United States, Guinea, Australia, Brazil, Canada, Japan, Papua New Guinea, Peru, Mexico, Argentina, Chile, Singapore, Russian Federation, Ethiopia, France, Madagascar, Malaysia, Niger, Nigeria, Sierra Leone, Thailand, India, Bolivia (Plurinational State of), Guyana, Namibia, Zimbabwe, Eritrea, Indonesia, Colombia, Ghana, Ireland, Mali, Mongolia, Myanmar, Portugal, Spain, Taiwan, United Kingdom, Uzbekistan, DRC, Argentina, Australia, Bolivia, Brazil, Canada, Chile, China, Colombia, Eritrea, Ethiopia, France, Ghana, Guinea, Guyana, India, Indonesia, Ireland, Japan, Madagascar, Malaysia, Mali, Mexico, Mongolia, Myanmar, Namibia, Niger, Nigeria, Papua New Guinea, Peru, Portugal, Russia, Sierra Leone, Singapore, Spain, Taiwan, Thailand, USA, United Kingdom, Uzbekistan, Zimbabwe, Recycled/Scrap, Excludes Covered Countries, Excludes Covered Countries | RUSSIAN FEDERATION | No known country of origin | RCOI confirmed as per RMI | Excludes Covered Countries | RUSSIAN FEDERATION | RCOI confirmed as per CFSI | No known country of origin | L1, L3, DRC, R/S | Reason to believe sources from the DRC or covered countries | Mineral sourcing L1, not disclosed by supplier | NO.98hujiabian road fengxin jiangxi China | L1 | Mineral sourcing L1, not disclosed by RMI, Includes Covered Countries and CAHRA, Includes Covered Countries and CAHRA | Mineral R/S and mineral sourcing not disclosed | China, DRC or an adjoining country (Covered Countries), Recycled/Scrap, USA, Russia | RCOI confirmed per RMI, L1, L1 | RCOI confirmed as per RMI | No known country of origin | NO.98hujiabian road fengxin jiangxi China, Mineral R/S and mineral sourcing not disclosed, Mineral sourcing LR based on RMAP-RMI's RCOI data, NA, No information, No known country of origin, RCOI confirmed as per RMI., RCOI confirmed per RMI, Recycled/Scrap, China, United States, Recycled/Scrap, China, United States, Guinea, Australia, Brazil, Canada, Japan, Papua New Guinea, Peru, Mexico, Argentina, Chile, Singapore, Russian Federation, Ethiopia, France, Madagascar, Malaysia, Niger, Nigeria, Sierra Leone, Thailand, India, Bolivia (Plurinational State of), Guyana, Namibia, Zimbabwe, Eritrea, Indonesia, Colombia, Ghana, Ireland, Mali, Mongolia, Myanmar, Portugal, Spain, Taiwan, United Kingdom, Uzbekistan, Some are recycled, scrap, covered countries or DRC sourced but not all, Unspecified covered country, China, Russia, USA, recycled/scrap</t>
  </si>
  <si>
    <t>Compliant, Compliant Conformant, Conformant, Conformant Smelter, Conformant smelter according to RMI, audit valid until 2020, reassessment in progress, Conformant Smelter according to RMI, last cycle in 20.09.2019 with a cycle of 1 Year, Listed on CFSI Conflict Free Smelter List, RCOI confirmed per RMI, RMAP Conformant, RMAP Conformant Smelter, RMAP Conformant Smelter / RCOI confirmed per RMI</t>
  </si>
  <si>
    <t>CID002842</t>
  </si>
  <si>
    <t>Jiangxi Tuohong New Raw Material</t>
  </si>
  <si>
    <t>No. 3, Chunyi Road, Industrial Park</t>
  </si>
  <si>
    <t>Antofagasta, Huang Shuigen, Mr. Huang Shuigen, NA, XU LILI</t>
  </si>
  <si>
    <t>489673857@qq.com, dept1@cniecjx.com.cn, NA</t>
  </si>
  <si>
    <t>Conformant, Conformant- Reaudit In Progress, NA, no action need, No Action Required as company is RMAP conformant, Supplier contacts: Infineon Customer Contact @infineon.com; yushin@harvatek.com, Validated by RMI until 06/04/2022</t>
  </si>
  <si>
    <t>0, LR, HR, NA, No information, Not disclosed by supplier, Not disclosed by supplier | RCOI confirmed as per RMI, RCOI confirmed as per RMI., RCOI confirmed per RMI, Recycled and mining not disclosed by supplier, Recycled and mining not disclosed by supplier | RCOI confirmed per RMI | Sourced from Mines/Recyale/Scrap, Some are recycled or scrap sourced but not all, Some are sourced from covered countries or DRC but not all. , UNITED STATES OF AMERICA | RCOI confirmed as per RMI | UNITED STATES OF AMERICA | RCOI confirmed as per CFSI | Some are cover countries or DRC sourced but not all. | Not disclosed by supplier | Not disclosed by supplier, Unknown, but some recycled/scrap</t>
  </si>
  <si>
    <t>Australia, Brazil, Canada, China, Ethiopia, France, Guinea, India, Madagascar, Malaysia, Mozambique, Namibia, Niger, Nigeria, Recycled/Scrap, Russian Federation, Saudi Arabia, Sierra Leone, Thailand, Turkey, United Arab Emirates, United States, Zimbabwe, China, DRC or an adjoining country (Covered Countries), Recycled/Scrap, USA, Australia, Mozambique, Canada, DRC, Burundi, Rwanda,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Excludes Covered Countries and CAHRA, Includes CAHRA, Includes CAHRA | Mineral R/S and mineral sourcing not disclosed | RCOI confirmed per RMI | Excludes Covered Countries and CAHRA | China, DRC or an adjoining country (Covered Countries), Recycled/Scrap, USA, Australia, Mozambique, Canada, Includes Covered Countries, L1, CC, DRC, L1, CC, DRC | RCOI confirmed as per RMI | No. 3, Chunyi Road, Industrial Park, Mineral R/S and mineral sourcing not disclosed, Mineral sourcing L1 based on RMAP-RMI's RCOI data, NA, No information, No known country of origin, RCOI confirmed as per RMI., RCOI confirmed per RMI, Recycled/Scrap, China, Australia, United States, Mozambique, Canada, Recycled/Scrap, China, Australia, United States, Mozambique, Canada, Turkey, Saudi Arabia, United Arab Emirates, Brazil, Ethiopia, Niger, Nigeria, Sierra Leone, India, Namibia, Zimbabwe, Guinea, Malaysia, Thailand, France, Madagascar, Russian Federation, Bolivia (Plurinational State of), Guyana, Burundi, Rwanda, Peru, Eritrea, Argentina, Chile, Japan, Mexico, Papua New Guinea, Singapore, Colombia, Ghana, Indonesia, Ireland, Mali, Mongolia, Myanmar, Portugal, Spain, Taiwan, United Kingdom, Uzbekistan, Morocco, Germany, Netherlands, New Zealand, Philippines, Armenia, Austria, Azerbaijan, Bahamas, Barbados, Belarus, Belgium, Benin, Bosnia and Herzegovina, Botswana, Bulgaria, Burkina Faso, Cambodia, Cameroon, Croatia, Cyprus, Denmark, Dominica, Dominican Republic, Ecuador, Egypt, El Salvador, Estonia, Fiji, Finland, Gabon, Gambia, Georgia, Greece, Guatemala, Honduras, Hong Kong, Hungary, Iceland, Iran, Israel, Italy, Jordan, Kazakhstan, Korea, Kuwait, Kyrgyzstan, Latvia, Lebanon, Liberia, Libya, Liechtenstein, Lithuania, Luxembourg, Malta, Mauritania, Mauritius, New Caledonia, Nicaragua, Norway, Oman, Pakistan, Panama, Poland, Puerto Rico, Romania, San Marino, Senegal, Serbia, Slovakia, Slovenia, Solomon Islands, Suriname, Sweden, Switzerland, Tajikistan, Togo, Trinidad and Tobago, Tunisia, Ukraine, Uruguay, Yemen, Some are recycled or scrap sourced but not all, UNITED STATES OF AMERICA | No known country of origin | RCOI confirmed as per RMI | Some are recycled or scrap sourced but not all. | Includes Covered Countries | UNITED STATES OF AMERICA | RCOI confirmed as per CFSI | No known country of origin | L1, L3, DRC, R/S | Includes Covered Countries | Reason to believe sources from the DRC or covered countries | Some are recycled or scrap sourced but not all. | Mineral so | No. 3, Chunyi Road, Industrial Park | L1, CC, DRC | Mineral sourcing L1, not disclosed by RMI, Unspecified covered country, Australia, Canada, China, Mozambique, USA, recycled/scrap</t>
  </si>
  <si>
    <t>Compliant, Compliant Conformant, Conformant, Conformant Smelter, Conformant smelter according to RMI, audit valid until 2021, reassessment in progress, Conformant Smelter according to RMI, last cycle in 04.06.2020 with a cycle of 1 Year, Listed on CFSI Conflict Free Smelter List, Part or all material comes from Covered Country, RCOI confirmed per RMI, RMAP Conformant, RMAP Conformant Smelter, RMAP Conformant Smelter / RCOI confirmed per RMI</t>
  </si>
  <si>
    <t>CID000914</t>
  </si>
  <si>
    <t>JiuJiang JinXin Nonferrous Metals Co., Ltd.</t>
  </si>
  <si>
    <t>226# BinJiang East Road, Jiujiang City, JiangXi Province, China</t>
  </si>
  <si>
    <t>Janny, Janny Jiang, Kanagawa, Mr.Janny Jiang, NA</t>
  </si>
  <si>
    <t>janny@jiujiangjx.com, RMI validated</t>
  </si>
  <si>
    <t>Conformant-audited by RMI (members / partners)- valid until 09/15/2022, Conformant-audited by RMI (members / partners)- valid until 12/15/2023, N/A, RMI certified smelter, no action need, No Action Required as company is RMAP conformant, None, CFS Certified, RMI validated, Supplier contacts: Infineon Customer Contact @infineon.com; yushin@harvatek.com; Demi_Lo@arimalasers.com, Validated by RMI until 09/16/2022</t>
  </si>
  <si>
    <t>0, KYRGYZSTAN | Some are cover countries or DRC sourced but not all. | Some are covered countries or DRC sourced but not all. | Some are recycled or scrap sourced but not all. | not available | KYRGYZSTAN | Some are covered countries or DRC sourced but not all. | Some are recycled or scrap sourced but not all. | Some are cover countries or DRC sourced but not all. | Not disclosed by supplier | Not disclosed by supplier, LR, HR, DRC, CC, NA, No information, Not disclosed by supplier, Not disclosed by supplier | Some are covered countries or DRC sourced but not all., RCOI confirmed per RMI, Recycled or scrap, and mining not disclosed by supplier, Some are covered countries and DRC sourced but not all., Some are high risk countries, covered countries, and DRC sourced but not all., Some are sourced from covered countries or DRC but not all. , Some are sourced from covered countries or DRC, but not all, Sourced from Mines/Recyale/Scrap | RCOI confirmed per RMI | Recycled or scrap, and mining not disclosed by supplier, Unknown, but some recycled/scrap</t>
  </si>
  <si>
    <t>Angola, Argentina, Austria, Brazil, Cambodia, Chile, China, Colombia, Congo, Democratic Republic of Congo, Ecuador, Ethiopia, Guyana, Hungary, Japan, Kazakhstan, Korea, Luxembourg, Malaysia, Mongolia, Myanmar, Portugal, Recycled/Scrap, Rwanda, South Sudan, Sudan, Tanzania, Thailand, Zambia, DRC- Congo (Kinshasa), Myanmar, Angola, Cambodia, Malaysia, Kazakhstan, Portugal, Austria, Mongolia, Luxembourg, Korea, Republic of, Brazil, Guyana, Chile, Laos, Ecuador, Colombia, Argentina, South Sudan, Hungary, Japan, Tanzania, Zambia, Congo (Brazzaville), India, Canada, Belgium, Namibia, Taiwan, Italy, Central African Republic, Peru, Ethiopia, Germany, Burundi, Russian Federation, Singapore, Viet Nam, United States, Egypt, Madagascar, Sierra Leone, Ivory Coast, Bolivia, Thailand, Netherlands, China, Ireland, Slovakia, France, Nigeria, Rwanda, United Kingdom, Switzerland, Spain, Djibouti, Czech Republic, Zimbabwe, Uganda, Suriname, Israel, Australia, Estonia, Indonesia, DRC- Congo (Kinshasa), Myanmar, Angola, Cambodia, Malaysia, Kazakhstan, Portugal, Mongolia, Austria, Luxembourg, Brazil, Guyana, Korea, Republic of, Chile, Laos, Colombia, Ecuador, Argentina, Hungary, South Sudan, Japan, Tanzania, Zambia, Congo (Brazzaville), India, Canada, Belgium, Namibia, Taiwan, Italy, Central African Republic, Peru, Ethiopia, Germany, Russian Federation, Burundi, Singapore, Viet Nam, United States, Egypt, Madagascar, Sierra Leone, Ivory Coast, Thailand, Bolivia, Netherlands, China, Ireland, Slovakia, France, Nigeria, Rwanda, United Kingdom, Switzerland, Spain, Djibouti, Czech Republic, Zimbabwe, Uganda, Suriname, Israel, Australia, Indonesia, Estonia, DRC- Congo (Kinshasa), Myanmar, Angola, Cambodia, Malaysia, Kazakhstan, Portugal, Mongolia, Austria, Luxembourg, Brazil, Korea, Republic of, Guyana, Chile, Laos, Ecuador, Colombia, Argentina, South Sudan, Hungary, Japan, Tanzania, Zambia, Congo (Brazzaville), India, Canada, Belgium, Namibia, Taiwan, Italy, Central African Republic, Peru, Ethiopia, Germany, Russian Federation, Burundi, Viet Nam, Singapore, United States, Egypt, Madagascar, Sierra Leone, Ivory Coast, Bolivia, Thailand, Netherlands, Ireland, China, Slovakia, France, Nigeria, Rwanda, United Kingdom, Switzerland, Spain, Djibouti, Czech Republic, Zimbabwe, Uganda, Suriname, Israel, Australia, Estonia, Indonesia, DRC- Congo (Kinshasa), Myanmar, Angola, Cambodia, Malaysia, Kazakhstan, Portugal, Mongolia, Austria, Luxembourg, Guyana, Brazil, Korea, Republic of, Chile, Laos, Colombia, Ecuador, Argentina, Hungary, South Sudan, Japan, Tanzania, Zambia, Congo (Brazzaville), India, Canada, Belgium, Namibia, Taiwan, Italy, Central African Republic, Peru, Germany, Ethiopia, Russian Federation, Burundi, Singapore, Viet Nam, United States, Egypt, Madagascar, Sierra Leone, Ivory Coast, Thailand, Bolivia, Netherlands, China, Ireland, Slovakia, Nigeria, France, Rwanda, United Kingdom, Switzerland, Spain, Djibouti, Czech Republic, Uganda, Zimbabwe, Suriname, Israel, Australia, Indonesia, Estonia, 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 DRC, Angola, Burundi, Central African Republic, Congo Republic, Rwanda, South Sudan, Tanzania, Uganda, Zambia, Argentina, Australia, Austria, Belgium, Bolivia, Brazil, Cambodia, Canada, Chile, China, Colombia, Czech Republic, Djibouti, Ecuador, Egypt, Estonia, Ethiopia, France, Germany, Guyana, Hungary, India, Indonesia, Ireland, Israel, Italy, Ivory Coast, Japan, Kazakhstan, Kyrgyzstan, Laos, Luxembourg, Madagascar, Malaysia, Mongolia, Myanmar, Namibia, Netherlands, Nigeria, Peru, Portugal, Republic of Korea, Russia, Sierra Leone, Singapore, Slovakia, Spain, Suriname, Switzerland, Taiwan, Thailand, United Kingdom, USA, Vietnam, Zimbabwe, recycled/scrap,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Saint Martin,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Includes Covered Countries, Includes Covered Countries and CAHRA, Includes Covered Countries and CAHRA | DRC or an adjoining country (Covered Countries), Myanmar, Angola, Cambodia, Malaysia, Kazakhstan, Portugal, Austria, Mongolia, Luxembourg, Republic Of Korea, Guyana, Brazil, Chile, Laos, Ecuador, Colombia, Argentina, South Sudan, Hungary, Japan, Tanzania, | RCOI confirmed per RMI | Mineral sourcing LR, HR, CC, DRC, based on RMAP-RMI's RCOI data, L1, CC, DRC | Some are covered countries or DRC sourced but not all. | DRC- Congo (Kinshasa), Myanmar, Angola, Cambodia, Malaysia, Kazakhstan, Portugal, Mongolia, Austria, Luxembourg, Guyana, Korea, Republic of, Brazil, Chile, Laos, Colombia, Ecuador, Argentina, Hungary, South Sudan, Japan, Tanzania, Zambia, Congo (Brazzavil | the DRC or an adjoining country(covered countries) | 226# BinJiang East Road, Jiujiang City, JiangXi Province, China | Includes Covered Countries, L3 | Includes Covered Countries | L1, L3 | KYRGYZSTAN | DRC- Congo (Kinshasa), Myanmar, Angola, Cambodia, Malaysia, Kazakhstan, Portugal, Austria, Mongolia, Luxembourg, Korea, Republic of, Guyana, Brazil, Chile, Laos, Colombia, Ecuador, Argentina, Hungary, South Sudan, Japan, Tanzania, Zambia, Congo (Brazzavil | RCOI confirmed as per CFSI | L1, L3, DRC | Some are covered countries or DRC sourced but not all. | Mineral sourcing L1,L3,DRC | Mineral sourcing L1,R/S, Not disclosed by supplier | L3 | L1, L3 | Includes Covered Countries | KYRGYZSTAN | Some are covered countries or DRC sourced but not all. | DRC- Congo (Kinshasa), Myanmar, Angola, Cambodia, Malaysia, Kazakhstan, Portugal, Austria, Mongolia, Luxembourg, Korea, Republic of, Guyana, B | the DRC or an adjoining country(covered countries) | DRC- Congo (Kinshasa), Myanmar, Angola, Cambodia, Malaysia, Kazakhstan, Portugal, Mongolia, Austria, Luxembourg, Guyana, Korea, Republic of, Brazil, Chile, Laos, Colombia, Ecuador, Argentina, Hungary, South Sudan, Japan, Tanzania, Zambia, Congo (Brazzavil | 226# BinJiang East Road, Jiujiang City, JiangXi Province, China | L1, CC, DRC | Mineral sourcing L1, CC, DRC, not disclosed by supplier, LR, Mineral sourcing DRC, CC, HR based on RMAP-RMI's RCOI data, Mineral sourcing LR, HR, CC, DRC, based on RMAP-RMI's RCOI data , NA, No information, RCOI confirmed per RMI,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Recycled/Scrap, China, Brazil, Guyana, Malaysia, Colombia, Ecuador, Myanmar, Chile, Argentina, Austria, Cambodia, Hungary, Kazakhstan, Korea, Luxembourg, Mongolia, Portugal, Angola, Tanzania, Japan, South Sudan, Sudan, Zambia, Rwanda, Thailand, Ethiopia, Burundi, Niger, Nigeria, India, Namibia, Sierra Leone, United States, Australia, Madagascar, Zimbabwe, France, Peru, Indonesia, Uganda, Canada, Germany, Belgium, Egypt, Ireland, Italy, Netherlands, Singapore, Slovakia, Central African Republic, Spain, Estonia, Israel, Suriname, Switzerland, Djibouti, United Kingdom, Kyrgyzstan, Democratic Republic of Congo, Congo, Russian Federation, Viet Nam, Taiwan, Guinea, Bolivia (Plurinational State of), Saudi Arabia, Turkey, United Arab Emirates, Ghana, Mexico, Benin, Eritrea, Mozambique, South Africa, Andorra, Saint Martin (French part), Armenia, Azerbaijan, Bahamas, Barbados, Belarus, Bosnia and Herzegovina, Botswana, Bulgaria, Burkina Faso, Cameroon, Croatia, Cyprus, Denmark, Dominica, Dominican Republic, El Salvador, Fiji, Finland, Gabon, Gambia, Georgia, Greece, Guatemala, Honduras, Hong Kong, Iceland, Iran, Jordan, Kuwait, Latvia, Lebanon, Liberia, Libya, Liechtenstein, Lithuania, Mali, Malta, Mauritania, Mauritius, Morocco, New Caledonia, New Zealand, Nicaragua, Norway, Oman, Pakistan, Panama, Papua New Guinea, Philippines, Poland, Puerto Rico, Romania, San Marino, Senegal, Serbia, Slovenia, Solomon Islands, Sweden, Tajikistan, Togo, Trinidad and Tobago, Tunisia, Ukraine, Uruguay, Uzbekistan, Yemen, Some are high risk countries, covered countries, and DRC sourced but not all., Some are sourced from covered countries or DRC, but not all</t>
  </si>
  <si>
    <t>Compliant, COMPLIANT 09/22/2015, Compliant Conformant, Conformant, Conformant Smelter, Conformant smelter according to RMI, audit valid until 2022, Conformant Smelter according to RMI, last cycle in 16.09.2020 with a cycle of 1 Year, Listed on CFSI Conflict Free Smelter List, Part or all material comes from Covered Country, RCOI confirmed as per RMAP, RCOI confirmed per RMI, RMAP Conformant, RMAP Conformant Smelter, RMAP Conformant Smelter / RCOI confirmed per RMI</t>
  </si>
  <si>
    <t>CID003356</t>
  </si>
  <si>
    <t>Dongguan CiEXPO Environmental Engineering Co., Ltd.</t>
  </si>
  <si>
    <t>No.12, Donghong Road, Lincun Community, Tangxia Town, Dongguan, Guangdong, China</t>
  </si>
  <si>
    <t>Dongguan</t>
  </si>
  <si>
    <t>Mr. Xuguang Zhang, Xuguang Zhang</t>
  </si>
  <si>
    <t>xg-zhang@ciexpo-epe.com</t>
  </si>
  <si>
    <t>0, not available, Unknown, Unknown, but some recycled/scrap</t>
  </si>
  <si>
    <t>China, Liechtenstein, USA, Recycled/Scrap, China, Recycled/Scrap, China, United States, Recycled/Scrap, Liechtenstein, Due diligence results pending, No known country of origin, Not Available, not available | Not Available, Unknown, Unknown, but no reason to believe sources from covered countries</t>
  </si>
  <si>
    <t>CID001191</t>
  </si>
  <si>
    <t>Marunouchi Nijubashi Building 3-2-3, Marunouchi, Chiyoda-ku, Tokyo 100-8117, Japan</t>
  </si>
  <si>
    <t>Conflidential, Kotaro Horita, Mamoru Minami, Mr. Mikio Watanabe, Mr. Tadakazu Kagami, sharontsai, sharontsai
Mr. Tadakazu Kagami, Tadakazu Kagami, Tin</t>
  </si>
  <si>
    <t>Confidential, horitako@mmc.co.jp, jose.ore@minsur.com, Mitsubishi Materials Corporation, mminami@mmc.co.jp, nabe@mmc.co.jp, sharontsai@unimicron.com, sharontsai@unimicron.com
tkagami@mmc.co.jp, tkagami@mmc.co.jp</t>
  </si>
  <si>
    <t>--, Conformant-audited by RMI (members / partners)- valid until 08/05/2024, Mitsubishi Materials Corporation, N.A. (CFS apporved Smelter), no action need, No Action Required as company is RMAP conformant, None Required - CFSI certifed conflict free, None Required - RMI  certified conflict free, None, CFS Certified, None; conformant to RMAP protocol, Recycled or Scrap, RMAP Compliant Smelter, RMI validated, Supplier contacts: hyeju.lee@amkor.com; catherine.pelissonnier@st.com; oh-dongho@auk.co.kr; Infineon Customer Contact @infineon.com;  lisa.bjornson@sanmina.com; theodore.knudson@materion.com; yushin@harvatek.com; andreas.schwender@saxonia-tm.de; shelly.ding@inari-amertron.com.cn; Demi_Lo@arimalasers.com; Emily_Hsieh@epistar.com; cindy.dodd@avx.com; t.gruber@ats.net; antony@elaser.com.tw; Chih-Hung.Chen@opto.com.tw; s.rossi@varioprint.ch; Ravikumar.Ramachandran@fci.com; oh-dongho@auk.co.kr, Validated by RMI until 04/25/2021</t>
  </si>
  <si>
    <t>0, Bangaka Tin, PT. Timah, and recycled/scrap, Each mine in each country of origin., JAPAN, No information, O.M. Manufacturing Philippines, Recycled/Scrap, Huckleberry Mine, Copper Mountain Mine, Los Pelambres Mine, Bangaka Tin, Batu Hijau Mine, Escondida Mine, Pt.Timah, RCOI confirmed per RMI, Recaycled, Scrap , recycled, recycled | BELGIUM | Recycled | Recycled, Scrap | Not disclosed | Reycled | Recycled/Scrap | recycled | Recyled, Scrap | BELGIUM | Recycled | Recycled/Scrap | Recycled, Scrap | Chinese domestic mine | Not disclosed | BANGAKA TIN | Reycled | Recycled, scrap | Recycled scrap material | Chinese domestic mine | Recycled, scrap | BANGAKA TIN, recycled and scrap, Recycled scrap material, Recycled scrap material | Recycled, Scrap | Recycled | scrap | BANGAKA TIN | RCOI confirmed as per RMI, Recycled, Scrap, Recycled, Scrap | Recycled or scrp | RCOI confirmed per RMI | Recycled scrap material | Recycled, Recycled, scrap | Recycled/Scrap, Recyled/Scrap</t>
  </si>
  <si>
    <t>Angola, Argentina, Australia, Austria, Brazil, Cambodia, Canada, Chile, China, Colombia, Congo, Democratic Republic of Congo, Ecuador, Guinea, Guyana, Hungary, India, Indonesia, Japan, Kazakhstan, Panama, Papua New Guinea, Peru, Portugal, Recycled/Scrap, Argentina, Australia, Canada, Chile, China, Indonesia, Japan, Papua New Guinea, Peru, recycled/scrap, Canada, Papua New Guinea, Japan, Indonesia, China, Indonesia, Papua New Guinea, Australia, Argentina, Chile, Peru, Canada, Recycled/Scrap, Japan, China, Indonesia, Papua New Guinea, Australia, Argentina, Chile, Peru, Canada, Recycled/Scrap, Japan | Recycled scrap material | Recycled, Scrap | Recycled | scrap | R/S | INDONESIA | RCOI confirmed as per RMI | Recycled/Scrap Only, CID001191, DRC, Angola, Burundi, Central African Republic, Rwanda, South Sudan, Tanzania, Uganda, Zambia, Aland Islands, Argentina, Australia, Austria, Belgium, Brazil, Cambodia, Canada, Chile, China, Colombia, Djibouti, Ecuador, Egypt, Eritrea, Estonia, Ethiopia, France, Germany, Guinea, Guyana, Hong Kong, Hungary, India, Indonesia, Ireland, Israel, Japan, Kazakhstan, Luxembourg, Madagascar, Malaysia, Mexico, Mongolia, Morocco, Mozambique, Myanmar, Namibia, Netherlands, Niger, Nigeria, Panama, Papua New Guinea, Peru, Philippines, Poland, Portugal, Republic of Korea, Russia, Sierra Leone, Singapore, Slovakia, Spain, Sudan, Suriname, Switzerland, Taiwan, Thailand, USA, United Kingdom, Vietnam, Zimbabwe, Recycled/Scrap, Indonesia, Papua New Guinea,Australia, Argentina, Chile, Peru, Canada, Mineral sourcing R/S, Mineral sourcing R/S based on RMAP-RMI's RCOI data, No information, R/S, R/S | Recycled/Scrap | Canada, Papua New Guinea, Japan, Indonesia | Not Available | Recycled/Scrap Only | 985-1, Kuchiganaya, Ikuno-cho, Asago-city, Hyogo Pref. 679-3301 JAPAN, RCOI confirmed as per RMI., RCOI confirmed per RMI, recycled, Recycled , Scrap, recycled | Recycled/Scrap Only | Recycled | R/S | BELGIUM | Canada, Papua New Guinea, Japan, Indonesia | Recycled, Scrap | Not disclosed | Reycled | Recycled/Scrap | Mineral sourcing R/S | recycled | R/S | Recycled/Scrap Only | BELGIUM | Recycled/Scrap | Canada, Papua New Guinea, Japan, Indonesia | Recycled, Scrap | Yun Nan province, China | Mineral sourcing R/S | Not disclosed | Recycled | INDONESIA | Reycled | Does not source from DRC or | Recycled scrap material | Yun Nan province, China | 985-1, Kuchiganaya, Ikuno-cho, Asago-city, Hyogo Pref. 679-3301 JAPAN | RCOI confirmed as per RMI | INDONESIA | Yes | Not Available, recycled and scrap, Recycled scrap material, Recycled, Scrap, Recycled/Scrap Only, Recycled/Scrap Only | the DRC or an adjoining country(covered countries) | Mineral sourcing R/S | China, Indonesia, Papua New Guinea, Australia, Argentina, Chile, Peru, Canada, Recycled/Scrap, Japan | Recycled or Scrap | RCOI confirmed per RMI | Recycled | Recycled/Scrap, Japan, Indonesia, Guinea, Papua New Guinea, Canada, Argentina, Chile, China, Peru, Australia, Panama, Recycled/Scrap, Japan, Indonesia, Guinea, Papua New Guinea, Canada, Argentina, Chile, China, Peru, Australia, Panama, recyled, Recyled/Scrap, Scrap, the DRC or an adjoining country(covered countries), スクラップ</t>
  </si>
  <si>
    <t>Compliant, COMPLIANT 09/22/2015, Compliant Conformant, Conformant, Conformant Smelter, Conformant smelter according to RMI, audit valid until 2022, Conformant Smelter according to RMI, last cycle in 25.04.2018 with a cycle of 3 Years, http://www.mmc.co.jp/corporate/en/, RCOI confirmed as per RMAP, RMAP Conformant, RMAP Conformant Smelter, RMAP Conformant Smelter / RCOI confirmed per RMI, This smelter is CFS.
http://www.conflictfreesmelter.org/CompliantTinSmelterList.htm, This smelter is RMI Conformant.
http://www.responsiblemineralsinitiative.org/tin-smelters-list/</t>
  </si>
  <si>
    <t>CID002858</t>
  </si>
  <si>
    <t>0, CHINA | Recycled/Scrap | CHINA | Recycled, Scrap | Recycled, Scrap, Recycled/scrap only, Unknown, but some recycled/scrap</t>
  </si>
  <si>
    <t>Aland Islands, China, Germany, Malaysia, Netherlands, New Zealand, Philippines, Russia, Thailand, Recycled/Scrap, Ãland Islands, China, Malaysia, Recycled/Scrap, CHINA | No known country of origin | Recycled/Scrap | Recycled/Scrap Only | CHINA | No known country of origin | Recycled/Scrap Only | Does not source from DRC or covered countries | Mineral sourcing R/S | not available | Mineral sourcing R/S | Not Available, No known country of origin, Not Available, Recycled/Scrap, Recycled/scrap only, Recycled/Scrap, Malaysia, Åland Islands, China, Germany, Netherlands, New Zealand, Philippines, Thailand, Unknown</t>
  </si>
  <si>
    <t>MSC</t>
  </si>
  <si>
    <t>Malaysia Smelting Corporation (MSC)</t>
  </si>
  <si>
    <t>Butterworth</t>
  </si>
  <si>
    <t>CID002573</t>
  </si>
  <si>
    <t>Nghe Tinh Non-Ferrous Metals Joint Stock Company</t>
  </si>
  <si>
    <t>Quy Hop Town, Quy Hop District, Nghe An Province, Viet Nam</t>
  </si>
  <si>
    <t>Nguyen Ngoc Nam</t>
  </si>
  <si>
    <t>namnn.kt@gmail.com</t>
  </si>
  <si>
    <t>Congo, Democratic Republic of Congo, Estonia, Namibia, Viet Nam, DRC, Estonia, Namibia, Thailand, Vietnam, Due diligence results pending, Estonia, Vietnam, Unknown, Viet Nam, Estonia, Viet Nam, Estonia, Namibia, Thailand, China, Angola, Argentina, Australia, Austria, Belgium, Brazil, Burundi, Cambodia, Canada, Central African Republic, Chile, Colombia, Congo, Democratic Republic of Congo, Djibouti, Ecuador, Egypt, Ethiopia, France, Germany, Guyana, Hungary, India, Indonesia, Ireland, Israel, Japan, Kazakhstan, Korea, Luxembourg, Madagascar, Malaysia, Mongolia, Morocco, Myanmar, Netherlands, Niger, Nigeria, Peru, Poland, Portugal, Russian Federation, Rwanda, Sierra Leone, Singapore, Slovakia, South Sudan, Spain, Sudan, Suriname, Switzerland, Taiwan, Tanzania, Uganda, United Kingdom, United States, Zambia, Zimbabwe, Andorra, Recycled/Scrap, Liechtenstein</t>
  </si>
  <si>
    <t>CID002441</t>
  </si>
  <si>
    <t>CID001305</t>
  </si>
  <si>
    <t>Novosibirsk Processing Plant Ltd.</t>
  </si>
  <si>
    <t>CID001314</t>
  </si>
  <si>
    <t>O.M. Manufacturing (Thailand) Co., Ltd.</t>
  </si>
  <si>
    <t>Pinthong Industrial Estate, 789/101 Moo 1, Nongkoh-Laemchabang Road, Nongkham, Sriracha, Chonburi 20230, Thailand</t>
  </si>
  <si>
    <t>Nongkham Sriracha</t>
  </si>
  <si>
    <t>Chon Buri</t>
  </si>
  <si>
    <t>Hunan, Mr. Arnel Sapinoso Rana, Ms. Orawan Suapa, Muk Sawarin P., NA, Orawan Suapa, Tin</t>
  </si>
  <si>
    <t>arana@omthai.co.th, NA, O.M. Manufacturing (Thailand) Co., Ltd., rmi@omthai.co.th, sales@omthai.co.th</t>
  </si>
  <si>
    <t>Alpha is removing smelter from its supply chain, Conformant-Reaudit In Progress, NA, no action need, No Action Required as company is RMAP conformant, None, CFS Certified, O.M. Manufacturing (Thailand) Co., Ltd., RCOI validated by RMI Protocols , Supplier contacts: hyeju.lee@amkor.com; catherine.pelissonnier@st.com; Infineon Customer Contact @infineon.com;  lisa.bjornson@sanmina.com; yushin@harvatek.com; Emily_Hsieh@epistar.com; cindy.dodd@avx.com, Validated by RMI until 10/01/2022</t>
  </si>
  <si>
    <t>0, NA, No information, RCOI confirmed per RMI, Recycled, Scrap, Recycled, scrap | Recycled/Scrap, Recyled/Scrap, Sourced from Mines/Recyale/Scrap | RCOI confirmed per RMI | Recycled, Scrap, THAILAND, UNITED STATES OF AMERICA | Recycled, Scrap | Recycled | Recycled/Scrap | not available | UNITED STATES OF AMERICA | Recycled, Scrap | Recycled/Scrap | Recycled | Recycled, scrap | Recycled, scrap, Unknown, but some recycled/scrap</t>
  </si>
  <si>
    <t>Andorra, Australia, Bolivia (Plurinational State of), Brazil, Chile, China, Eritrea, Germany, India, Japan, Namibia, Netherlands, Peru, Philippines, Recycled/Scrap, Thailand, United States, Viet Nam, CID001314, DRC, Andorra, Australia, Bolivia, Brazil, Chile, China, Eritrea, Germany, India, Japan, Namibia, Netherlands, Peru, Philippines, Thailand, USA, Vietnam, Recycled/Scrap, Mineral sourcing R/S, Mineral sourcing R/S based on RMAP-RMI's RCOI data, Netherlands, Philippines, China, Thailand, No information, Not disclosed | Includes Covered Countries | UNITED STATES OF AMERICA | R/S | Netherlands, Philippines, China, Thailand | Recycled, Scrap | Recycled/Scrap | Recycled/Scrap Only | Mineral sourcing R/S | Not disclosed | R/S | Includes Covered Countries | UNITED STATES OF AMERICA | Recycled/Scrap | Netherlands, Philippines, China, Thailand | Recycled, Scrap | Mineral sourcing R/S | Recycled | the DRC or an adjoining country(covered countries) | Recycled/Sc | the DRC or an adjoining country(covered countries) | Netherlands, China, Philippines, Thailand | Pinthong Industrial Estate, 789/101 Moo 1, Nongkoh-Laemchabang Road, Nongkham, Sriracha, Chonburi 20230, Thailand | Recycled | Not Available, R/S, R/S | Recycled/Scrap | Netherlands, Philippines, China, Thailand | the DRC or an adjoining country(covered countries) | Not Available | Pinthong Industrial Estate, 789/101 Moo 1, Nongkoh-Laemchabang Road, Nongkham, Sriracha, Chonburi 20230, Thailand | Recycled/Scrap Only, RCOI confirmed per RMI, Recycled, Recycled, Scrap, Recycled/Scrap Only, Recycled/Scrap Only | Thailand, China, DRC or an adjoining country (Covered Countries), Recycled/Scrap, DRC or an adjoining country (Covered Countries), Netherlands, Philippines, USA, Vietnam, Brazil | RCOI confirmed per RMI | Mineral sourcing R/S | Recycled, Recycled/Scrap, Thailand, China, Netherlands, Philippines, Brazil, United States, Recycled/Scrap, Thailand, China, Netherlands, Philippines, Brazil, United States, Andorra, Australia, Chile, Germany, Japan, Peru, Viet Nam, Namibia, Eritrea, Bolivia (Plurinational State of), India;Thailand, China, DRC or an adjoining country (Covered Countries), Recycled/Scrap, DRC or an adjoining country (Covered Countries), Netherlands, Philippines, USA, Vietnam, Brazil, Recyled/Scrap, Thailand, China, DRC or an adjoining country (Covered Countries), Recycled/Scrap, DRC or an adjoining country (Covered Countries), Netherlands, Philippines, USA, Vietnam, Brazil, the DRC or an adjoining country(covered countries), Unspecified covered country, Brazil, China, Netherlands, Philippines, Thailand, USA, Vietnam, recycled/scrap</t>
  </si>
  <si>
    <t>Compliant, COMPLIANT 09/22/2015, Compliant Conformant, Conformant, Conformant Smelter, Conformant smelter according to RMI, audit valid until 2022, reassessment in progress, Conformant Smelter according to RMI, last cycle in 01.10.2019 with a cycle of 3 Years, RCOI confirmed as per RMAP, RMAP Conformant, RMAP Conformant Smelter, RMAP Conformant Smelter / RCOI confirmed per RMI, This smelter is RMI Conformant.
http://www.responsiblemineralsinitiative.org/tin-smelters-list/</t>
  </si>
  <si>
    <t>CID002282</t>
  </si>
  <si>
    <t>Morris and Watson</t>
  </si>
  <si>
    <t>350 Neilson Street, Onehunga, Auckland 1061, New Zealand</t>
  </si>
  <si>
    <t>Onehunga</t>
  </si>
  <si>
    <t>Auckland</t>
  </si>
  <si>
    <t>Adam van Sambeek, Adam van Sambeek (Treasury Manager)</t>
  </si>
  <si>
    <t>adam@morrisandwatson.co.nz</t>
  </si>
  <si>
    <t>Ãland Islands, Andorra, India, Japan, New Zealand, Recycled/Scrap, United States, Andorra, India, Japan, New Zealand, USA, Recycled/Scrap, India, Japan, New Zealand, USA, recycled/scrap, New Zealand, Recycle/Scrap, United States, New Zealand, USA, Recycled/Scrap, India, Japan, Recycled/Scrap, New Zealand, United States, India, Japan, Recycled/Scrap, New Zealand, United States, India, Japan, Åland Islands, Andorra, Australia, Thailand, China, Peru, Chile, Guinea, Korea, Papua New Guinea, Indonesia, Uzbekistan, Austria, Colombia, Italy, Mongolia, Unknown</t>
  </si>
  <si>
    <t>Queensland</t>
  </si>
  <si>
    <t>Moscow Special Alloys Processing Plant</t>
  </si>
  <si>
    <t>Obrucheva</t>
  </si>
  <si>
    <t>CID001204</t>
  </si>
  <si>
    <t>The Moscow Special Alloys Processing Plant, 31 Ul. Obrucheva, Moscow 117246, Russia</t>
  </si>
  <si>
    <t>0, Goldmoscow Special Alloys Processing Plant, Hamburg, not available, Unspecified</t>
  </si>
  <si>
    <t>0, lotdel@mzss.ru</t>
  </si>
  <si>
    <t>No Action Required as company is RMAP conformant, None; conformant to RMAP protocol, Validated by LBMA RG until 05/27/2022</t>
  </si>
  <si>
    <t>0, JAPAN | Not disclosed by supplier | Cadia Hill, Los Pelambres, Collahuasi, Escondida, Ridgeway,Huckleberry | Not disclosed per LBMA | RCOI confirmed as per RMI but not disclosed by LBMA | JAPAN | Not disclosed by supplier | RCOI confirmed as per CFSI but not disclosed by LBMA | Not disclosed per LBMA | Cadia Hill, Los Pelambres, Collahuasi, Escondida, Ridgeway,Huckleberry, Not disclosed by supplier, Not disclosed by supplier | RCOI confirmed as per RMI but not disclosed by LBMA, Not disclosed per LBMA, RCOI confirmed as per RMI., RCOI confirmed per RMI, Unknown, but some recycled/scrap</t>
  </si>
  <si>
    <t>Argentina, Australia, Bolivia (Plurinational State of), Brazil, Canada, Chile, China, Germany, Indonesia, Japan, New Zealand, Peru, Recycled/Scrap, Russian Federation, Saudi Arabia, Thailand, Turkey, United Arab Emirates, United States, Uzbekistan, Australia, Bolivia, Canada, Chile, Chile, China, Indonesia, Japan, New Zealand, Peru, Russia, Saudi Arabia, Turkey, United Arab Emirates, USA, Uzbekistan, recycled/scrap, Burundi, Rwanda, Aland Islands, Andorra, Argentina, Australia, Austria, Belgium, Bolivia, Brazil, Cambodia, Canada, Chile, China, Colombia, Djibouti, Ecuador, Egypt, Estonia, Ethiopia, France, Germany, Guyana, Hungary, India, Indonesia, Ireland, Israel, Japan, Kazakhstan, Luxembourg, Madagascar, Malaysia, Mongolia, Mozambique, Myanmar, Namibia, Netherlands, New Zealand, Niger, Nigeria, Panama, Peru, Portugal, Republic of Korea, Russia, Saudi Arabia, Sierra Leone, Singapore, Slovakia, Spain, Suriname, Switzerland, Thailand, Turkey, USA, United Arab Emirates, United Kingdom, Uzbekistan, Zimbabwe, Recycled/Scrap, Known Countries from which LBMA Good Delivery List Refiners Source - Mined  Material (Provided by LBMA), Known Countries from which LBMA Good Delivery List Refiners Source - Mined  Material (Provided by LBMA) | RCOI confirmed as per RMI but not disclosed by LBMA | The Moscow Special Alloys Processing Plant, 31 Ul. Obrucheva, Moscow 117246, Russia, LBMA Good Delivery Sourcing based on RMAP-RMI's RCOI data, Not disclosed | JAPAN | Not disclosed per LBMA (Chile, Australia, Canada) | Russian Federation, China, Bolivia | Not disclosed per LBMA | RCOI confirmed as per RMI but not disclosed by LBMA | Not disclosed | JAPAN | Not disclosed per LBMA (Chile, Australia, Canada) | RCOI confirmed as per CFSI but not disclosed by LBMA | Russian Federation, China, Bolivia | Not disclosed per LBMA | Known Countries from which LBMA Good Delivery List Refiners So | Known Countries from which LBMA Good Delivery List Refiners Source - Mined  Material (Provided by LBMA) | The Moscow Special Alloys Processing Plant, 31 Ul. Obrucheva, Moscow 117246, Russia, Not disclosed per LBMA, RCOI confirmed as per RMI., RCOI confirmed per RMI, Recycled/Scrap, China, Peru, Australia, Canada, Chile, Japan, Indonesia, United States, New Zealand, Turkey, Uzbekistan, Saudi Arabia, United Arab Emirates, Russian Federation, Recycled/Scrap, China, Peru, Australia, Canada, Chile, Japan, Indonesia, United States, New Zealand, Turkey, Uzbekistan, Saudi Arabia, United Arab Emirates, Russian Federation, Brazil, Germany, Thailand, Bolivia (Plurinational State of), Argentina, Austria, Belgium, Burundi, Cambodia, Colombia, Djibouti, Ecuador, Egypt, Estonia, Ethiopia, France, Guyana, Hungary, India, Ireland, Israel, Kazakhstan, Korea, Luxembourg, Madagascar, Malaysia, Mongolia, Mozambique, Myanmar, Namibia, Netherlands, Niger, Nigeria, Portugal, Rwanda, Sierra Leone, Singapore, Slovakia, Spain, Suriname, Switzerland, United Kingdom, Zimbabwe, Åland Islands, Andorra, Panama, Russia, China, Bolivia, Recycled/Scrap, Chile, Australia, Canada, Japan, Peru, Chile, Indonesia, New Zealand, Saudi Arabia, Turkey, United Arab Emirates, USA, Uzbekistan, Russian Federation, China, Bolivia, Unknown</t>
  </si>
  <si>
    <t>0, Compliant, Compliant Conformant, Conformant, Conformant Smelter, Conformant Smelter according to RMI, last cycle in 27.05.2020 with a cycle of 1 Year, RCOI confirmed per RMI, RCOI confirmed per RMI / LBMA Good Delivery Sourcing, RMAP Conformant</t>
  </si>
  <si>
    <t>CID002290</t>
  </si>
  <si>
    <t>SAFINA A.S.</t>
  </si>
  <si>
    <t>Czech Republic</t>
  </si>
  <si>
    <t>Vídeňská 104, 252 42 Vestec, Czech Republic</t>
  </si>
  <si>
    <t>Vestec</t>
  </si>
  <si>
    <t>Praha-západ</t>
  </si>
  <si>
    <t>Daniel Chvatal, Gold</t>
  </si>
  <si>
    <t>daniel.chvatal@safina.cz, SAFINA A.S.</t>
  </si>
  <si>
    <t>Conformant- Reaudit In Progress, Conformant-Reaudit In Progress, no action need, No Action Required as company is RMAP conformant, Reaudit In Progress, SAFINA A.S., Supplier contacts: hyeju.lee@amkor.com; Infineon Customer Contact @infineon.com; lisa.bjornson@sanmina.com; yushin@harvatek.com</t>
  </si>
  <si>
    <t>0, CZECHIA, No information, R/S, RCOI confirmed per RMI, Recycle or Scrap | Recycled and mining not disclosed by supplier, Recycled and mining not disclosed by supplier, Recycled, Scrap, Recyled/Scrap, Some are recycled or scrap sourced but not all, Some are recycled or scrap sourced but not all. , Unknown, but some recycled/scrap</t>
  </si>
  <si>
    <t xml:space="preserve">Argentina, Australia, Austria, Belgium, Bolivia, Brazil, Cambodia, Canada, Chile, China, Colombia, Czechia, Djibouti, Ecuador, Egypt, Estonia, Ethiopia, France, Germany, Guyana, Hungary, India, Indonesia, Ireland, Israel, Italy, Japan, Jersey, Kazakhstan, Luxembourg, Madagascar, Malaysia, Mongolia, Myanmar, Namibia, Netherlands, New Zealand, Niger, Nigeria, Peru, Portugal, Republic of Korea, Russia, Sierra Leone, Singapore, Slovakia, Spain, Suriname, Sweden, Switzerland, Taiwan, Thailand, USA, United Kingdom, Vietnam, Zimbabwe, Recycled/Scrap, Argentina, Australia, Austria, Belgium, Brazil, Cambodia, Canada, Chile, China, Colombia, Czechia, Djibouti, Ecuador, Egypt, Estonia, Ethiopia, France, Germany, Guyana, Hungary, India, Indonesia, Italy, Japan, New Zealand, Recycled/Scrap, United States, Bolivia, Czech Republic, recycled/scrap, CID002290, Czech Republic, Czech Republic, Recycled/Scrap, Boliva, Czech Republic, Recycled/Scrap, Bolivia, Excludes Covered Countries, Excludes Covered Countries and CAHRA, Excludes Covered Countries and CAHRA | Czech Republic, Recycled/Scrap, Bolivia | Mineral R/S and mineral sourcing not disclosed, Mineral R/S and mineral sourcing not disclosed, Mineral sourcing R/S based on RMAP-RMI's RCOI data, No information, R/S, RCOI confirmed per RMI, Recycled/Scrap, Recycled/Scrap Only, Recycled/Scrap, Czechia, Italy, India, Japan, United States, New Zealand, Argentina, Australia, Austria, Belgium, Brazil, Cambodia, Canada, Chile, China, Colombia, Djibouti, Ecuador, Egypt, Estonia, Ethiopia, France, Germany, Guyana, Hungary, Indonesia, Ireland, Israel, Jersey, Kazakhstan, Korea, Luxembourg, Madagascar, Malaysia, Mongolia, Myanmar, Namibia, Netherlands, Niger, Nigeria, Peru, Portugal, Russian Federation, Sierra Leone, Singapore, Slovakia, Spain, Suriname, Sweden, Switzerland, Taiwan, Thailand, United Kingdom, Viet Nam, Zimbabwe, Bolivia (Plurinational State of), Recyled/Scrap, Some are recycled or scrap sourced but not all, Some are recycled or scrap sourced but not all. </t>
  </si>
  <si>
    <t>Compliant, Compliant Conformant, Conformant, Conformant Smelter, Conformant smelter according to RMI, audit valid until 2021, reassessment in progress, Conformant Smelter according to RMI, last cycle in 28.08.2019 with a cycle of 1 Year, RCOI confirmed per RMI, RMAP Conformant</t>
  </si>
  <si>
    <t>CID002853</t>
  </si>
  <si>
    <t>Sai Refinery</t>
  </si>
  <si>
    <t>Parwanoo, Himachal Pradesh, India</t>
  </si>
  <si>
    <t>Parwanoo</t>
  </si>
  <si>
    <t>Himachal Pradesh</t>
  </si>
  <si>
    <t>Ameet Guptaa, Ameet Guptaa (Partner of Sai Refinery)</t>
  </si>
  <si>
    <t>sairefinery@gmail.com</t>
  </si>
  <si>
    <t>India, Indonesia, Recycled/Scrap, No known country of origin, Recycled/Scrap, India, Indonesia, Recycled/Scrap, India, Indonesia, Korea, Argentina, Australia, Austria, Belgium, Brazil, Cambodia, Canada, Chile, China, Djibouti, Ecuador, Egypt, Estonia, Ethiopia, France, Germany, Guyana, Hungary, Ireland, Israel, Japan, Kazakhstan, Luxembourg, Madagascar, Malaysia, Mongolia, Myanmar, Namibia, Netherlands, Niger, Nigeria, Peru, Portugal, Sierra Leone, Slovakia, Suriname, Switzerland, Thailand, United Kingdom, United States, Zimbabwe, Spain, Colombia, Russian Federation, Singapore, Taiwan, Viet Nam, South Africa, Unknown</t>
  </si>
  <si>
    <t>CID001619</t>
  </si>
  <si>
    <t>Shandong Tiancheng Biological Gold Industrial Co., Ltd.</t>
  </si>
  <si>
    <t>No.3, Yanwei Road, Jincheng Town, Laizhou, Yantai, Shandong, China</t>
  </si>
  <si>
    <t>Mr. Luan, Mr. Luan (Department Head of Raw Material Dept.)</t>
  </si>
  <si>
    <t>1966lwp@163.com, 1966lwp@163.com (Mr. Luan)</t>
  </si>
  <si>
    <t>China, Indonesia, Recycled/Scrap, Russian Federation, Spain, China, Indonesia, Russia, Spain, China, Indonesia, Russia, Spain, Recycled/Scrap, China, Russia, Spain, Indonesia, China, Spain, Indonesia, Russian Federation, China, Spain, Indonesia, Russian Federation, Recycled/Scrap, Argentina, Austria, Belgium, Brazil, Cambodia, Canada, Chile, Colombia, Ecuador, Ethiopia, Germany, Guyana, Hungary, India, Japan, Kazakhstan, Korea, Luxembourg, Malaysia, Mongolia, Myanmar, Namibia, Peru, Portugal, Australia, Djibouti, Egypt, Estonia, France, Ireland, Israel, Madagascar, Netherlands, Niger, Nigeria, Sierra Leone, Singapore, Slovakia, Suriname, Switzerland, Thailand, United Kingdom, United States, Zimbabwe, Russian Federation, Unknown</t>
  </si>
  <si>
    <t>CID001736</t>
  </si>
  <si>
    <t>Sichuan Tianze Precious Metals Co., Ltd.</t>
  </si>
  <si>
    <t>13#，SMES PARK,LONG TAN DU SHI ENDUSTRY CONCENTRATIVEDEVELOPMENT ZONE, THE 2ND SECTION OF THE 3RD RING ROAD, CHENGDU</t>
  </si>
  <si>
    <t>Chengdu</t>
  </si>
  <si>
    <t>Sichuan Sheng</t>
  </si>
  <si>
    <t>Chen Liyang, Gold, Hong Kong</t>
  </si>
  <si>
    <t>service@tianzegold.com, Sichuan Tianze Precious Metals Co., Ltd.</t>
  </si>
  <si>
    <t>Conformant-audited by LBMA RG- valid until 08/12/2022, Conformant-audited by LBMA RG- valid until 08/24/2023, no action need, No Action Required as company is RMAP conformant, Sichuan Tianze Precious Metals Co., Ltd., Supplier contacts: hyeju.lee@amkor.com; catherine.pelissonnier@st.com; Infineon Customer Contact @infineon.com;  lisa.bjornson@sanmina.com; yushin@harvatek.com; guozishan@nationstar.com, Validated by LBMA RG until 05/27/2022</t>
  </si>
  <si>
    <t>0, CHINA, No information, Not disclosed by supplier, Not disclosed by supplier | RCOI confirmed as per RMI but not disclosed by LBMA, Not disclosed by supplier | Sourced from Mines/Recyale/Scrap, Not disclosed per LBMA, Not disclosed per LBMA | Zhaoyuan city hedong gold deposit, zhaoyuan gold wing ridge gold mine | RCOI confirmed as per RMI but not disclosed by LBMA | Not disclosed per LBMA | RCOI confirmed as per CFSI but not disclosed by LBMA | Zhaoyuan city hedong gold deposit, zhaoyuan gold wing ridge gold mine | Not disclosed by supplier | Not disclosed by supplier, RCOI confirmed as per RMI., RCOI confirmed per RMI, See aggregated data below for LBMA Good Delivery Sourcing, Unknown, but some recycled/scrap</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</si>
  <si>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Ethiopia, France, Germany, Guyana, Hungary, India, Indonesia, Ireland, Korea, Mexico, Recycled/Scrap, Russian Federation, Switzerland, China, Recycled/Scrap, CID001736, Known Countries from which LBMA Good Delivery List Refiners Source - Mined  Material (Provided by LBMA), Known Countries from which LBMA Good Delivery List Refiners Source - Mined  Material (Provided by LBMA) | RCOI confirmed as per RMI but not disclosed by LBMA | 13#，SMES PARK,LONG TAN DU SHI ENDUSTRY CONCENTRATIVEDEVELOPMENT ZONE, THE 2ND SECTION OF THE 3RD RING ROAD, CHENGDU, LBMA Good Delivery Sourcing based on RMAP-RMI's RCOI data, Mineral sourcing not disclosed by LBMA, Mineral sourcing not disclosed by LBMA | China, Recycled/Scrap, No information, No known country of origin, Not disclosed per LBMA, Not disclosed per LBMA (China) | No known country of origin | Not disclosed per LBMA | RCOI confirmed as per RMI but not disclosed by LBMA | Not disclosed per LBMA (China) | RCOI confirmed as per CFSI but not disclosed by LBMA | No known country of origin | Not disclosed per LBMA | Known Countries from which LBMA Good Delivery List Refiners Source - Mined  Material (Provided by LBMA) | No reas | Known Countries from which LBMA Good Delivery List Refiners Source - Mined  Material (Provided by LBMA) | 13#，SMES PARK,LONG TAN DU SHI ENDUSTRY CONCENTRATIVEDEVELOPMENT ZONE, THE 2ND SECTION OF THE 3RD RING ROAD, CHENGDU, RCOI confirmed as per RMI., RCOI confirmed per RMI, Recycled/Scrap, China, Recycled/Scrap, China, Switzerland, Russian Federation, Brazil, Chile, Indonesia, Korea, Mexico, Australia, Argentina, Austria, Belgium, Cambodia, Canada, Colombia, Ecuador, Egypt, Estonia, Ethiopia, France, Germany, Guyana, Hungary, India, Ireland, Israel, Japan, Kazakhstan, Luxembourg, Madagascar, Malaysia, Mongolia, Myanmar, Namibia, Netherlands, Niger, Nigeria, Peru, Portugal, Sierra Leone, Slovakia, Suriname, Thailand, United Kingdom, United States, Zimbabwe, Djibouti, Singapore, Taiwan, Viet Nam, Spain,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Iran, Italy,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Tajikistan, Togo, Trinidad and Tobago, Tunisia, Turkey, Ukraine, United Arab Emirates, Uruguay, Uzbekistan, Yemen, Unknown</t>
  </si>
  <si>
    <t>Compliant, Compliant Conformant, Conformant, Conformant Smelter, Conformant smelter according to RMI, audit valid until 2022, Conformant Smelter according to RMI, last cycle in 27.05.2020 with a cycle of 1 Year, RCOI confirmed per RMI, RCOI confirmed per RMI / LBMA Good Delivery Sourcing, RMAP Conformant</t>
  </si>
  <si>
    <t>CID002100</t>
  </si>
  <si>
    <t>Yamamoto Precision Metals</t>
  </si>
  <si>
    <t>Yamakin Co., Ltd.</t>
  </si>
  <si>
    <t>1090-3 Otani, Kamibun, Kagami-cho, Konan-shi</t>
  </si>
  <si>
    <t>Konan</t>
  </si>
  <si>
    <t>Kochi</t>
  </si>
  <si>
    <t>Gold, Hiroyuki Itoigawa, Saitama</t>
  </si>
  <si>
    <t>itoigawa@yamakin-gold.co.jp, Yamamoto Precision Metals</t>
  </si>
  <si>
    <t>Conformant, Conformant-Reaudit In Progress, no action need, No Action Required as company is RMAP conformant, None, CFS Certified, Reaudit In Progress, Supplier contacts: hyeju.lee@amkor.com; Infineon Customer Contact @infineon.com;  lisa.bjornson@sanmina.com; yushin@harvatek.com, Yamakin Co., Ltd.</t>
  </si>
  <si>
    <t>0, JAPAN, L1, R/S, No information, RCOI confirmed per RMI, Recycled and mining not disclosed by supplier, Recycled and mining not disclosed by supplier | Sourced from Mines/Recyale/Scrap, Recycled and scrap, and mines not disclosed by supplier, Recycled, Scrap and mines, Recycled, Scrap and mines | Some are recycled or scrap sourced but not all, Some are recycled or scrap sourced but not all, Some are recycled or scrap sourced but not all. , Some are recycled or scrap sourced but not all. | Recycled, Scrap | Not disclosed | Some are recycled or scrap sourced but not all | Recycled, Scrap | Some are recycled or scrap sourced but not all. | Some are recycled or scrap sourced but not all | Not disclosed | Recycled, Scrap and mines | Recycled, Scrap and mines | recycled, Some are recycled/scrap sourced but not all., Unknown, but some recycled/scrap</t>
  </si>
  <si>
    <t>Argentina, Australia, Austria, Belgium, Brazil, Canada, Chile, China, Colombia, Ecuador, Germany, Guyana, India, Indonesia, Japan, Malaysia, Mexico, Mongolia, Mozambique, Myanmar, Panama, Peru, Portugal, Recycled/Scrap, Switzerland, Taiwan, United States, Australia, Brazil, Canada, China, Japan, Mozambique, United States, recycled/scrap, Canada, Mozambique, United States, China, Japan, Brazil, Australia, Canada, Mozambique, United States, Japan, China, Brazil, Australia, Canada, Mozambique, USA, China, Japan, Brazil, Australia, Japan, Australia, Germany, Recycled/Scrap, DRC or an adjoining country (Covered Countries), Russia, Mexico, Switzerland, Indonesia, CID002100, DRC, Argentina, Australia, Austria, Belgium, Benin, Bolivia, Brazil, Burkina Faso, Cambodia, Canada, Chile, China, Colombia, Djibouti, Ecuador, Egypt, Eritrea, Estonia, Ethiopia, France, Germany, Ghana, Guatemala, Guinea, Guyana, Honduras, Hungary, India, Indonesia, Ireland, Israel, Japan, Kazakhstan, Luxembourg, Madagascar, Malaysia, Mali, Mexico, Mongolia, Mozambique, Myanmar, Namibia, Netherlands, Nicaragua, Niger, Nigeria, Panama, Peru, Portugal, Republic of Korea, Russia, Senegal, Sierra Leone, Singapore, Slovakia, Spain, Suriname, Switzerland, Taiwan, Thailand, Togo, USA, United Kingdom, Uzbekistan, Vietnam, Zimbabwe, Recycled/Scrap, Excludes Covered Countries, Excludes Covered Countries and CAHRA, Excludes Covered Countries and CAHRA | Mineral R/S and mineral sourcing not disclosed | Canada, Mozambique, USA, China, Japan, Brazil, Australia, Japan, Australia, Germany, Recycled/Scrap, DRC or an adjoining country (Covered Countries), Russia, Mexico, Switzerland, Indonesia, L1, R/S, L1, R/S | Some are recycled or scrap sourced but not all | Canada, Mozambique, United States, Japan, China, Brazil, Australia | Excludes Covered Countries | 1090-3 Otani, Kamibun, Kagami-cho, Konan-shi, Mineral R/S and mineral sourcing not disclosed, Mineral sourcing L1, R/S based on RMAP-RMI's RCOI data, No information, Not disclosed | R/S | not available | Canada, Mozambique, United States, Japan, China, Brazil, Australia | L1, R/S | Some are recycled or scrap sourced but not all. | Some are recycled or scrap sourced but not all | Mineral sourcing R/S | Excludes Covered Countries | Not disclosed | R/S | not available | Some are recycled or scrap sourced but not all | Canada, Mozambique, United States, Japan, China, Brazil, Australia | Some are recycled or scrap sourced but not all. | L1, R/S | Excludes Covered Countries | Does not s | Canada, Mozambique, United States, China, Japan, Brazil, Australia | 1090-3 Otani, Kamibun, Kagami-cho, Konan-shi | recycled | Mineral sourcing L1,R/S, not disclosed by supplier, RCOI confirmed per RMI, Recycled/Scrap, Japan, Canada, Brazil, United States, Australia, China, Mozambique, Germany, Indonesia, Switzerland, Mexico, Recycled/Scrap, Japan, Canada, Brazil, United States, Australia, China, Mozambique, Germany, Indonesia, Switzerland, Mexico, Panama, Colombia, Peru, Chile, Ecuador, Guyana, Malaysia, Mongolia, Myanmar, Portugal, Taiwan, India, Argentina, Austria, Belgium, Cambodia, Democratic Republic of Congo, Hungary, Kazakhstan, Korea, Luxembourg, Namibia, Russian Federation, Ghana, Mali, Benin, Bolivia (Plurinational State of), Burkina Faso, Eritrea, Guatemala, Guinea, Honduras, Nicaragua, Senegal, Togo, Ethiopia, France, Ireland, Madagascar, Niger, Nigeria, Sierra Leone, Spain, Thailand, United Kingdom, Uzbekistan, Djibouti, Egypt, Estonia, Israel, Netherlands, Singapore, Slovakia, Suriname, Viet Nam, Zimbabwe, Some are recycled or scrap sourced but not all, Some are recycled or scrap sourced but not all. , Some are recycled/scrap sourced but not all., Unknown</t>
  </si>
  <si>
    <t>Compliant, Compliant Conformant, Conformant, Conformant Smelter, Conformant smelter according to RMI, audit valid until 2019, reassessment in progress, Conformant Smelter according to RMI, last cycle in 18.11.2018 with a cycle of 1 Year, RCOI confirmed per RMI, RMAP Conformant</t>
  </si>
  <si>
    <t>CID002102</t>
  </si>
  <si>
    <t>Yamato Denki Ind. Co., Ltd.</t>
  </si>
  <si>
    <t>CID002129</t>
  </si>
  <si>
    <t>Yokohama Metal Co., Ltd.</t>
  </si>
  <si>
    <t>3-5-2, haslmotodai midor-ku, Sagamihara-city, Kanagawa-ken, 252-0244 Japan</t>
  </si>
  <si>
    <t>Sagamihara</t>
  </si>
  <si>
    <t>Chüy, Daisuke Suzuki, Gold, Kazuhiro Araki, Kentaro Higa, Mr. Kazuhiro Araki, Yusuke Sakai</t>
  </si>
  <si>
    <t>Araki@mail.yk-metal.co.jp, d-suzuki@mail.yk-metal.co.jp, ken_fmv@mail.yk-metal.co.jp, Ryoko_Yamasaki@ni.smm.co.jp, ken_fmv@mail.yk-metal.co.jp, sakai@mail.yk-metal.co.jp, Yokohama Metal Co., Ltd.</t>
  </si>
  <si>
    <t>Conformant- Reaudit In Progress, Conformant-Reaudit In Progress, no action need, No Action Required as company is RMAP conformant, None, CFS Certified, Reaudit In Progress, Supplier contacts: hyeju.lee@amkor.com; Infineon Customer Contact @infineon.com;  lisa.bjornson@sanmina.com; yushin@harvatek.com, Yokohama Metal Co., Ltd.</t>
  </si>
  <si>
    <t>0, JAPAN, No information, R/S, RCOI confirmed per RMI, Recycled, Scrap, Recycled, Scrap | Recycle or Scrap | Sourced from Mines/Recyale/Scrap, Recycled, Scrap | Recycled/Scrap, Recycled, Scrap | Recycled/Scrap | not available | Recycled | Recycled, Scrap | Recycled/Scrap, Recyled/Scrap, Unknown, but some recycled/scrap</t>
  </si>
  <si>
    <t>Angola, Argentina, Austria, Brazil, Cambodia, Canada, Chile, China, Colombia, Democratic Republic of Congo, Ecuador, Ghana, Guyana, Hungary, Japan, Kazakhstan, Korea, Luxembourg, Malaysia, Mali, Mongolia, Myanmar, Panama, Portugal, Recycled/Scrap, Spain, Brazil, Canada, China, Japan, Malaysia, Spain, recycled/scrap, China, Japan, Brazil, Malaysia, Spain, CID002129, DRC, Angola, Burundi, Central African Republic, Rwanda, South Sudan, Tanzania, Uganda, Zambia, Argentina, Australia, Austria, Belgium, Brazil, Cambodia, Canada, Chile, China, Colombia, Djibouti, Ecuador, Egypt, Estonia, Ethiopia, France, Germany, Ghana, Guinea, Guyana, Hungary, India, Indonesia, Ireland, Israel, Japan, Kazakhstan, Luxembourg, Madagascar, Malaysia, Mali, Mexico, Mongolia, Mozambique, Myanmar, Namibia, Netherlands, Niger, Nigeria, Panama, Peru, Portugal, Republic of Korea, Russia, Sierra Leone, Singapore, Slovakia, South Africa, Spain, Sudan, Suriname, Switzerland, Taiwan, Thailand, USA, United Kingdom, Vietnam, Zimbabwe, Recycled/Scrap, Japan, China, Brazil, Malaysia, Spain, Japan, Recycled/Scrap, Brazil, China, Malaysia, Spain, Canada, Mineral sourcing R/S, Mineral sourcing R/S based on RMAP-RMI's RCOI data, No information, Not disclosed | Recycled/Scrap Only | - | R/S | China, Japan, Brazil, Malaysia, Spain | Recycled, Scrap | Recycled/Scrap | Mineral sourcing R/S | Not disclosed | not available | Recycled | Recycled/Scrap Only | - | R/S | Recycled/Scrap | China, Japan, Brazil, Malaysia, Spain | Recycled, Scrap | Does not source from DRC or covered countries | Mineral sourcing R/S | Japan, China, Brazil, Malaysia, Spain | 3-5-2, haslmotodai midor-ku, Sagamihara-city, Kanagawa-ken, 252-0244 Japan, R/S, R/S | Recycled/Scrap | Recycled/Scrap Only | 3-5-2, haslmotodai midor-ku, Sagamihara-city, Kanagawa-ken, 252-0244 Japan, RCOI confirmed per RMI, RECYCLED, Recycled, Scrap, Recycled/Scrap Only, Recycled/Scrap Only | Mineral sourcing R/S | Japan, Recycled/Scrap, Brazil, China, Malaysia, Spain, Canada, Recycled/Scrap, Japan, Brazil, Malaysia, China, Spain, Canada, Recycled/Scrap, Japan, Brazil, Malaysia, China, Spain, Canada, Panama, Portugal, Argentina, Austria, Cambodia, Chile, Colombia, Ecuador, Guyana, Hungary, Kazakhstan, Korea, Luxembourg, Mongolia, Myanmar, Democratic Republic of Congo, Angola, Ghana, Mali, Mozambique, South Sudan, Sudan, Tanzania, Australia, Germany, Niger, Nigeria, Peru, Thailand, United States, Mexico, Rwanda, Belgium, Djibouti, Egypt, Estonia, Ethiopia, France, India, Indonesia, Ireland, Israel, Madagascar, Namibia, Netherlands, Sierra Leone, Singapore, Slovakia, Suriname, Switzerland, United Kingdom, Zimbabwe, Russian Federation, Taiwan, Viet Nam, Burundi, Central African Republic, Congo, Guinea, South Africa, Uganda, Zambia, Recyled/Scrap</t>
  </si>
  <si>
    <t>ACTIVE 09/22/2015, Compliant, Compliant Conformant, Conformant, Conformant Smelter, Conformant smelter according to RMI, audit valid until 2019, reassessment in progress, Conformant Smelter according to RMI, last cycle in 12.10.2016 with a cycle of 3 Years, RCOI confirmed per RMI, RMAP Conformant</t>
  </si>
  <si>
    <t>CID001105</t>
  </si>
  <si>
    <t>Pulau Pinang</t>
  </si>
  <si>
    <t>CID002756</t>
  </si>
  <si>
    <t>Super Ligas</t>
  </si>
  <si>
    <t>Endereço Estrada dos Marins, s/n, km 3,5 - B. Marins</t>
  </si>
  <si>
    <t>Piracicaba</t>
  </si>
  <si>
    <t>Vinicius Soares Regno</t>
  </si>
  <si>
    <t>vinicius@superligasmetais.com.br</t>
  </si>
  <si>
    <t>Brazil, China, Brazil, China, Recycled/Scrap, Brazil, China, Recycled/Scrap, Australia, Burundi, Canada, Malaysia, Niger, Nigeria, Rwanda, Spain, Thailand, Chile, Germany, Japan, Korea, Angola, Argentina, Austria, Belgium, Cambodia, Central African Republic, Colombia, Djibouti, Ecuador, Egypt, Estonia, Ethiopia, France, Guyana, Hungary, India, Indonesia, Ireland, Israel, Kazakhstan, Luxembourg, Madagascar, Mongolia, Myanmar, Namibia, Netherlands, Peru, Portugal, Sierra Leone, Singapore, Slovakia, South Sudan, Sudan, Suriname, Switzerland, Tanzania, Uganda, United Kingdom, United States, Zambia, Zimbabwe, Mexico, Russian Federation, Turkey, DRC, Angola, Burundi, Central African Republic, Rwanda, South Sudan, Tanzania, Uganda, Zambia, Argentina, Australia, Austria, Belgium, Brazil, Cambodia, Canada, Chile, China, Colombia, Djibouti, Ecuador, Egypt, Estonia, Ethiopia, France, Germany, Guyana, Hungary, India, Indonesia, Ireland, Israel, Japan, Kazakhstan, Laos, Luxembourg, Madagascar, Malaysia, Mexico, Mongolia, Myanmar, Namibia, Netherlands, Niger, Nigeria, Peru, Portugal, Republic of Korea, Russia, Sierra Leone, Singapore, Slovakia, Spain, Sudan, Suriname, Switzerland, Thailand, Turkey, USA, United Kingdom, Zimbabwe, Recycled/Scrap, No known country of origin, Unknown</t>
  </si>
  <si>
    <t xml:space="preserve">0, Active, On RMAP Active List, RMAP Conformant Smelter </t>
  </si>
  <si>
    <t>CID001822</t>
  </si>
  <si>
    <t>Suzhou Nuonengda Chemical Co., Ltd.</t>
  </si>
  <si>
    <t>CID001845</t>
  </si>
  <si>
    <t>Taicang City Nancang Metal Material Co., Ltd.</t>
  </si>
  <si>
    <t>CID001851</t>
  </si>
  <si>
    <t>Taiwan high-tech Co., Ltd.</t>
  </si>
  <si>
    <t>Taiwan High-Tech Co., Ltd.</t>
  </si>
  <si>
    <t>CID001852</t>
  </si>
  <si>
    <t>Taiwan Huanliang</t>
  </si>
  <si>
    <t>CID001859</t>
  </si>
  <si>
    <t>Taiwan's lofty Enterprises Ltd.</t>
  </si>
  <si>
    <t>Taiwan's Lofty Enterprises Ltd.</t>
  </si>
  <si>
    <t>CID001873</t>
  </si>
  <si>
    <t>CID001882</t>
  </si>
  <si>
    <t>Tennessee Aluminum Processors</t>
  </si>
  <si>
    <t>TAP</t>
  </si>
  <si>
    <t>CID001885</t>
  </si>
  <si>
    <t>TCC steel</t>
  </si>
  <si>
    <t>CID001893</t>
  </si>
  <si>
    <t>TENNANT METAL PTY LTD.</t>
  </si>
  <si>
    <t>CID002834</t>
  </si>
  <si>
    <t>Thai Nguyen Mining and Metallurgy Co., Ltd.</t>
  </si>
  <si>
    <t>3/2 Street, Thai Nguyen, Thai Nguyen</t>
  </si>
  <si>
    <t>Thai Nguyen</t>
  </si>
  <si>
    <t>0, Le Van Kien, NA, Tin</t>
  </si>
  <si>
    <t>0, lekien75@gmail.com, NA, Thai Nguyen Mining and Metallurgy Co., Ltd.</t>
  </si>
  <si>
    <t>Conformant, NA, No Action Required as company is RMAP conformant, RMAP Compliant Smelter, RMI Conformant, Supplier contacts: catherine.pelissonnier@st.com; oh-dongho@auk.co.kr; Infineon Customer Contact @infineon.com; theodore.knudson@materion.com; yushin@harvatek.com; shelly.ding@inari-amertron.com.cn; Demi_Lo@arimalasers.com; cindy.dodd@avx.com; t.gruber@ats.net; Chih-Hung.Chen@opto.com.tw; oh-dongho@auk.co.kr, Thai Nguyen Mining and Metallurgy Co., Ltd., Validated by RMI until 11/29/2021</t>
  </si>
  <si>
    <t>0, Excludes Covered Countries, LR, not available, not available | RCOI confirmed as per RMI, Not disclosed by supplier, RCOI　by　RMAI, RCOI confirmed as per RMI, RCOI confirmed as per RMI., RCOI confirmed per RMI, Unknown, Unknown, but some recycled/scrap, VIET NAM</t>
  </si>
  <si>
    <t>CID002834, DRC, Burundi, Rwanda, Uganda, Andorra, Argentina, Australia, Austria, Benin, Bolivia, Brazil, Chile, China, Colombia, Ecuador, Eritrea, Ethiopia, France, Ghana, Guinea, India, Indonesia, Ireland, Japan, Laos, Liechtenstein, Madagascar, Malaysia, Mali, Mauritania, Mongolia, Morocco, Myanmar, Namibia, New Zealand, Nicaragua, Niger, Nigeria, Peru, Portugal, Russia, Sierra Leone, Spain, Taiwan, Thailand, Togo, USA, United Kingdom, Uzbekistan, Vietnam, Recycled/Scrap, Due diligence results pending, Due diligence results pending;Thailand, Viet Nam, Andorra, Namibia, Recycled/Scrap, United States, New Zealand, China, Australia, Brazil, Myanmar, Peru, Portugal, Indonesia, Rwanda, Colombia, Ethiopia, France, Ireland, Madagascar, Malaysia, Mali, Mongolia, Niger, Nigeria, Russian Federation, Sierra Leone, Spain, Taiwan, United Kingdom, Uzbekistan, Ghana, Uganda, Morocco, Bolivia (Plurinational State of), Lao People's Democratic Republic, Burundi, Democratic Republic of Congo, Argentina, Austria, Benin, Chile, Ecuador, Eritrea, Guinea, India, Japan, Mauritania, Nicaragua, Togo, Liechtenstein, Excludes Covered Countries, Excludes Covered Countries and CAHRA, L1, L1 | RCOI confirmed as per RMI | THAILAND | Not Available | Excludes Covered Countries, L1 | Thailand | Excludes Covered Countries | Not Available | RCOI confirmed as per RMI | THAILAND, Laos, Mineral sourcing LR from Laos, Thailand, Viet Nam, Andorra, Mineral sourcing LR from Thailand, No known country of origin, RCOI by RMAI, RCOI confirmed as per RMI., RCOI confirmed per RMI, Thailand, Thailand, Viet Nam, Andorra, VIET NAM, タイ</t>
  </si>
  <si>
    <t>Compliant, Compliant Conformant, Conformant, Conformant Smelter, Conformant smelter according to RMI, audit valid until 2020, Conformant Smelter according to RMI, last cycle in 29.11.2019 with a cycle of 1 Year, RCOI confirmed per RMI, RMAP Conformant, RMAP Conformant Smelter, RMAP Conformant Smelter / RCOI confirmed per RMI</t>
  </si>
  <si>
    <t>CID001897</t>
  </si>
  <si>
    <t>Thailand Mine Factory</t>
  </si>
  <si>
    <t>Thaisarco</t>
  </si>
  <si>
    <t>Amphur Muang</t>
  </si>
  <si>
    <t>Phuket</t>
  </si>
  <si>
    <t>CID001898</t>
  </si>
  <si>
    <t>Thailand Smelting and Refining Co. Ltd.
80 Moo 8, Sakdidej Road, T. Vichit, A. Muang, 
Phuket 83000, THAILAND</t>
  </si>
  <si>
    <t>+66 7637 1111, 0, Conflidential, Mr. Andrew Davies, Mr. Nick Thorne, Mr. Panya Torchareon, Mr. Panya Torcharoen, Mr. Sakkarin, Mr. Warit Choovaree, Mr. Warit Choovaree (Commercial Supply &amp;amp; Purchasing Manager), Mr. Warit Choovaree (Commercial Supply &amp;amp; Purchasing Manager)
Mr. Andrew Davies, Mr.Andrew Davies, Mr.David Wilkinson, Mr.Panya Torchareon, Petcharat Ditkaew, Tin, Warit Choovaree, Panya Torchareon</t>
  </si>
  <si>
    <t>0, andrew.davies@thaisarco.com, Confidential, david.wilkinson@thaisarco.com, nick.thorne@thaisarco.com, panyator@thaisarco.com, petcharat@thaisarco.com, ravinigu@hotmail.com, Thailand Smelting &amp;amp; Refining Co Ltd, tsr@thaisarco.com, warit@thaisarco.com, warit@thaisarco.com
andrew.davies@thaisarco.com, warit@thaisarco.com, panyator@thaisarco.com</t>
  </si>
  <si>
    <t>CFS validated, CFSI Compliant Smelter, Conformant- Reaudit In Progress, Conformant-Reaudit In Progress, Monitoring CFSI certifications., N.A. (CFS apporved Smelter), no action need, No Action Required as company is RMAP conformant, None Required - RMI  certified conflict free, None, CFS Certified, RMAP Compliant Smelter, RMAP Conformant, Supplier contacts: hyeju.lee@amkor.com; catherine.pelissonnier@st.com; wolf@pactech.de; oh-dongho@auk.co.kr; hikhor@carsem.com; Infineon Customer Contact @infineon.com; joanne.ambat@nepeshayyim.com; nutthaphon@focuz-mfg.com; julieli@chipbond.com.tw; soralee@asekr.com; eagle@solartech.com.tw; hwwang@viseratech.com; lisa.bjornson@sanmina.com; theodore.knudson@materion.com; yushin@harvatek.com; andreas.schwender@saxonia-tm.de; shelly.ding@inari-amertron.com.cn; Demi_Lo@arimalasers.com; Emily_Hsieh@epistar.com; andre.dinther@possehlelectronics.nl; waikhee.seetho@heraeus.com; t.gruber@ats.net; beate.ostermeier@deutsche-technoplast.com; Chih-Hung.Chen@opto.com.tw; zenglan.fei@wlcsp.com; s.rossi@varioprint.ch; Ravikumar.Ramachandran@fci.com; Mia_Moh@aseglobal.com; oh-dongho@auk.co.kr; xu-d@crystal-optech.com, Thaisarco, Validated by RMI until 02/26/2022</t>
  </si>
  <si>
    <t>0, Bluestone Mine Tasmania in Australia, Kalonta Mine in Dawei Myanmar, Heinda Mine in Dawei Myanmar, Panasqueira Portugal, UIS Mine, Namibia, Bluestone Mine Tasmania in Australia, Kalonta Mine in Dawei Myanmar, Heinda Mine in Dawei Myanmar, Panasqueira Portugal, UIS Mine, Namibia | (1) PT Sumber Jaya Indah
(2) Thaisarco | RCOI confirmed per RMI | USA | Tin Mine located at countries stated next cell (No Name of Tin Mine) | Name of Mine(s) is as follows:
Bluestone Mine Tasmania in Australia
Panasqueira, Portugal
UIS Mine, Namibia
For tin ingot, we're only source from RMAP Compliant Smelters.
For tin concentrates from central Africa, we're only source tagged material through, Bluestone Mine Tasmania,Kalonta Mine,Heinda Mine.
And they are iTSCi Full Membership., From PT Sumber Jaya Indah,Bluestone Mine Tasmania,Kalonta Mine,Heinda Mines, Indonesia, LR, CC, HR, DRC, R/S, Name of Mine(s) is as follows: Bluestone Mine Tasmania in Australia. Panasqueira, Portugal. UIS Mine, Namibia. For tin ingot, we're only source from RMPA Compliant Smelters. For tin concentrates from central Africa, we're only source tagged material through the reputation trading firms and are iTSCi full Membership., Name of Mine(s) is as follows:Bluestone Mine Tasmania in Australia,Kalonta Mine in Dawei, Myanmar, Heinda Mine in Dawei, Myanmar, Panasqueira, Portugal. For tin ingot, we're only source from CFS Compliant Smelters. , Name of Mine(s) is as follows:Bluestone Mine Tasmania in Australia,Kalonta Mine in Dawei, Myanmar, Heinda Mine in Dawei, Myanmar, Panasqueira, Portugal. For tin ingot, we're only source from CFS Compliant Smelters. | Some are recycled, scrap, covered countries or DRC sourced but not all. | Bluestone Mine Tasmania in Australia, Name of Mine(s) is as follows:Bluestone Mine Tasmania in Australia,Kalonta Mine in Dawei, Myanmar,Heinda Mine in Dawei, Myanmar,Panasqueira, Portugal, Namibia, Pt Sumber Jaya Indah, Thaisarco, Recycled/Scrap, Bluestone Mine Tas, Alphamin Bisie, Panasqueira, Pt Sumber Jaya Indah, UIS Mine, Kalonta Mine In Dawei, Heinda Mine In Dawei, No information, PT Sumber Jaya Indah, Bluestone Mine Tasmania, Kalonta Mine, Heinda Mines, and recycled/scrap, RCOI confirmed as per RMI, RCOI confirmed per RMI, Some are recycled, scrap, covered countries or DRC sourced but not all, Some are recycled, scrap, covered countries or DRC sourced but not all. , Some are recycled/scrap, high risk countries, covered countries, and DRC sourced but not all., Sub-Smelters in Indonesia, THAILAND, This column would be traced/certified by CFS program. | N.A | Sub-Smelters in Indonesia | RCOI confirmed as per CFSI | From PT Sumber Jaya Indah | 鉱山名開示不可能 | RCOI confirmed per CFSI. | Some are recycled, scrap, cover countries or DRC sourced but not all. | RCOI Confirmed as per CSFI | Thailand | Nondisclosure | Some are recycled, scrap, covered countries or DRC sourced but not all. | M Compony | RECYCLED | This column would be traced/certified by CFS program. | N.A | From PT Sumber Jaya Indah | RCOI confirmed as per CFSI | 鉱山名開示不可能 | Some are recycled, scrap, covered countries or DRC sourced but not all. | recycled + scrap sourced | Tin Mine located at coun | Indonesian domestic mine | Name of Mine(s) is as follows:Bluestone Mine Tasmania in Australia,Kalonta Mine in Dawei, Myanmar, Heinda Mine in Dawei, Myanmar, Panasqueira, Portugal. For tin ingot, we're only source from CFS Compliant Smelters. | Phuket Tin Mine | RCOI confirmed as per RMI | RCOI confirmed per RMI., Tin Mine located at countries stated next cell (No Name of Tin Mine)</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</si>
  <si>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 Australia, Brazil, Bolivia, China, Laos, Myanmar, Morocco, Peru, Portugal, Vietnam, Rwanda and DRC, Australia, Brazil, Bolivia, China, Laos,
Myanmar, Morocco, Peru, Portugal,
Vietnam, Rwanda and DRC, CID001898, DRC- Congo (Kinshasa), Myanmar, Angola, Cambodia, Malaysia, Kazakhstan, Portugal, Austria, Mongolia, Morocco, Luxembourg, Brazil, Korea, Republic of, Guyana, Chile, Laos, Ecuador, Colombia, Argentina, Hungary, South Sudan, Japan, Tanzania, Zambia, Congo (Brazzaville), India, Canada, Belgium, Namibia, Taiwan, Central African Republic, Peru, Ethiopia, Germany, Burundi, Russian Federation, Viet Nam, Singapore, United States, Egypt, Sierra Leone, Madagascar, Ivory Coast, Thailand, Bolivia, Netherlands, Ireland, China, Poland, Slovakia, France, Nigeria, Rwanda, United Kingdom, Switzerland, Spain, Djibouti, Czech Republic, Uganda, Zimbabwe, Suriname, Israel, Australia, Indonesia, Estonia, DRC- Congo (Kinshasa), Myanmar, Angola, Cambodia, Malaysia, Kazakhstan, Portugal, Austria, Mongolia, Morocco, Luxembourg, Korea, Republic of, Brazil, Guyana, Chile, Laos, Ecuador, Colombia, Argentina, South Sudan, Hungary, Japan, Tanzania, Zambia, Congo (Brazzaville), India, Canada, Belgium, Namibia, Taiwan, Central African Republic, Peru, Germany, Ethiopia, Burundi, Russian Federation, Viet Nam, Singapore, United States, Egypt, Sierra Leone, Madagascar, Ivory Coast, Thailand, Bolivia, Netherlands, China, Ireland, Poland, Slovakia, Nigeria, France, Rwanda, United Kingdom, Switzerland, Spain, Djibouti, Czech Republic, Zimbabwe, Uganda, Suriname, Israel, Australia, Indonesia, Estonia, DRC- Congo (Kinshasa), Myanmar, Angola, Cambodia, Malaysia, Kazakhstan, Portugal, Mongolia, Austria, Morocco, Luxembourg, Brazil, Korea, Republic of, Guyana, Chile, Laos, Colombia, Ecuador, Argentina, Hungary, South Sudan, Japan, Tanzania, Zambia, Congo (Brazzaville), India, Canada, Belgium, Namibia, Taiwan, Central African Republic, Peru, Germany, Ethiopia, Russian Federation, Burundi, Singapore, Viet Nam, United States, Egypt, Sierra Leone, Madagascar, Ivory Coast, Thailand, Bolivia, Netherlands, China, Ireland, Poland, Slovakia, France, Nigeria, Rwanda, United Kingdom, Switzerland, Spain, Djibouti, Czech Republic, Zimbabwe, Uganda, Suriname, Israel, Australia, Estonia, Indonesia, DRC- Congo (Kinshasa), Myanmar, Angola, Cambodia, Malaysia, Kazakhstan, Portugal, Mongolia, Austria, Morocco, Luxembourg, Korea, Republic of, Brazil, Guyana, Chile, Laos, Colombia, Ecuador, Argentina, Hungary, South Sudan, Japan, Tanzania, Zambia, Congo (Brazzaville), India, Canada, Belgium, Namibia, Taiwan, Central African Republic, Peru, Germany, Ethiopia, Russian Federation, Burundi, Viet Nam, Singapore, United States, Egypt, Sierra Leone, Madagascar, Ivory Coast, Thailand, Bolivia, Netherlands, Ireland, China, Poland, Slovakia, Nigeria, France, Rwanda, United Kingdom, Switzerland, Spain, Djibouti, Czech Republic, Zimbabwe, Uganda, Suriname, Israel, Australia, Indonesia, Estonia, DRC- Congo (Kinshasa), Myanmar, Angola, Cambodia, Malaysia, Kazakhstan, Portugal, Mongolia, Austria, Morocco, Luxembourg, Korea, Republic of, Guyana, Brazil, Chile, Laos, Ecuador, Colombia, Argentina, South Sudan, Hungary, Japan, Tanzania, Zambia, Congo (Brazzaville), India, Canada, Belgium, Namibia, Taiwan, Central African Republic, Peru, Germany, Ethiopia, Burundi, Russian Federation, Singapore, Viet Nam, United States, Egypt, Madagascar, Sierra Leone, Ivory Coast, Bolivia, Thailand, Netherlands, China, Ireland, Poland, Slovakia, France, Nigeria, Rwanda, United Kingdom, Switzerland, Spain, Djibouti, Czech Republic, Uganda, Zimbabwe, Suriname, Israel, Australia, Indonesia, Estonia, DRC or an adjoining country (Covered Countries), Rwanda, Indonesia, Recycled/Scrap, Thailand, Burundi, Uganda, Myanmar, Portugal, Morocco, Chile, Bolivia, Canada, Brazil, Malaysia, Poland, Peru, Australia, China, Japan, Thailand, Laos, Vietnam, , DRC or an adjoining country (Covered Countries), Rwanda, Indonesia, Recycled/Scrap, Thailand, Burundi, Uganda, Myanmar, Portugal, Morocco, Chile, Bolivia, Canada, Brazil, Malaysia, Poland, Peru, Australia, China, Japan, Thailand, Laos, Vietnam,;Recycled/Scrap,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 Mozambique, Bolivia (Plurinational State of), Eritrea, Benin, Guinea, Ghana, Mexico, South Africa, Lao People's Democratic Republic, Mali, Mauritania, Nicaragua, Puerto Rico, Togo, Uzbekistan,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New Caledonia, New Zealand, Norway, Oman, Pakistan, Panama, Papua New Guinea, Philippines, Romania, San Marino, Saudi Arabia, Senegal, Serbia, Slovenia, Solomon Islands, Sweden, Tajikistan, Trinidad and Tobago, Tunisia, Turkey, Ukraine, United Arab Emirates, Uruguay, Yemen, DRC or an adjoining country (Covered Countries), Rwanda, Indonesia, Recycled/Scrap, Thailand, Burundi, Uganda, Myanmar, Portugal, Morocco, Chile, Bolivia, Canada, Brazil, Malaysia, Poland, Peru, Australia, China, Japan, Thialand, Laos, Vietnam, ,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DRC, Burundi, Rwanda, Uganda, Australia, Bolivia, Brazil, Canada, Chile, China, Indonesia, Japan, Laos, Malaysia, Morocco, Myanmar, Peru, Poland, Portugal, Thailand, Vietnam, recycled/scrap, DRC,Burundi,Rwanda,Uganda, Includes Covered Countries, Includes Covered Countries and CAHRA, Includes Covered Countries and CAHRA | the DRC or an adjoining country(covered countries) | Mineral sourcing R/S, LR, HR, DRC, CC, based on RMAP-RMI's RCOI data with mining from Australia, Brazil, Bolivia, Burundi, China, Indonesia, Laos, Myanmar, Morocco, Peru, Portugal, Vietnam, Rwanda, Uganda and DRC | Andorra, Angola, Argentina, Australia, Austria, Brazil, Burundi, Cambodia, Canada, Chile, China, Colombia, Congo, Democratic Republic of Congo, Ecuador, Guyana, Hungary, India, Indonesia, Japan, Kazakhstan, Korea, Luxembourg, Malaysia, Mongolia, Morocco, | (1) Indonesia
(2) Thailand 
Rwanda | RCOI confirmed per RMI | USA | Indonesia,Tasmania in Australia,Myanmar, the Democratic Republic of the Congo (DRC), Rwanda, Uganda and Burundi | Recycled/Scrap, Thailand, Rwanda, Burundi, Uganda, Indonesia, Myanmar, Brazil, Portugal, Morocco, Australia, China, Peru, Malaysia, Japan, Chile, Canada, Poland, Democratic Republic of Congo, India, Mongolia, Argentina, Colombia, Congo, Austria, Guyana, C | DRC,Burundi,Rwanda,Uganda | Level 1 countries i.e. Indonesia, South America, South East Asia countries.
Level 3 countries i.e. DRC and adjoined countries (including the Democratic Republic of the Congo (DRC), Rwanda, Uganda and Burundi., Indonesia, INDONESIA | This column would be traced/certified by CFS program. | THAILAND | Includes Covered Countries | Level 1 countries i.e. Indonesia | DRC, Burundi, Rwanda, Uganda | L1, L3, R/S | L1, L3, DRC, R/S | オーストラリア、ブラジル、ボリビア、中国、
ラオス、ミャンマー、モロッコ、ペルー、ポルトガル、ベトナム、ルワンダ共和国、コンゴ民主共和国 | DRC- Congo (Kinshasa), Myanmar, Angola, Cambodia, Malaysia, Kazakhstan, Portugal, Austria, Mongolia, Morocco, Luxembourg, Brazil, Korea, Republic of, Guyana, Chile, Laos, Colombia, Ecuador, Argentina, Hungary, South Sudan, Japan, Tanzania, Zambia, Congo ( | RCOI confirmed as per CFSI | RCOI confirmed per CFSI. | Some are recycled, scrap, cover countries or DRC sourced but not all. | RCOI Confirmed as per CSFI | DRC,Burundi,Rwanda,Uganda | Level 1 countries i.e. Indonesia ,South America, South East Asia countries | Nondisclosure (except for Democratic Republic of Congo or an adjoining Country) | Some are recycled, scrap, covered countries or DRC sourced but not all. | Mineral sourcing L1,L3,R/S, DRC, Rwanda | RECYCLED | Democratic Republic of  Congo and adjoining countries | INDONESIA | This column would be traced/certified by CFS program. | THAILAND | L1, L3, R/S | Includes Covered Countries | L1, L3, DRC, R/S | オーストラリア、ブラジル、ボリビア、中国、
ラオス、ミャンマー、モロッコ、ペルー、ポルトガル、ベトナム、ルワンダ共和国、コンゴ民主共和国 | Some are recycled, scrap, covered countries | the DRC or an adjoining country(covered countries) | Australia, Brazil, Bolivia, China, Laos, Myanmar, Morocco, Peru, Portugal, Vietnam, Rwanda and DRC | DRC- Congo (Kinshasa), Myanmar, Angola, Cambodia, Malaysia, Kazakhstan, Portugal, Mongolia, Austria, Morocco, Luxembourg, Guyana, Brazil, Korea, Republic of, Chile, Laos, Colombia, Ecuador, Argentina, South Sudan, Hungary, Japan, Tanzania, Zambia, Congo ( | Indonesia | Thailand Smelting and Refining Co. Ltd.
80 Moo 8, Sakdidej Road, T. Vichit, A. Muang, 
Phuket 83000, THAILAND | L1, CC, DRC, R/S | Thailand | Mineral sourcing L1, L3, DRC, R/S, Indonesia, Rwanda and Thailand | RCOI confirmed as per RMI | No | primarily Indonesia. | Not Available | Mainly Indonesia, Indonesia,Tasmania in Australia,Myanmar, the Democratic Republic of the Congo (DRC), Rwanda, Uganda and Burundi, L1, CC, DRC, R/S, L1, CC, DRC, R/S | Some are recycled, scrap, covered countries or DRC sourced but not all. | DRC- Congo (Kinshasa), Myanmar, Angola, Cambodia, Malaysia, Kazakhstan, Portugal, Mongolia, Austria, Morocco, Luxembourg, Korea, Republic of, Guyana, Brazil, Chile, Laos, Colombia, Ecuador, Argentina, South Sudan, Hungary, Japan, Tanzania, Zambia, Congo ( | South America, South East Asia countries | the DRC or an adjoining country(covered countries) | Not Available | Thailand Smelting and Refining Co. Ltd.
80 Moo 8, Sakdidej Road, T. Vichit, A. Muang, 
Phuket 83000, THAILAND | Includes Covered Countries, Level 1 countries i.e. Indonesia, Level 1 countries i.e. Indonesia
South America, South East Asia countries
Level 3 countries i.e. DRC and　adjoined countries (including the Democratic Republic of the Congo (DRC), Rwanda, Uganda and Burundi, Level 1 countries i.e. Indonesia
South America, South East Asia countries
Level 3 countries i.e. DRC and
adjoined countries (including the Democratic Republic of the Congo (DRC), Rwanda, Uganda and Burundi, Level 1 countries i.e. Indonesia, South America, South East Asia countries. Level 3 countries i.e. DRC and adjoined countries (including the Democratic Republic of the Congo (DRC), Rwanda, Uganda and Burundi. , Level 1 countries i.e. Indonesia, South America, South East Asia countries.South America, South East Asia countries, adjoined countries (including the Democratic Republic of the Congo (DRC), Rwanda, Uganda and Burundi., Level 1 countries i.e. Indonesia,South America, South East Asia countries. Level 3 countries i.e. DRC and adjoined countries (including the Democratic Republic of the Congo (DRC), Rwanda, Uganda and Burundi, Mineral sourcing LR, CC, HR, DRC, R/S from Australia, Brazil, Bolivia, China, Laos, Myanmar, Morocco, Peru, Portugal, Vietnam, Rwanda and DRC, Mineral sourcing R/S, LR, HR, DRC, CC, based on RMAP-RMI's RCOI data with mining from Australia, Brazil, Bolivia, Burundi, China, Indonesia, Laos, Myanmar, Morocco, Peru, Portugal, Vietnam, Rwanda, Uganda and DRC, No information, RCOI confirmed as per RMI, RCOI confirmed as per RMI
Indonesia, South America, Southeast Asian countries, DRC, Rwanda, Uganda, Burundi, RCOI confirmed as per RMI., RCOI confirmed per RMI, Recycled / Indonesia, Recycled/Scrap, Thailand, Rwanda, Burundi, Uganda, Indonesia, Myanmar, Brazil, Portugal, Morocco, Australia, China, Peru, Malaysia, Japan, Chile, Canada, Poland, Democratic Republic of Congo, India, Mongolia, Argentina, Colombia, Congo, Austria, Guyana, Cambodia, Kazakhstan, Luxembourg, Angola, Ecuador, Tanzania, Zambia, Korea, Hungary, South Sudan, Sudan, Andorra, Niger, Nigeria, Viet Nam, Germany, Zimbabwe, Russian Federation, Ireland, United Kingdom, Namibia, United States, Ethiopia, Sierra Leone, Spain, Central African Republic, France, Madagascar, Taiwan, Belgium, Egypt, Estonia, Israel, Netherlands, Singapore, Slovakia, Suriname, Switzerland, Djibouti, Republic of Rwanda
Democratic Republic of Congo, Some are recycled, scrap, covered countries or DRC sourced but not all, Some are recycled, scrap, covered countries or DRC sourced but not all. , Some are recycled/scrap, high risk countries, covered countries, and DRC sourced but not all., the DRC or an adjoining country(covered countries), Various and Recycled, オーストラリア、ブラジル、ボリビア、中国、
ラオス、ミャンマー、モロッコ、ペルー、ポルトガル、ベトナム、ルワンダ共和国、コンゴ民主共和国</t>
  </si>
  <si>
    <t xml:space="preserve">Compliant, COMPLIANT 09/22/2015, Compliant Conformant, Conformant, Conformant Smelter, Conformant Smelter - some material may be sourced from the covered countries, Conformant smelter according to RMI, audit valid until 2021, reassessment in progress, Conformant Smelter according to RMI, last cycle in 26.02.2020 with a cycle of 1 Year, http://www.thaisarco.com/policy.html, Part or all material comes from Covered Country, RCOI confirmed as per RMAP, RCOI confirmed per RMI, RMAP certified Conflict Free. Some material sourced from the covered countries., RMAP Conformant, RMAP Conformant Smelter, RMAP Conformant Smelter / RCOI confirmed per RMI, THAISARCO: Supply Chain Policy (http://www.thaisarco.com/docs/SupplyChainPolicy2018.pdf) and Due Dilignece Procedure (http://www.thaisarco.com/docs/DueDiligenceProcedures.pdf)., This smelter is CFS.
http://www.conflictfreesmelter.org/CompliantTinSmelterList.htm, This smelter is RMI Conformant.
http://www.responsiblemineralsinitiative.org/tin-smelters-list/, www.thaisarco.com </t>
  </si>
  <si>
    <t>CID001920</t>
  </si>
  <si>
    <t>Three green surface technology limited company</t>
  </si>
  <si>
    <t>Three Green Surface Technology Limited Company</t>
  </si>
  <si>
    <t>CID001929</t>
  </si>
  <si>
    <t>Tianshui Ling Bo Technology Co., Ltd.</t>
  </si>
  <si>
    <t>CID001182</t>
  </si>
  <si>
    <t>Panamericana Highway, Km 238, Pisco-Ica, Perú</t>
  </si>
  <si>
    <t>Ika</t>
  </si>
  <si>
    <t>0, Conflidential, Ivo Serkovic Gomez, Joes Ore, Jose Ore, Jose Ore Rivera, Laila Zollinger, Mr. Jose Ore Rivera, Mr. José Oré Rivera, Ms. Rosa Reategui, nick.thorne@thaisarco.com, Rosa Elena Reategui, Tin</t>
  </si>
  <si>
    <t>0, Confidential, ivo.serkovic@minsur.com, jose.ore@minsur.com, lailazt@globalnet.co.uk, Minsur, rosa.reategui@minsur.com, Rosa_reategui@minsur.com</t>
  </si>
  <si>
    <t>Conformant-audited by RMI (members / partners)- valid until 10/20/2024, Minsur, N.A. (CFS apporved Smelter), N/A, compliant smelter, no action need, No Action Required as company is RMAP conformant, None required, None Required - RMI  certifed conflict free, None Required - RMI  certified conflict free, None, CFS Certified, Reaudit In Progress, RMAP Compliant Smelter, RMAP Conformant, Supplier contacts: hyeju.lee@amkor.com; catherine.pelissonnier@st.com; oh-dongho@auk.co.kr; hikhor@carsem.com; Infineon Customer Contact @infineon.com; nutthaphon@focuz-mfg.com; hwwang@viseratech.com; lisa.bjornson@sanmina.com; theodore.knudson@materion.com; yushin@harvatek.com; andreas.schwender@saxonia-tm.de; shelly.ding@inari-amertron.com.cn; Demi_Lo@arimalasers.com; Emily_Hsieh@epistar.com; gmo003@runlite.cn; andre.dinther@possehlelectronics.nl; waikhee.seetho@heraeus.com; cindy.dodd@avx.com; t.gruber@ats.net; beate.ostermeier@deutsche-technoplast.com; Chih-Hung.Chen@opto.com.tw; zenglan.fei@wlcsp.com; jeannin@dymax.com; s.rossi@varioprint.ch; Ravikumar.Ramachandran@fci.com; td40_0138@mail.tsujiden.co.jp; Mia_Moh@aseglobal.com</t>
  </si>
  <si>
    <t>0, Datun Tin Mine, Malage Tin Mine,Songshujiao Tin Mine, From San Rafael, Puno, Tin Mine located in Puno region in the eastern cordillera of the Andes, Huanui Tin Mining and Colquiri Tin Mining, Paracas, Recycled/Scrap, Ica, San Rafael Mine, Minsur-Mine, Minsur, No information, PERU, RCOI confirmed as per RMI, RCOI confirmed as per RMI., RCOI confirmed per RMI, Recycled, Scrap and mines, from San Rafel Mine, Peru, Recycled, Scrap and mines, from San Rafel Mine, Peru | RCOI confirmed as per RMI | Minsurs San Rafael Mine, San Rafael, San Rafael | (1) San Rafael, Puno - Peru
(2) Sourced from Mines/Recyale/Scrap | RCOI confirmed per RMI | RCOI confirmed as per RMI | San Rafael, Puno - Peru | Minsur, San Rafael Mine, Puno, Paracas, Ica, Fundicion Pisco, Minsur-Mine, Huanui Tin Mining, Colquiri Tin Mining, and recycled/scrap, San Rafael, Puno - Peru, This column would be traced/certified by CFS program. | KOREA, REPUBLIC OF | From San Rafael, Puno - Peru | San Rafael | Minsur | Tin Mine located in Puno region in the eastern cordillera of the Andes | From Minsur, San Rafael, Peru | RCOI confirmed as per CFSI | Some are recycled or scrap sourced but not all. | RCOI Confirmed as per CSFI | Paracas , Ica | Some are recycled or scrap sourced but not all | Minsur-Mine | RECYCLED | This column would be traced/certified by CFS program. | From San Rafel Mine Peru and Minsur Mining, some are recycled or scrap sourced but not all. | Minsur | KOREA, REPUBLIC OF | From San Rafael, Puno - Peru | San Rafael | Some are recycled or scrap sour | Recycled, Scrap and mines, from San Rafel Mine, Peru | Recycled, Scrap and mines, from San Rafael, Puno | RCOI confirmed as per RMI | San Rafael, Puno - Peru</t>
  </si>
  <si>
    <t>0, Antauta, Melgar, Puno, Peru,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Argentina, Austria, Belgium, Brazil, Cambodia, Canada, Chile, China, Colombia, Ecuador, Ethiopia, Germany, Guyana, Hungary, India, Japan, Kazakhstan, Korea, Luxembourg, Malaysia, Mongolia, Myanmar, Namibia, Niger, Peru, Portugal, Recycled/Scrap, Taiwan, Thailand, China, CID001182, DRC, Rwanda, Aland Islands,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Mongolia, Morocco, Myanmar, Namibia, Netherlands, Nicaragua, Niger, Nigeria, Norway, Panama, Peru, Portugal, Republic of Korea, Russia, Sierra Leone, Singapore, Slovakia, Spain, Suriname, Switzerland, Taiwan, Thailand, Togo, Tunisia, USA, United Kingdom, Uzbekistan, Vietnam, Zimbabwe, Recycled/Scrap, Excludes Covered Countries, Excludes Covered Countries and CAHRA, Excludes Covered Countries and CAHRA | the DRC or an adjoining country(covered countries) | From Peru | Puno - Peru
Peru, China, Thailand, Malaysia, Recycled/Scrap, Myanmar, Cambodia, Kazakhstan, Portugal, Mongolia, Austria, Luxembourg, Guyana, Republic Of Korea, Brazil, Chile, Laos, Ecuador, Colombia, Argentina, Hungary, Japan, India, Canada, Belgium, Nami | RCOI confirmed per RMI | RCOI confirmed as per RMI | Peru | Puno - Peru | Recycled/Scrap, Peru, Brazil, Malaysia, Myanmar, Colombia, Mongolia, Portugal, Argentina, Germany, Canada, Korea, Cambodia, India, Japan, Austria, Chile, Ecuador, Belgium, Guyana, Hungary, Kazakhstan, Luxembourg, Namibia, Ethiopia, China, Thailand, Niger,, From Peru, L1, L1 | RCOI confirmed as per RMI | Antauta Melgar, Puna, Peru | Myanmar, Cambodia, Malaysia, Kazakhstan, Portugal, Austria, Mongolia, Luxembourg, Brazil, Korea, Republic of, Guyana, Chile, Laos, Colombia, Ecuador, Argentina, Hungary, Japan, India, Canada, Belgium, Namibia, Taiwan, Peru, Ethiopia, Germany, Russian Fede | Not Available | Panamericana Highway, Km 238, Pisco-Ica, Perú | Excludes Covered Countries, Mineral sourcing L1, from Peru, Myanmar, Cambodia, Malaysia, Kazakhstan, Portugal, Austria, Mongolia, Luxembourg, Brazil, Guyana, Korea, Republic of, Chile, Laos, Ecuador, Colombia, Argentina, Hungary, Japan, India, Canada, Belgium, Namibia, Taiwan, Peru, Ethiopia, Germany, Russian Federation, Singapore, Viet Nam, United States, Egypt, Sierra Leone, Madagascar, Ivory Coast, Bolivia, Thailand, Netherlands, Ireland, China, Slovakia, Nigeria, France, United Kingdom, Switzerland, Spain, Djibouti, Czech Republic, Zimbabwe, Suriname, Israel, Australia, Indonesia, Estonia, Myanmar, Cambodia, Malaysia, Kazakhstan, Portugal, Austria, Mongolia, Luxembourg, Guyana, Brazil, Korea, Republic of, Chile, Laos, Ecuador, Colombia,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Estonia, Indonesia, Myanmar, Cambodia, Malaysia, Kazakhstan, Portugal, Austria, Mongolia, Luxembourg, Korea, Republic of, Guyana, Brazil, Chile, Laos, Colombia, Ecuador, Argentina, Hungary, Japan, India, Canada, Belgium, Namibia, Taiwan, Peru, Ethiopia, Germany, Russian Federation, Singapore, Viet Nam, United States, Egypt, Sierra Leone, Madagascar, Ivory Coast, Bolivia, Thailand, Netherlands, China, Ireland, Slovakia, France, Nigeria, United Kingdom, Switzerland, Spain, Djibouti, Czech Republic, Zimbabwe, Suriname, Israel, Australia, Indonesia, Estonia, Myanmar, Cambodia, Malaysia, Kazakhstan, Portugal, Mongolia, Austria, Luxembourg, Brazil, Korea, Republic of, Guyana, Chile, Laos, Colombia, Ecuador, Argentina, Hungary, Japan, India, Canada, Belgium, Namibia, Taiwan, Peru, Ethiopia, Germany, Russian Federation, Singapore, Viet Nam, United States, Egypt, Sierra Leone, Madagascar, Ivory Coast, Thailand, Bolivia, Netherlands, China, Ireland, Slovakia, France, Nigeria, United Kingdom, Switzerland, Spain, Djibouti, Czech Republic, Zimbabwe, Suriname, Israel, Australia, Indonesia, Estonia, Myanmar, Cambodia, Malaysia, Kazakhstan, Portugal, Mongolia, Austria, Luxembourg, Guyana, Korea, Republic of, Brazil, Chile, Laos, Colombia, Ecuador, Argentina, Hungary, Japan, India, Canada, Belgium, Namibia, Taiwan, Peru, Germany, Ethiopia, Russian Federation, Viet Nam, Singapore, United States, Egypt, Madagascar, Sierra Leone, Ivory Coast, Bolivia, Thailand, Netherlands, China, Ireland, Slovakia, France, Nigeria, United Kingdom, Switzerland, Spain, Djibouti, Czech Republic, Zimbabwe, Suriname, Israel, Australia, Estonia, Indonesia, No information, Peru, 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 Puno - Peru, Puno-Peru, RCOI confirmed as per RMI, RCOI confirmed as per RMI., RCOI confirmed per RMI, Recycled/Scrap, Peru, Brazil, Malaysia, Myanmar, Colombia, Mongolia, Portugal, Argentina, Germany, Canada, Korea, Cambodia, India, Japan, Austria, Chile, Ecuador, Belgium, Guyana, Hungary, Kazakhstan, Luxembourg, Namibia, Ethiopia, China, Thailand, Niger, Nigeria, Australia, Ireland, United Kingdom, Zimbabwe, Indonesia, United States, France, Madagascar, Sierra Leone, Spain, Djibouti, Egypt, Israel, Netherlands, Singapore, Slovakia, Suriname, Switzerland, Estonia, Rwanda, Taiwan, Viet Nam, Russian Federation, the DRC or an adjoining country(covered countries), This column would be traced/certified by CFS program. | Peru | Excludes Covered Countries | RCOI confirmed as per CFSI | L1, R/S | KOREA, REPUBLIC OF | Puno-Peru | Province of Melgar in Puno Peru | Myanmar, Cambodia, Malaysia, Kazakhstan, Portugal, Austria, Mongolia, Luxembourg, Guyana, Korea, Republic of, Brazil, Chile, Laos, Ecuador, Colombia, Argentina, Hungary, Japan, India, Canada, Belgium, Namibia, Taiwan, Peru, Germany, Ethiopia, Russian Fede | Some are recycled or scrap sourced but not all. | RCOI Confirmed as per CSFI | Puno - Peru | Some are recycled or scrap sourced but not all | Mineral sourcing L1,R/S, San Rafael, Peru | RECYCLED | This column would be traced/certified by CFS program. | L1, R/S | San Isidro, Lima 27 Peru | Excludes Covered Countries | KOREA, REPUBLIC OF | Puno-Peru | Peru | Some are recycled or scrap sourced but not all | Province of Melgar in Puno Peru | Myanmar, C | Myanmar, Cambodia, Malaysia, Kazakhstan, Portugal, Austria, Mongolia, Luxembourg, Brazil, Guyana, Korea, Republic of, Chile, Laos, Colombia, Ecuador, Argentina, Hungary, Japan, India, Canada, Belgium, Namibia, Taiwan, Peru, Germany, Ethiopia, Russian Fede | Panamericana Highway, Km 238, Pisco-Ica, Perú | RCOI confirmed as per RMI | L1 | Mineral sourcing L1,R/S, Peru | No | Not Available</t>
  </si>
  <si>
    <t>AIM Solder, Compliant, COMPLIANT 09/22/2015, Compliant Conformant, Conformant, Conformant Smelter, Conformant smelter according to RMI, audit valid until 2021, reassessment in progress, Conformant Smelter according to RMI, last cycle in 07.03.2018 with a cycle of 3 Years, http://www.minsur.com/paginas/minerales-conflicto.aspx?lang=en, http://www.minsur.com/siteAssets/pdf/home/EICC.pdf, MINSUR: CM Reporting and Polcity Statements (http://www.minsur.com/quienes-somos/politicas-empresariales/politica-contra-los-minerales-de-conflicto/?lang=en), sourcing only from Peru and Bolivia., RCOI confirmed per RMI, RMAP Conformant, RMAP Conformant Smelter, RMAP Conformant Smelter / RCOI confirmed per RMI, This smelter is CFS.
http://www.conflictfreesmelter.org/CompliantTinSmelterList.htm, This smelter is RMI Conformant.
http://www.responsiblemineralsinitiative.org/tin-smelters-list/</t>
  </si>
  <si>
    <t>CID002551</t>
  </si>
  <si>
    <t>Jiangwu H.C. Starck Tungsten Products Co., Ltd.</t>
  </si>
  <si>
    <t>Ganzhou City, Jiangxi Province, P.R.China</t>
  </si>
  <si>
    <t>Chang Yuzhong, Chedi Yan, Chedi Yan, Chang Yuzhong, Kepulauan Bangka Belitung, Tanja Stalke, Zhou Lin</t>
  </si>
  <si>
    <t>dept1@cniecjx.com.cn, jwstk@jxtc.com.cn, marketing@jxtc.com.cn, tanja.stalke@hcstarck.com, zl19881029@qq.com, zl19881029@qq.com; dept1@cniecjx.com.cn</t>
  </si>
  <si>
    <t>-, Conformant-audited by RMI (members / partners)- valid until 06/15/2025, NA, no action need, No Action Required as company is RMAP conformant, None, CFS certified, Supplier contacts: hyeju.lee@amkor.com; siew.khim.og@ssmc.com; catherine.pelissonnier@st.com; ehs@xfab.com; Infineon Customer Contact @infineon.com; joanne.ambat@nepeshayyim.com;  cammmh@towersemi.com; eagle@solartech.com.tw; lisa.bjornson@sanmina.com; theodore.knudson@materion.com; yushin@harvatek.com; andreas.schwender@saxonia-tm.de; Amber_cy_chang@umc.com; shimizu.yasunori@tpsemico.com, Validated by RMI until 05/21/2022</t>
  </si>
  <si>
    <t>0, From Jiangwu H.C. Starck Tungsten Products Co,.Ltd., Ganzhou Piantang Tungsten Mine, Jiangwu H.C. Starck Tungsten Products Co,.Ltd., No information, Not disclosed by supplier, Not disclosed by supplier | RCOI confirmed as per RMI, Not disclosed per TI-CMC, RCOI confirmed as per RMI., RCOI confirmed per RMI, RCOI confirmed per RMI | Ganzhou Piantang Tungsten Mine, RCOI confirmed per RMI | Ganzhou Piantang Tungsten Mine | Jiangwu H.C. Starck Tungsten Products Co,.Ltd. | Not disclosure, UNITED STATES OF AMERICA | Not disclosed by supplier | RCOI confirmed as per RMI | UNITED STATES OF AMERICA | RCOI confirmed as per CFSI | Not disclosed by supplier, Unknown, but some recycled/scrap</t>
  </si>
  <si>
    <t>Australia, Austria, Bolivia (Plurinational State of), Brazil, Canada, China, Colombia, Ireland, Japan, Mexico, Mongolia, Niger, Nigeria, Panama, Portugal, Recycled/Scrap, Russian Federation, Spain, United Kingdom, United States, Uzbekistan, Viet Nam, China, China, Japan, USA, Recycled/Scrap, China, Japan, USA, Recycled/Scrap;Recycled/Scrap, China, Japan, United States, Mexico, Russian Federation, Australia, Brazil, Portugal, Austria, Bolivia (Plurinational State of), Canada, Colombia, Ireland, Mongolia, Niger, Nigeria, Spain, United Kingdom, Uzbekistan, Viet Nam, Panama, Eritrea, Indonesia, Switzerland, Morocco, Myanmar, Peru, Rwanda, Philippines, Excludes Covered Countries, Excludes Covered Countries | - | UNITED STATES OF AMERICA | China | L1 | RCOI confirmed as per RMI | Mineral sourcing L1, Not disclosed by supplier | Excludes Covered Countries | - | UNITED STATES OF AMERICA | RCOI confirmed as per CFSI | China | Mineral sourcing L1, Not disclosed by supplier | L1 | Does not source from DRC or covered countries | Mineral sourcing L1, not disclosed by supplier | Ganzhou City, Jiangxi Province, P.R.China | Mineral sourcing L1, not disclosed by RMI, From China, L1, L1 | RCOI confirmed as per RMI | China | Ganzhou City, Jiangxi Province, P.R.China | Excludes Covered Countries, Mineral sourcing from China, No information, Not disclosed per TI-CMC, RCOI confirmed as per RMI., RCOI confirmed per RMI, RCOI confirmed per RMI | From China | China | Not disclosure, Recycled/Scrap, China, Japan, United States, Recycled/Scrap, China, Japan, United States, Mexico, Russian Federation, Australia, Brazil, Portugal, Austria, Bolivia (Plurinational State of), Canada, Colombia, Ireland, Mongolia, Niger, Nigeria, Spain, United Kingdom, Uzbekistan, Viet Nam, Panama, Eritrea, Indonesia, Switzerland, Morocco, Myanmar, Peru, Rwanda, Philippines, Rwanda, Australia, Austria, Bolivia, Brazil, Canada, China, Colombia, Eritrea, Indonesia, Ireland, Japan, Mexico, Mongolia, Morocco, Myanmar, Niger, Nigeria, Panama, Peru, Philippines, Portugal, Russia, Spain, Switzerland, USA, United Kingdom, Uzbekistan, Vietnam, Recycled/Scrap, Unknown</t>
  </si>
  <si>
    <t>ACTIVE 09/22/2015 TI-CMC Category A, Compliant, Compliant Conformant, Conformant, Conformant Smelter, Conformant smelter according to RMI, audit valid until 2022, Conformant Smelter according to RMI, last cycle in 21.05.2019 with a cycle of 3 Years, Listed on CFSI Conflict Free Smelter List, RCOI confirmed per RMI / approved by TI-CMC, RMAP Conformant, RMAP Conformant Smelter, RMAP Conformant Smelter / RCOI confirmed per RMI</t>
  </si>
  <si>
    <t>CID002321</t>
  </si>
  <si>
    <t>Jiangxi Gan Bei Tungsten Co., Ltd.</t>
  </si>
  <si>
    <t>WuDu Industrial Park,Xiushui County,Jiangxi Province</t>
  </si>
  <si>
    <t>Xiushui</t>
  </si>
  <si>
    <t>Jiasheng Yu, Ms. Wang Ling, Yunnan</t>
  </si>
  <si>
    <t>370315969@qq.com, yjstungsten@163.com</t>
  </si>
  <si>
    <t>Compliant - No Action Required, Conformant- Reaudit In Progress, Conformant-Reaudit In Progress, No Action Required as company is RMAP conformant, None, CFSP Certified, Supplier contacts: hyeju.lee@amkor.com; catherine.pelissonnier@st.com; ehs@xfab.com; Infineon Customer Contact @infineon.com; joanne.ambat@nepeshayyim.com;  cammmh@towersemi.com; lisa.bjornson@sanmina.com; theodore.knudson@materion.com; yushin@harvatek.com, Validated by RMI until 03/07/2021</t>
  </si>
  <si>
    <t>0, Far East Mine, Far East Mine, Russia, No information, Not disclosed by supplier, Not disclosed by supplier | Not disclosure, Not disclosed by supplier | RCOI confirmed as per RMI, Not disclosed per TI-CMC, P.R. of China. | RUSSIAN FEDERATION | Not disclosed by supplier | RCOI confirmed as per RMI | RUSSIAN FEDERATION | RCOI confirmed as per CFSI | Not disclosed by supplier, RCOI confirmed as per RMI., RCOI confirmed per RMI, See aggregated data below for TI-CMC Sourcing</t>
  </si>
  <si>
    <t>Aland Islands, Argentina, Australia, Austria, Belgium, Bolivia, Brazil, Cambodia, Canada, Chile, China, Colombia, Djibouti, Ecuador, Egypt, Estonia, Ethiopia, France, Germany, Guyana, Hungary, India, Indonesia, Ireland, Israel, Italy, Ivory Coast, Japan, Kazakhstan, Laos, Luxembourg, Madagascar, Malaysia, Mexico, Mongolia, Myanmar, Namibia, Netherlands, Niger, Nigeria, Peru, Portugal, Republic of Korea, Russia, Sierra Leone, Singapore, Slovakia, Spain, Suriname, Switzerland, Taiwan, Thailand, USA, United Kingdom, Uzbekistan, Vietnam, Zimbabwe, Recycled/Scrap,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Slovakia, Spain, Suriname, Switzerland, Thailand, United Kingdom, USA, Vietnam, Zimbabwe, Argentina, Australia, Austria, Belgium, Brazil, Cambodia, Canada, Chile, China, Ecuador, Ethiopia, Germany, Guyana, Hungary, India, Ireland, Japan, Kazakhstan, Korea, Luxembourg, Malaysia, Mongolia, Myanmar, Namibia, Niger, Peru, Portugal, Russian Federation, Taiwan, United States, China, Canada, Austria, Brazil, Japan, Mongolia, Portugal, Kazakhstan, Korea, Malaysia, Argentina, Belgium, Cambodia, Chile, Ecuador, Guyana, Hungary, India, Luxembourg, Myanmar, Namibia, Ethiopia, Germany, Peru, United States, Australia, Ireland, Niger, Nigeria, Spain, United Kingdom, Djibouti, Egypt, Estonia, France, Indonesia, Israel, Madagascar, Netherlands, Sierra Leone, Slovakia, Suriname, Switzerland, Thailand, Zimbabwe, Colombia, Taiwan, Russian Federation, Viet Nam, Excludes Covered Countries, L1, L1 | Excludes Covered Countries | RUSSIAN FEDERATION | Myanmar, Cambodia, Malaysia, Kazakhstan, Portugal, Mongolia, Austria, Luxembourg, Guyana, Korea, Republic of, Brazil, Chile, Laos, Ecuador, Argentina, Hungary, Japan, India, Canada, Belgium, Namibia, Taiwan, Peru, Ethiopia, Germany, Russian Federation, Vi | RCOI confirmed as per RMI | Mineral sourcing L1, Not disclosed by supplier | L1 | Excludes Covered Countries | RUSSIAN FEDERATION | RCOI confirmed as per CFSI | Myanmar, Cambodia, Malaysia, Kazakhstan, Portugal, Mongolia, Austria, Luxembourg, Guyana, Korea, Republic of, Brazil, Chile, Laos, Ecuador, Argentina, Hungary, Japan, Indi | Myanmar, Cambodia, Malaysia, Kazakhstan, Portugal, Austria, Mongolia, Luxembourg, Brazil, Korea, Republic of, Guyana, Chile, Laos, Ecuador, Argentina, Hungary, Japan, India, Canada, Belgium, Namibia, Taiwan, Peru, Ethiopia, Germany, Russian Federation, Vi | WuDu Industrial Park,Xiushui County,Jiangxi Province | Mineral sourcing L1, not disclosed by RMI, L1 | RCOI confirmed as per RMI | Myanmar, Cambodia, Malaysia, Kazakhstan, Portugal, Austria, Mongolia, Luxembourg, Brazil, Korea, Republic of, Guyana, Chile, Laos, Ecuador, Argentina, Hungary, Japan, India, Canada, Belgium, Namibia, Taiwan, Peru, Germany, Ethiopia, Russian Federation, Vi | Excludes Covered Countries | WuDu Industrial Park,Xiushui County,Jiangxi Province, Mineral sourcing not disclosed, Mineral sourcing not disclosed by TI-CMC sourcing, Mineral sourcing not disclosed by TI-CMC sourcing | Not disclosure, Myanmar, Cambodia, Malaysia, Kazakhstan, Portugal, Austria, Mongolia, Luxembourg, Korea, Republic of, Brazil, Guyana, Chile, Laos, Ecuador, Argentina, Hungary, Japan, India, Canada, Belgium, Namibia, Taiwan, Peru, Ethiopia, Germany, Russian Federation, Viet Nam, United States, Egypt, Madagascar, Sierra Leone, Ivory Coast, Thailand, Bolivia, Netherlands, Ireland, China, Slovakia, Nigeria, France, United Kingdom, Switzerland, Spain, Djibouti, Czech Republic, Zimbabwe, Suriname, Israel, Australia, Estonia, Indonesia, Myanmar, Cambodia, Malaysia, Kazakhstan, Portugal, Austria, Mongolia, Luxembourg, Korea, Republic of, Brazil, Guyana, Chile, Laos, Ecuador, Argentina, Hungary, Japan, India, Canada, Belgium, Namibia, Taiwan, Peru, Germany, Ethiopia, Russian Federation, Viet Nam, United States, Egypt, Madagascar, Sierra Leone, Ivory Coast, Thailand, Bolivia, Netherlands, Ireland, China, Slovakia, France, Nigeria, United Kingdom, Switzerland, Spain, Djibouti, Czech Republic, Zimbabwe, Suriname, Israel, Australia, Estonia, Indonesia, Myanmar, Cambodia, Malaysia, Kazakhstan, Portugal, Mongolia, Austria, Luxembourg, Brazil, Korea, Republic of, Guyana, Chile, Laos, Ecuador, Argentina, Hungary, Japan, India, Canada, Belgium, Namibia, Taiwan, Peru, Ethiopia, Germany, Russian Federation, Viet Nam, United States, Egypt, Madagascar, Sierra Leone, Ivory Coast, Thailand, Bolivia, Netherlands, China, Ireland, Slovakia, Nigeria, France, United Kingdom, Switzerland, Spain, Djibouti, Czech Republic, Zimbabwe, Suriname, Israel, Australia, Estonia, Indonesia, Myanmar, Cambodia, Malaysia, Kazakhstan, Portugal, Mongolia, Austria, Luxembourg, Brazil, Korea, Republic of, Guyana, Chile, Laos, Ecuador, Argentina, Hungary, Japan, India, Canada, Belgium, Namibia, Taiwan, Peru, Germany, Ethiopia, Russian Federation, Viet Nam, United States, Egypt, Madagascar, Sierra Leone, Ivory Coast, Thailand, Bolivia, Netherlands, Ireland, China, Slovakia, France, Nigeria, United Kingdom, Switzerland, Spain, Djibouti, Czech Republic, Zimbabwe, Suriname, Israel, Australia, Estonia, Indonesia, 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 No information, Not disclosed per TI-CMC, RCOI confirmed as per RMI., RCOI confirmed per RMI, Unknown</t>
  </si>
  <si>
    <t>Compliant, Compliant Conformant, Conformant, Conformant Smelter, Conformant smelter according to RMI, audit valid until 2021, reassessment in progress, Conformant Smelter according to RMI, last cycle in 07.03.2018 with a cycle of 3 Years, Listed on CFSI Conflict Free Smelter List, RCOI confirmed per RMI, RCOI confirmed per RMI / approved by TI-CMC, RMAP Conformant</t>
  </si>
  <si>
    <t>CID003407</t>
  </si>
  <si>
    <t>Lianyou Metals Co., Ltd.</t>
  </si>
  <si>
    <t>No. 103, Section 3, Zhongshan Road, Fangliao Township, Pingtung County, Taiwan</t>
  </si>
  <si>
    <t>Fangliao</t>
  </si>
  <si>
    <t>Pingtung</t>
  </si>
  <si>
    <t>David Yen</t>
  </si>
  <si>
    <t>david@lianyoucorp.com</t>
  </si>
  <si>
    <t>Conformant-audited by RMI (members / partners)- valid until 06/09/2023, No Action Required as company is RMAP conformant, Supplier contacts: hyeju.lee@amkor.com; catherine.pelissonnier@st.com; Infineon Customer Contact @infineon.com;  lisa.bjornson@sanmina.com; yushin@harvatek.com, Validated by RMI until 06/09/2022</t>
  </si>
  <si>
    <t>0, No information, R/S, Recycled, Scrap, Recycled/scrap only, Recyled/Scrap, Unknown, but some recycled/scrap</t>
  </si>
  <si>
    <t>Australia, Brazil, Canada, China, Ethiopia, Germany, India, Japan, Liechtenstein, Mozambique, Namibia, Recycled/Scrap, Russian Federation, Rwanda, Sierra Leone, Taiwan, Zimbabwe, Due diligence results pending, Due diligence results pending;Recycled/Scrap, Taiwan, China, Australia, Brazil, Canada, Ethiopia, Germany, India, Japan, Mozambique, Namibia, Russian Federation, Rwanda, Sierra Leone, Zimbabwe, Liechtenstein, Mineral sourcing R/S, Mineral sourcing R/S based on RMAP-RMI's RCOI data, No information, No known country of origin, R/S, Recycled, Scrap, Recycled/Scrap, Recycled/Scrap Only, Recycled/Scrap Only | Mineral sourcing R/S, Recyled/Scrap, Rwanda, Australia, Brazil, Canada, China, Ethiopia, Germany, India, Japan, Liechtenstein, Mozambique, Namibia, Russia, Sierra Leone, Taiwan, Zimbabwe, Recycled/Scrap</t>
  </si>
  <si>
    <t>Compliant, Compliant Conformant, Conformant, Conformant smelter according to RMI, audit valid until 2023, Conformant Smelter according to RMI, last cycle in 09.06.2020 with a cycle of 1 Year, RMAP Conformant, RMAP Conformant Smelter</t>
  </si>
  <si>
    <t>CID003643</t>
  </si>
  <si>
    <t>LLC Vostok</t>
  </si>
  <si>
    <t>Malipo Haiyu Tungsten Co., Ltd.</t>
  </si>
  <si>
    <t>Nanfeng Xiaozhai</t>
  </si>
  <si>
    <t>Liu (Eric) Renfeng, Liu Eric Renfeng, Liu Renfeng, Yunnan</t>
  </si>
  <si>
    <t>liu.renfeng@cxtc.com</t>
  </si>
  <si>
    <t>Conformant-audited by RMI (members / partners)- valid until 05/08/2023, No Action Required as company is RMAP conformant, None, CFSP Certified, Supplier contacts: hyeju.lee@amkor.com; catherine.pelissonnier@st.com; Infineon Customer Contact @infineon.com;  lisa.bjornson@sanmina.com; yushin@harvatek.com, Validated by RMI until 05/08/2023</t>
  </si>
  <si>
    <t>0, No information, Not disclosed by supplier, Not disclosed by supplier | RCOI confirmed as per RMI, Not disclosed per TI-CMC, RCOI confirmed as per RMI., RCOI confirmed per RMI, RUSSIAN FEDERATION | Not disclosed per supplier | RCOI confirmed as per RMI | RUSSIAN FEDERATION | RCOI confirmed as per CFSI | Not disclosed per supplier | Not disclosed by supplier | Not disclosed by supplier, See aggregated data below for TI-CMC Sourcing, Unknown,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</si>
  <si>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Argentina, Australia, Austria, Belgium, Brazil, Cambodia, Canada, Chile, China, Colombia, Ecuador, Ethiopia, Germany, Guyana, Hungary, India, Japan, Kazakhstan, Korea, Luxembourg, Malaysia, Mongolia, Myanmar, Namibia, Peru, Portugal, Taiwan, United States, Burundi, Rwanda,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China, Brazil, Austria, Canada, Colombia, Japan, Mongolia, Portugal, Korea, Argentina, Belgium, Cambodia, Chile, Ecuador, Guyana, Hungary, India, Kazakhstan, Luxembourg, Malaysia, Myanmar, Ethiopia, Germany, Namibia, Peru, United States, Australia, Ireland, Niger, Nigeria, Spain, United Kingdom, Switzerland, Egypt, France, Indonesia, Israel, Madagascar, Netherlands, Sierra Leone, Singapore, Slovakia, Suriname, Thailand, Zimbabwe, Djibouti, Estonia, Taiwan, Russian Federation, Viet Nam, Excludes Covered Countries, Excludes Covered Countries | RUSSIAN FEDERATION | Myanmar, Cambodia, Malaysia, Kazakhstan, Portugal, Austria, Mongolia, Luxembourg, Guyana, Korea, Republic of, Brazil, Chile, Laos, Ecuador, Colombia, Argentina, Hungary, Japan, India, Canada, Belgium, Namibia, Taiwan, Peru, Ethiopia, Germany, Russian Fede | L1 | RCOI confirmed as per RMI | Mineral sourcing L1, Not disclosed by supplier | Excludes Covered Countries | RUSSIAN FEDERATION | RCOI confirmed as per CFSI | Myanmar, Cambodia, Malaysia, Kazakhstan, Portugal, Austria, Mongolia, Luxembourg, Guyana, Korea, Republic of, Brazil, Chile, Laos, Ecuador, Colombia, Argentina, Hungary, Japan, | Myanmar, Cambodia, Malaysia, Kazakhstan, Portugal, Mongolia, Austria, Luxembourg, Korea, Republic of, Guyana, Brazil, Chile, Laos, Ecuador, Colombia, Argentina, Hungary, Japan, India, Canada, Belgium, Namibia, Taiwan, Peru, Germany, Ethiopia, Russian Fede | Nanfeng Xiaozhai Malipo town, Malipo county, Yunnan, China | Mineral sourcing L1, not disclosed by RMI, L1, L1 | RCOI confirmed as per RMI | Myanmar, Cambodia, Malaysia, Kazakhstan, Portugal, Austria, Mongolia, Luxembourg, Korea, Republic of, Guyana, Brazil, Chile, Laos, Ecuador, Colombia, Argentina, Hungary, Japan, India, Canada, Belgium, Namibia, Taiwan, Peru, Ethiopia, Germany, Russian Fede | Nanfeng Xiaozhai Malipo town, Malipo county, Yunnan, China | Excludes Covered Countries, Mineral sourcing not disclosed, Mineral sourcing not disclosed by TI-CMC sourcing, 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Ireland, China, Slovakia, Nigeria, France, United Kingdom, Switzerland, Spain, Djibouti, Czech Republic, Zimbabwe, Suriname, Israel, Australia, Estonia, Indonesia, 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 Myanmar, Cambodia, Malaysia, Kazakhstan, Portugal, Austria, Mongolia, Luxembourg, Korea, Republic of, Brazil, Guyana, Chile, Laos, Ecuador, Colombia, Argentina, Hungary, Japan, India, Canada, Belgium, Namibia, Taiwan, Peru, Ethiopia, Germany, Russian Federation, Singapore, Viet Nam, United States, Egypt, Sierra Leone, Madagascar, Ivory Coast, Thailand, Bolivia, Netherlands, Ireland, China, Slovakia, France, Nigeria, United Kingdom, Switzerland, Spain, Djibouti, Czech Republic, Zimbabwe, Suriname, Israel, Australia, Estonia, Indonesia, Myanmar, Cambodia, Malaysia, Kazakhstan, Portugal, Austria, Mongolia, Luxembourg, Korea, Republic of, Guyana, Brazil, Chile, Laos, Ecuador, Colombia,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 Myanmar, Cambodia, Malaysia, Kazakhstan, Portugal, Mongolia, Austria, Luxembourg, Brazil, Guyana, Korea, Republic of,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Estonia, Indonesia, Myanmar, Cambodia, Malaysia, Kazakhstan, Portugal, Mongolia, Austria, Luxembourg, Guyana, Brazil, Korea, Republic of, Chile, Laos, Colombia, Ecuador, Argentina, Hungary, Japan, India, Canada, Belgium, Namibia, Taiwan, Peru, Germany, Ethiopia, Russian Federation, Viet Nam, Singapore, United States, Egypt, Sierra Leone, Madagascar, Ivory Coast, Thailand, Bolivia, Netherlands, China, Ireland, Slovakia, Nigeria, France, United Kingdom, Switzerland, Spain, Djibouti, Czech Republic, Zimbabwe, Suriname, Israel, Australia, Estonia, Indonesia, No information, Not disclosed per TI-CMC, RCOI confirmed as per RMI., RCOI confirmed per RMI, Unknown</t>
  </si>
  <si>
    <t>Compliant, Compliant Conformant, Conformant, Conformant Smelter, Conformant smelter according to RMI, audit valid until 2023, Conformant Smelter according to RMI, last cycle in 08.05.2020 with a cycle of 3 Years, RCOI confirmed per RMI, RMAP Conformant</t>
  </si>
  <si>
    <t>Masan High-Tech Materials</t>
  </si>
  <si>
    <t>CID003416</t>
  </si>
  <si>
    <t>NPP Tyazhmetprom LLC</t>
  </si>
  <si>
    <t>Kopeysk</t>
  </si>
  <si>
    <t>Chelyabinskaya Oblast'</t>
  </si>
  <si>
    <t>CID003614</t>
  </si>
  <si>
    <t>OOO “Technolom” 1</t>
  </si>
  <si>
    <t>Ramenskoe</t>
  </si>
  <si>
    <t>Moskovskaja oblast'</t>
  </si>
  <si>
    <t>Due diligence results pending, No known country of origin, Russia, Unknown</t>
  </si>
  <si>
    <t>CID003612</t>
  </si>
  <si>
    <t>OOO “Technolom” 2</t>
  </si>
  <si>
    <t>Ul. Myasyheva, d 1, BP “Chaika”, Office 622, 140180</t>
  </si>
  <si>
    <t>CID002843</t>
  </si>
  <si>
    <t>Woltech Korea Co., Ltd.</t>
  </si>
  <si>
    <t>0, Guangxi, Mr. An Sangho (CFO), Mr. SungWook Lee, SungWook Lee</t>
  </si>
  <si>
    <t>0, an@woltech.co.kr, lsw@woltech.co.kr</t>
  </si>
  <si>
    <t>Conformant, No Action Required as company is RMAP conformant, None; conformant to RMAP protocol, Validated by RMI until 04/26/2019</t>
  </si>
  <si>
    <t>0, Not disclosed by supplier, Not disclosed by supplier | RCOI confirmed as per RMI, RCOI confirmed as per RMI | not available | Not disclosed by supplier | Not disclosed by supplier, RCOI confirmed per RMI, See aggregated data below for TI-CMC Sourcing, Unknown</t>
  </si>
  <si>
    <t>Austria, Republic of Korea, Korea, Austria, KOREA, REPUBLIC OF, L1, L1 | RCOI confirmed as per RMI | No known country of origin | 116-24 Cheonbuksandan-ro 2-gil, Cheonbuk-myeon, Gyeongju-si, Gyeongsangbuk-do, Korea | Excludes Covered Countries, Mineral sourcing not disclosed, No known country of origin | RCOI confirmed as per RMI | Republic of Korea | No known country of origin | L1 | Does not source from DRC or covered countries | Republic of Korea | Mineral sourcing L1, not disclosed by supplier | 116-24 Cheonbuksandan-ro 2-gil, Cheonbuk-myeon, Gyeongju-si, Gyeongsangbuk-do, Korea | L1 | Mineral sourcing L1, not disclosed by RMI | Excludes Covered Countries, RCOI confirmed per RMI, Republic Of Korea, Austria, Republic Of Korea, Austria | RCOI confirmed per RMI | China, DRC or an adjoining country (Covered Countries), Recycled/Scrap, USA, Australia, Mozambique, Canada, Unknown</t>
  </si>
  <si>
    <t>Compliant Conformant, Conformant, Conformant Smelter, Conformant smelter according to RMI, audit valid until 2019, Conformant Smelter according to RMI, last cycle in 26.04.2016 with a cycle of 3 Years, RCOI confirmed per RMI, RMAP Conformant</t>
  </si>
  <si>
    <t>CID002827</t>
  </si>
  <si>
    <t>Philippine Chuangxin Industrial Co., Inc.</t>
  </si>
  <si>
    <t>Unit D 1&amp;2 Greenmiles Compound, Iglesia ni Cristo St., Sta. Rosa 1, Marilao, Bulacan, Philippines P.C. 3019</t>
  </si>
  <si>
    <t>Marilao</t>
  </si>
  <si>
    <t>Bulacan</t>
  </si>
  <si>
    <t>Kepulauan Bangka Belitung, Lily Zhang</t>
  </si>
  <si>
    <t>josephine08@163.com</t>
  </si>
  <si>
    <t>Conformant- Reaudit In Progress, Conformant-audited by RMI (members / partners)- valid until 06/08/2025, No Action Required as company is RMAP conformant, None; conformant to RMAP protocol, Supplier contacts: hyeju.lee@amkor.com; catherine.pelissonnier@st.com; Infineon Customer Contact @infineon.com; lisa.bjornson@sanmina.com; yushin@harvatek.com, Validated by RMI until 05/24/2022</t>
  </si>
  <si>
    <t>0, No information, R/S, Recycled, Scrap, Recycled, Scrap | Recycled/Scrap, Recycled/Scrap | not available | Recycled, Scrap | Recycled, Scrap, Recyled/Scrap, Unknown, but some recycled/scrap</t>
  </si>
  <si>
    <t>American Samoa, Brazil, China, Japan, Philippines, Recycled/Scrap, Samoa, Turkey, American Samoa, Brazil, China, Japan, Philippines, Samoa, Turkey, Recycled/Scrap, Mineral sourcing R/S, Mineral sourcing R/S based on RMAP-RMI's RCOI data, No information, No known country of origin, No known country of origin | Recycled/Scrap | R/S | Recycled/Scrap Only | No known country of origin | R/S | Recycled/Scrap Only | Does not source from DRC or covered countries | Mineral sourcing R/S | Unit D 1&amp;amp;2 Greenmiles Compound, Iglesia ni Cristo St., Sta. Rosa 1, Marilao, Bulacan, Philippines P.C. 3019 | Mineral sourcing R/S, Philippines, recycled/scrap, R/S, R/S | Recycled/Scrap | No known country of origin | Unit D 1&amp;amp;2 Greenmiles Compound, Iglesia ni Cristo St., Sta. Rosa 1, Marilao, Bulacan, Philippines P.C. 3019 | Recycled/Scrap Only, Recycled, Recycled, Scrap, Recycled/Scrap Only, Recycled/Scrap Only | Mineral sourcing R/S, Recycled/Scrap, Philippines, Recycled/Scrap, Philippines, Brazil, China, Japan, Turkey, American Samoa, Recyled/Scrap, Unknown</t>
  </si>
  <si>
    <t>Compliant, Compliant Conformant, Conformant, Conformant Smelter, Conformant smelter according to RMI, audit valid until 2022, reassessment in progress, Conformant Smelter according to RMI, last cycle in 24.05.2019 with a cycle of 3 Years, RMAP Conformant, RMAP Conformant Smelter</t>
  </si>
  <si>
    <t>CID002815</t>
  </si>
  <si>
    <t>South-East Nonferrous Metal Company Limited of Hengyang City</t>
  </si>
  <si>
    <t>CID002724</t>
  </si>
  <si>
    <t>Unecha Refractory metals plant</t>
  </si>
  <si>
    <t>Unecha town, Bryansk Region, Russia</t>
  </si>
  <si>
    <t>Unecha</t>
  </si>
  <si>
    <t>Bryanskaya oblast'</t>
  </si>
  <si>
    <t>Dmitry Sabitov, Gennadiy Yu, Kepulauan Bangka Belitung, Timur Iskhakov</t>
  </si>
  <si>
    <t>iskhakov@wolframcompany.ru, sabitov@wolframcompany.ru, yu@wmcy.ru</t>
  </si>
  <si>
    <t>Conformant- Reaudit In Progress, No Action Required as company is RMAP conformant, Reaudit In Progress</t>
  </si>
  <si>
    <t>0, L1 , R/S, Not disclosed by supplier, RCOI confirmed per RMI, Recycled, Scrap and mines, Recycled, Scrap and mines | Some are recycled or scrap sourced but not all, Recycled, Scrap and mines not disclosed by supplier, Some are recycled or scrap sourced but not all, Some are recycled or scrap sourced but not all | not available | Recycled, Scrap and mines | Recycled, Scrap and mines | Not disclosed by supplier, Some are recycled or scrap sourced but not all. , Some are recycled or scrap sourced but not all. | RCOI confirmed per RMI, Some are recycled/scrap sourced but not all., Unknown, but some recycled/scrap</t>
  </si>
  <si>
    <t>Argentina, Australia, Austria, Belgium, Benin, Bolivia, Brazil, Canada, Chile, China, Colombia, Ecuador, Eritrea, Ethiopia, France, Germany, Ghana, Guinea, Guyana, Hong Kong, India, Indonesia, Ireland, Italy, Japan, Madagascar, Malaysia, Mali, Mauritania, Mexico, Mongolia, Mozambique, Myanmar, Namibia, Nicaragua, Niger, Nigeria, Peru, Philippines, Portugal, Russia, Sierra Leone, Spain, Taiwan, Thailand, Togo, Turkey, USA, United Kingdom, Uzbekistan, Vietnam, Zimbabwe, Recycled/Scrap, Australia, Belgium, Brazil, Canada, China, Colombia, Ethiopia, Germany, Hong Kong, Indonesia, Ireland, Japan, Malaysia, Mongolia, Myanmar, Niger, Nigeria, Peru, Portugal, Recycled/Scrap, Russian Federation, Spain, United Kingdom, United States, Uzbekistan, Excludes Covered Countries, Excludes Covered Countries and CAHRA, L1 , R/S, Mineral sourcing L1, R/S based on RMAP-RMI's RCOI data, No known country of origin, No known country of origin | Some are recycled or scrap sourced but not all | No known country of origin | L1, R/S | Does not source from DRC or covered countries | Mineral sourcing L1, R/S, not disclosed by supplier | Unecha town, Bryansk Region, Russia | L1, R/S | Mineral sourcing L1, R/S, not disclosed by RMI | Excludes Covered Countries, RCOI confirmed per RMI, Recycled/Scrap, Russia, USA, Recycled/Scrap, United States, Russian Federation, Recycled/Scrap, United States, Russian Federation, China, Brazil, Canada, Australia, Indonesia, Ethiopia, Malaysia, Myanmar, Peru, Belgium, Germany, Hong Kong, Japan, Niger, Nigeria, Colombia, Ireland, Mongolia, Portugal, Spain, United Kingdom, Uzbekistan, Austria, Bolivia (Plurinational State of), Mexico, Viet Nam, Italy, Philippines, France, Ghana, Madagascar, Mali, Sierra Leone, Taiwan, Thailand, Guinea, India, Turkey, Argentina, Benin, Chile, Ecuador, Eritrea, Guyana, Mauritania, Mozambique, Namibia, Nicaragua, Togo, Zimbabwe, Russia, USA, recycled/scrap, Some are recycled or scrap sourced but not all, Some are recycled or scrap sourced but not all. , Some are recycled/scrap sourced but not all., Unecha town, Bryansk Region, Russia | L1, R/S | Some are recycled or scrap sourced but not all | No known country of origin | Excludes Covered Countries, Unknown</t>
  </si>
  <si>
    <t>0, Compliant Conformant, Conformant, Conformant Smelter, Conformant smelter according to RMI, audit valid until 2019, reassessment in progress, Conformant Smelter according to RMI, last cycle in 20.07.2016 with a cycle of 3 Years, Listed on CFSI Conflict Free Smelter List, RCOI confirmed per RMI, RMAP Conformant, RMAP Conformant Smelter/Refiner</t>
  </si>
  <si>
    <t>CID002011</t>
  </si>
  <si>
    <t>Vietnam Youngsun Tungsten Industry Co., Ltd.</t>
  </si>
  <si>
    <t>Quảng Ninh</t>
  </si>
  <si>
    <t xml:space="preserve"> info@wfyoungsun.com</t>
  </si>
  <si>
    <t>Xiamen Tungsten (H.C.) Co., Ltd.</t>
  </si>
  <si>
    <t>No.298 Haijing Road, Xiamen Export Processing Zone Xiamen, Fujian, China</t>
  </si>
  <si>
    <t>Xiamen</t>
  </si>
  <si>
    <t>Conflidential, Liu (Eric) Renfeng, Liu Eric Renfeng, Liu Ren Feng, Rondônia</t>
  </si>
  <si>
    <t>Confidential, Liu.renfeng@cxtc.com</t>
  </si>
  <si>
    <t>Conformant- Reaudit In Progress, Conformant-audited by RMI (members / partners)- valid until 05/31/2023, N/A, RMI certified smelter, NA, no action need, No Action Required as company is RMAP conformant, None required, None, CFS Certified, Reaudit In Progress, RMAP Compliant Smelter, Supplier contacts: hyeju.lee@amkor.com; siew.khim.og@ssmc.com; catherine.pelissonnier@st.com; ehs@xfab.com; Infineon Customer Contact @infineon.com; joanne.ambat@nepeshayyim.com;  julieli@chipbond.com.tw; cammmh@towersemi.com; eagle@solartech.com.tw; lisa.bjornson@sanmina.com; theodore.knudson@materion.com; yushin@harvatek.com; Vita_Liu@epistar.com; cindy.dodd@avx.com; kalentang@apt-hk.com; t.gruber@ats.net; shimizu.yasunori@tpsemico.com</t>
  </si>
  <si>
    <t>0, A&amp;amp;IR MINING NORTH AMERICAN TUNGSTEN CORP.LTD, A&amp;amp;IR Mining, North America Tungsten Corp. Ltd, NingHua XingLuoKeng Tungsten Mining Co., Ltd., Yulu, and recycled/scrap, From A&amp;amp;IR MINING JSC, NORTH AMERICAN TUNGSTEN CORP.LTD. | A&amp;amp;IR MINING | A&amp;amp;IR MINING JSC | Some are recycled, scrap, covered countries or DRC sourced but not all. | From A&amp;amp;IR MINING JSC, NORTH AMERICAN TUNGSTEN CORP.LTD. | Some are recycled, scrap or covered countries sourced but not all | Some are recycled, scrap or cover countries sourced but not all. | A&amp;amp;IR MINING | A&amp;amp;IR MINING JSC | From CIF, Kenticha, Nanping, Y | Recycled, Scrap and mines, from NORTH AMERICAN TUNGSTEN CORP.LTD,A&amp;amp;IR MINING | NORTH AMERICAN TUNGSTEN CORP.LTD. | Recycled, Scrap and mines, from NORTH AMERICAN TUNGSTEN CORP.LTD,A&amp;amp;IR MINING, NingHua XingLuoKeng Tungsten Mining Co., Ltd, No information, NORTH AMERICAN TUNGSTEN CORP.LTD, R/S, HR, DRC, CC, and Mined (See aggregated data below for TI-CMC Sourcing), RCOI confirmed per RMI, Recycled anf mines from NingHua XingLuoKeng Tungsten Mining Co., Ltd, A&amp;amp;IR MINING, NORTH AMERICAN TUNGSTEN CORP.LTD, Yulu, Recycled, Scrap and mines, from NORTH AMERICAN TUNGSTEN CORP.LTD,A&amp;amp;IR MINING, Recycled, Scrap and mines, from NORTH AMERICAN TUNGSTEN CORP.LTD,A&amp;amp;IR MINING | Some are recycled, scrap, covered countries or DRC sourced but not all., Recycled/Scrap, Yulu, North American Tungsten Corp. Ltd, A&amp;amp;LR Mining, Recycling and NORTH AMERICAN TUNGSTEN CORP.LTD, A&amp;amp;IR MINING, Recycling and NORTH AMERICAN TUNGSTEN CORP.LTD, A&amp;amp;IR MINING | (1) A&amp;amp;IR MINING
(2) NORTH AMERICAN TUNGSTEN CORP.LTD
(3) Yulu | Not disclosure | RCOI confirmed per RMI, Some are recycled, scrap, covered countries or DRC sourced but not all, Some are recycled, scrap, covered countries or DRC sourced but not all. | Some are recycled, scrap, cover countries or DRC sourced but not all. | RCOI confirmed per RMI | NingHua XingLuoKeng Tungsten Mining Co., Ltd, Some are recyled/scrap,covered countries, DRC sourced and TI-CMC sourced but not all.</t>
  </si>
  <si>
    <t>Australia, Bolivia (Plurinational State of), Brazil, Burundi, Canada, China, Ethiopia, Georgia, Indonesia, Italy, Malaysia, Mexico, Mongolia, Niger, Nigeria, Peru, Philippines, Recycled/Scrap, Russian Federation, Rwanda, Spain, Thailand, United States, Burundi, Russian Federation, Niger, Rwanda, Malaysia, Bolivia, Thailand, Spain, Canada, China, Brazil, Mexico, Nigeria, Australia, Burundi, Russian Federation, Niger, Rwanda, Malaysia, Thailand, Bolivia, Spain, Canada, China, Brazil, Mexico, Australia, Nigeria, Burundi, Russian Federation, Niger, Rwanda, Malaysia, Thailand, Bolivia, Spain, Canada, China, Brazil, Mexico, Nigeria, Australia, Burundi,Rwanda, Canada, Canada, China, Philippine, Burundi, Russia, Rwanda, Vietnam, China, China, Recycled/Scrap, Russia, Canada, Thailand, DRC or an adjoining country (Covered Countries), Burundi, Rwanda, Niger, Malaysia, Bolivia, Spain, Brazil, Mexico, Australia, Nigeria, USA, Vietnam,  Ethiopia, China, Recycled/Scrap, Russia, Canada, Thailand, DRC or an adjoining country (Covered Countries), Burundi, Rwanda, Niger, Malaysia, Bolivia, Spain, Brazil, Mexico, Australia, Nigeria, USA, Vietnam,  Ethiopia;Recycled/Scrap, China, Canada, Rwanda, Burundi, Brazil, Australia, Mexico, Niger, Nigeria, Spain, Thailand, Malaysia, United States, Ethiopia, Russian Federation, Mongolia, Indonesia, Italy, Philippines, Bolivia (Plurinational State of), Georgia, Peru, United Kingdom, Colombia, Viet Nam, Austria, Ireland, Japan, Portugal, Uzbekistan, Korea, Eritrea, Norway, Tunisia, Belgium, Hong Kong, Sweden, Switzerland, Tanzania, Uganda, Zambia, Democratic Republic of Congo, Åland Islands, Andorra, Congo, Namibia, Mali, DRC, Burundi, Rwanda, Australia, Bolivia, Brazil, Canada, China, Ethiopia, Georgia, Malaysia, Mexico, Niger, Nigeria, Russia, Spain, Thailand, USA, Vietnam, recycled/scrap, DRC, Burundi, Rwanda, Tanzania, Uganda, Zambia, Aland Islands, Andorra, Australia, Austria, Belgium, Bolivia, Brazil, Canada, China, Colombia, Eritrea, Ethiopia, Georgia, Hong Kong, Indonesia, Ireland, Italy, Japan, Malaysia, Mali, Mexico, Mongolia, Namibia, Niger, Nigeria, Norway, Peru, Philippines, Portugal, Republic of Korea, Russia, Spain, Sweden, Switzerland, Thailand, Tunisia, USA, United Kingdom, Uzbekistan, Vietnam, Recycled/Scrap, DRC, CC, HR, R/S, LR, DRC,Burundi,Rwanda, From China, Philippine,Spain, Rwanda, Vietnam, DRC, Bolivia, Canada, Includes Covered Countries, Includes Covered Countries and CAHRA, Includes Covered Countries and CAHRA | From China, Philippine,Spain, Rwanda, Vietnam, DRC, Bolivia, Canada | (1) Russia/DRC
(2) Canada
(3) China | Not disclosure | RCOI confirmed per RMI | Russian Federation, Burundi, Niger, Rwanda, Malaysia, Bolivia, Thailand, Spain, Canada, China, Brazil, Mexico, Australia, Nigeria | DRC,Burundi,Rwanda, L1, CC, DRC, R/S | HR, R/S, LR | Some are recycled, scrap, covered countries or DRC sourced but not all. | Russian Federation, Burundi, Niger, Rwanda, Malaysia, Bolivia, Thailand, Spain, Canada, China, Brazil, Mexico, Nigeria, Australia | the DRC or an adjoining country(covered countries) | Includes Covered Countries | No.298 Haijing Road, Xiamen Export Processing Zone, Xiamen, China., L1, L3, R/S | Includes Covered Countries | Russian Federation, Burundi, Niger, Rwanda, Malaysia, Bolivia, Thailand, Spain, Canada, China, Brazil, Mexico, Australia, Nigeria | RCOI confirmed as per CFSI | Russia | Some are recycled, scrap, covered countries or DRC sourced but not all. | Mineral sourcing L1, L3, R/S, Russia, Canada | L1, L3, R/S | Australia, Bolivia, Brazil, Canada, Columbia, USA, Mexico, Nigeria, Russia, Spain, Thailand, Vietnam | Includes Covered Countries | Some are recycled, scrap or covered countries sourced but not all | Russian Federation, Burundi, Niger, Rwand | the DRC or an adjoining country(covered countries) | Burundi, Russian Federation, Niger, Rwanda, Malaysia, Thailand, Bolivia, Spain, Canada, China, Brazil, Mexico, Nigeria, Australia | No.298 Haijing Road, Xiamen Export Processing Zone, Xiamen, China. | RCOI confirmed as per RMI | Burundi,Rwanda | HR, R/S, LR | Canada | Mineral sourcing L1, CC, DRC, R/S, Australia, Bolivia, Brazil, Burundi, Canada, Columbia, DLA, USA, Mexico, Nigeria, Russia, Rwanda, Spain, Thailand, Vietnam, Malaysia | L1, CC, DRC, R/S, Mineral sourcing R/S,DRC,CC and mined from China, Russia, Canada, No information, RCOI confirmed per RMI, Recycled/Scrap, China, Canada, Rwanda, Burundi, Brazil, Australia, Mexico, Niger, Nigeria, Spain, Thailand, Malaysia, United States, Ethiopia, Russian Federation, Russia, 
Canada, 
Rwanda, China, Philippine, Spain, Vietnam, Burundi, DRC
, Russian Federation, Burundi, Niger, Rwanda, Malaysia, Bolivia, Thailand, Spain, Canada, China, Brazil, Mexico, Australia, Nigeria, Some are recycled, scrap, covered countries or DRC sourced but not all, Some are recyled/scrap,covered countries, DRC sourced and TI-CMC sourced but not all., Unknown, US</t>
  </si>
  <si>
    <t>Compliant, COMPLIANT 09/22/2015, Compliant Conformant, Conformant, Conformant Smelter, Conformant smelter according to RMI, audit valid until 2022, Conformant Smelter according to RMI, last cycle in 16.04.2020 with a cycle of 1 Year, Listed on CFSI Conflict Free Smelter List, Part or all material comes from Covered Country, RCOI confirmed as per RMAP (Direct Sourcing, Indirect Supplying Smelter Sourcing, and/or Aggregated data per TI-CMC Smelters Source - Mined Material), RCOI confirmed as per RMAP and TI-CMC Sourcing, RCOI confirmed per RMI / approved by TI-CMC, RMAP certified Conflict Free. Some material sourced from the covered countries., RMAP Conformant, RMAP Conformant Smelter, RMAP Conformant Smelter / RCOI confirmed per RMI, This smelter is CFS. http://www.responsiblemineralsinitiative.org/tungsten-conformant-smelters/, This smelter is CFS.
http://www.conflictfreesourcing.org/tungsten-conflict-free-smelters/, This smelter is RMI Conformant.
http://www.responsiblemineralsinitiative.org/tungsten-smelters-list/</t>
  </si>
  <si>
    <t>CID000711</t>
  </si>
  <si>
    <t>CID002517</t>
  </si>
  <si>
    <t>O.M. Manufacturing Philippines, Inc.</t>
  </si>
  <si>
    <t>Phase 3 Block 15-A Lot 1, Cavite Economic Zone, 4106 Rosario Cavite, Philippines</t>
  </si>
  <si>
    <t>Rosario</t>
  </si>
  <si>
    <t>Cavite</t>
  </si>
  <si>
    <t>Evangeline Punongbayan, Kepulauan Bangka Belitung, Ms. Vangie Punongbayan, Ms. Vangie Punongbayan
Hiroto Matsumiya, NA, Tin, Vangie Punongbayan</t>
  </si>
  <si>
    <t>eb.punongbayan@omp.com.ph, eb.punongbayan@omp.com.ph
sales@omp.com.ph, NA, O.M. Manufacturing Philippines, Inc.</t>
  </si>
  <si>
    <t>CFS validated, Conformant-audited by RMI (members / partners)- valid until 03/18/2023, NA, no action need, No Action Required as company is RMAP conformant, None, CFS Certified, O.M. Manufacturing Philippines, Inc., Reaudit In Progress, RMAP Compliant Smelter, Supplier contacts: hyeju.lee@amkor.com; catherine.pelissonnier@st.com; Infineon Customer Contact @infineon.com;  lisa.bjornson@sanmina.com; yushin@harvatek.com; Emily_Hsieh@epistar.com; cindy.dodd@avx.com; t.gruber@ats.net</t>
  </si>
  <si>
    <t>0, NA, No information, O.M. Manufacturing Philippines, Inc. | TAIWAN, PROVINCE OF CHINA | Some are recycled or scrap sourced but not all. | Recycled, Scrap | Tin / Lead Alloy Ingot | Recycled/Scrap | Some are recycled or scrap sourced but not all | O.M. Manufacturing Philippines, Inc. | Recyled, Scrap | TAIWAN, PROVINCE OF CHINA | Some are recycled or scrap sourced but not all. | Recycled/Scrap | recycled | Recycled, Scrap | Tin / Lead Alloy Ingot | RCOI confirmed as per RMI | recycled, PHILIPPINES, RCOI confirmed as per RMI | Recycled, Scrap | Recycled, RCOI confirmed per RMI, Recycled, Recycled, Scrap, Recycled, Scrap | Recycled/Scrap, Recycled, Scrap | Sourced from Mines/Recyale/Scrap | RCOI confirmed per RMI | Recycled, Recyled/Scrap, Unknown, but some recycled/scrap</t>
  </si>
  <si>
    <t>Andorra,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Peru, Philippines, Portugal, Republic of Korea, Russia, Sierra Leone, Singapore, Slovakia, Spain, Suriname, Switzerland, Taiwan, Thailand, USA, United Kingdom, Vietnam, Zimbabwe, Recycled/Scrap, Argentina, Austria, Belgium, Brazil, Cambodia, Canada, Chile, China, Colombia, Ecuador, Ethiopia, Germany, Guyana, Hungary, India, Japan, Kazakhstan, Korea, Luxembourg, Malaysia, Mongolia, Myanmar, Namibia, Peru, Philippines, Recycled/Scrap, Thailand, Bolivia, Brazil, Canada, China, Japan, Malaysia, Peru, Philippines, Thailand, recycled/scrap, Canada, Japan, China, Philippines, Brazil, Malaysia, Bolivia, Peru, Canada, Philippines, China, Japan, Brazil, Malaysia, Bolivia, Peru, CID002517, Mineral sourcing R/S, Mineral sourcing R/S based on RMAP-RMI's RCOI data, NA, No information, Philippines | Recycled/Scrap Only | R/S | TAIWAN, PROVINCE OF CHINA | Canada, China, Japan, Philippines, Brazil, Malaysia, Bolivia, Peru | L1, R/S | same address | Some are recycled or scrap sourced but not all. | Recycled/Scrap | Mineral sourcing L1, R/S | Some are recycled or scrap sourced but not all | Philippines | R/S | Recycled/Scrap Only | TAIWAN, PROVINCE OF CHINA | Recycled/Scrap | Canada, China, Japan, Philippines, Brazil, Malaysia, Bolivia, Peru | Some are recycled or scrap sourced but not all. | recycled | Mineral sourcing L1, R/S | L1, R/S | s | RCOI confirmed as per RMI | Canada, Philippines, Japan, China, Brazil, Malaysia, Bolivia, Peru | recycled | Phase 3 Block 15-A Lot 1, Cavite Economic Zone, 4106 Rosario Cavite, Philippines | Mineral sourcing R/S | Not Available, Philippines, Recycled/Scrap, Canada, Japan, China, Brazil, Malaysia, Bolivia, Peru, Thailand, Philippines, Recycled/Scrap, Canada, Japan, China, Brazil, Malaysia, Bolivia, Peru, Thailand;Recycled/Scrap, Philippines, Brazil, Canada, Japan, Malaysia, Peru, China, Thailand, India, Argentina, Austria, Belgium, Cambodia, Chile, Colombia, Ecuador, Ethiopia, Germany, Guyana, Hungary, Kazakhstan, Korea, Luxembourg, Mongolia, Myanmar, Namibia, Portugal, Taiwan, Indonesia, United States, Australia, Djibouti, Egypt, Estonia, France, Ireland, Israel, Madagascar, Netherlands, Niger, Nigeria, Sierra Leone, Singapore, Slovakia, Spain, Suriname, Switzerland, United Kingdom, Zimbabwe, Bolivia (Plurinational State of), Mexico, Andorra, Russian Federation, Viet Nam, Eritrea, R/S, R/S | Recycled/Scrap | Canada, Philippines, Japan, China, Brazil, Malaysia, Bolivia, Peru | Not Available | Phase 3 Block 15-A Lot 1, Cavite Economic Zone, 4106 Rosario Cavite, Philippines | Recycled/Scrap Only, RCOI confirmed per RMI, Recycled, Recycled, Scrap, Recycled/Scrap Only, Recycled/Scrap Only | Mineral sourcing R/S | Philippines, Recycled/Scrap, Canada, Japan, China, Brazil, Malaysia, Bolivia, Peru, Thailand | Recycled or Scrap | RCOI confirmed per RMI | Recycled, Recycled/Scrap, Philippines, Brazil, Canada, Japan, Malaysia, Peru, China, Thailand, Recyled/Scrap</t>
  </si>
  <si>
    <t>Compliant, COMPLIANT 09/22/2015, Compliant Conformant, Conformant, Conformant Smelter, Conformant smelter according to RMI, audit valid until 2020, reassessment in progress, Conformant Smelter according to RMI, last cycle in 25.10.2019 with a cycle of 1 Year, RCOI confirmed as per RMAP, RMAP Conformant, RMAP Conformant Smelter, RMAP Conformant Smelter / RCOI confirmed per RMI</t>
  </si>
  <si>
    <t>OMSA</t>
  </si>
  <si>
    <t>Oruro</t>
  </si>
  <si>
    <t>Bolivia</t>
  </si>
  <si>
    <t>CID001337</t>
  </si>
  <si>
    <t>Operaciones Metalúrgicas S.A.</t>
  </si>
  <si>
    <t>Operaciones Metalurgicas S.A.</t>
  </si>
  <si>
    <t>CID002507</t>
  </si>
  <si>
    <t>Phoenix Metal Ltd.</t>
  </si>
  <si>
    <t>Rwanda</t>
  </si>
  <si>
    <t>Jabana</t>
  </si>
  <si>
    <t>Kigali</t>
  </si>
  <si>
    <t>CID001421</t>
  </si>
  <si>
    <t>CID002696</t>
  </si>
  <si>
    <t>PT Cipta Persada Mulia</t>
  </si>
  <si>
    <t>PT Fang Di MulTindo</t>
  </si>
  <si>
    <t>CID001442</t>
  </si>
  <si>
    <t>PT HP Metals Indonesia</t>
  </si>
  <si>
    <t>CID001445</t>
  </si>
  <si>
    <t>CID001457</t>
  </si>
  <si>
    <t>PT Panca Mega Persada</t>
  </si>
  <si>
    <t>CID001458</t>
  </si>
  <si>
    <t>PT Prima Timah Utama</t>
  </si>
  <si>
    <t>CID003868</t>
  </si>
  <si>
    <t>PT Putera Sarana Shakti (PT PSS)</t>
  </si>
  <si>
    <t>PT Refined Bangka Tin</t>
  </si>
  <si>
    <t>CID001466</t>
  </si>
  <si>
    <t>PT Seirama Tin Investment</t>
  </si>
  <si>
    <t>PT Sariwiguna Binasentosa</t>
  </si>
  <si>
    <t>CID001486</t>
  </si>
  <si>
    <t>Tempilang</t>
  </si>
  <si>
    <t>CID001477</t>
  </si>
  <si>
    <t>Unit Timah Kundur PT Tambang</t>
  </si>
  <si>
    <t>PT Timah Tbk Kundur</t>
  </si>
  <si>
    <t>Kundur</t>
  </si>
  <si>
    <t>Riau</t>
  </si>
  <si>
    <t>Abrun Abubakar, Ahmad Fajri Akhinov, corsec, Mr. Mike Eggert, Ms. Diana Budiani Rahmawati, Nono Budi Priyono, Sales - Operations, Tin, ytczp@126.com</t>
  </si>
  <si>
    <t>Abrun &amp;lt;ABRUN@pttimah.co.id&amp;gt;, ahmad.fajri@pttimah.co.id, corsec@pttimah.co.id, corsec@pttimah.co.id; timah@pt.timah.co.id, diana@pttimah.co.id, m.eggert@grillohandel.de, nono@pttimah.co.id, PT Tambang Timah</t>
  </si>
  <si>
    <t>Conformant- Reaudit In Progress, Conformant-Reaudit In Progress, Monitoring CFSI certifications., N.A. (CFS apporved Smelter), no action need, No Action Required as company is RMAP conformant, none, None required, None Required - RMI  certified conflict free, None, CFS Certified, PT Timah Tbk Kundur, RMAP Compliant Smelter, RMAP Conformant, Supplier contacts: hyeju.lee@amkor.com; catherine.pelissonnier@st.com; oh-dongho@auk.co.kr; hikhor@carsem.com; Infineon Customer Contact @infineon.com; joanne.ambat@nepeshayyim.com;  nutthaphon@focuz-mfg.com; eagle@solartech.com.tw; hwwang@viseratech.com; lisa.bjornson@sanmina.com; theodore.knudson@materion.com; yushin@harvatek.com; kevinlin@jentech.com.tw; andreas.schwender@saxonia-tm.de; shelly.ding@inari-amertron.com.cn; Demi_Lo@arimalasers.com; Emily_Hsieh@epistar.com; andre.dinther@possehlelectronics.nl; waikhee.seetho@heraeus.com; cindy.dodd@avx.com; t.gruber@ats.net; beate.ostermeier@deutsche-technoplast.com; Chih-Hung.Chen@opto.com.tw; zenglan.fei@wlcsp.com; Ajeannin@dymax.com; s.rossi@varioprint.ch; Ravikumar.Ramachandran@fci.com; Mia_Moh@aseglobal.com; oh-dongho@auk.co.kr, Validated by RMI until 09/05/2021</t>
  </si>
  <si>
    <t>0, BANGKA - BELITUNG ISLAND MINING AREA, Belitung, Pt Tambang Timah, Singkep, Persero, Inland Mining, Mining Concession, Riau Islands, Karimun, Kep. Riau &amp;amp; Singkep Mines, Tbk Kundur, Off Shore Mining, From Karimun,Kundur,Singka,Bangka,Belitung, From Karimun,Kundur,Singka,Bangka,Belitung | RCOI confirmed as per RMI | Nondisclosure, INDONESIA, Kep. Riau &amp;amp; Singkep Mines, Kep. Riau, Kundur and Singkep Mines, Kep. Riau, Kundur and Singkep Mines | (1) From the Island of BANGKA(inland mining) with its surround sea(off shore mining).
(2) Kundur, Riau Islands, Indonesia | RCOI confirmed per RMI | Kep. Riau &amp;amp; Singkep Mines | Kep. Riau &amp;amp; Singkep Island, KUNDUR ISLAND MINING AREA, Kundur, Riau Islands, Indonesia , LR, No information, Persero, Kundur, Riau Islands, Singkep, PT Pimah, Bangka - Belitung Island Mining Area, PT Tambang Timah, Kundur Island Mining Area, and recycled/scrap, PT Tambang Timah | This column would be traced/certified by CFS program. | N.A | CHINA | From Karimun,Kundur,Singka,Bangka,Belitung | 自社鉱区であり鉱山名無し | RCOI confirmed as per CFSI | RCOI confirmed per CFSI. | From Kundur, Riau Islands, Indonesia | PT TIMAH (Persero) Tbk | Kundur, Riau Islands, Indonesia | Nondisclosure | RCOI confirmed as per RMI | Kundur &amp;amp; Singkep Mines | PT Tambang Timah | This column would be traced/certified by CFS program. | N.A | From Pangkal Pinang, Bangka Island Indonesia,Kundur, Riau Islands,Timah | Not disclosed | CHINA | From Karimun,Kundur,Singka,Bangka,Belitung | 自社鉱区であり鉱山名無し | RCOI confirmed a | NA | Indonesia | Bangka, Indonesia | Indonesia ore (No mine name) | RCOI confirmed per RMI., PT Timah (Persero) Tbk Kundur, PT Timah (Persero) Tbk Kundur,Singkep,Riau Islands, RCOI confirmed as per CFSI, RCOI confirmed as per RMI, RCOI confirmed as per RMI., RCOI confirmed per RMI</t>
  </si>
  <si>
    <t>0, Argentina, Austria, Belgium, Brazil, Cambodia, Canada, Chile, Colombia, Ecuador, Ethiopia, Germany, Guyana, Hungary, India, Indonesia, Japan, Kazakhstan, Korea, Luxembourg, Malaysia, Mongolia, Myanmar, Namibia, Peru, Portugal, Recycled/Scrap, Taiwan, Brazil, Indonesia, Peru, recycled/scrap, CID001477, DRC, Rwanda, Argentina, Australia, Austria, Belgium, Bolivia, Brazil, Cambodia, Canada, Chile, China, Colombia, Djibouti, Ecuador, Egypt, Estonia, Ethiopia, France, Germany, Ghana, Guinea, Guyana, Hungary, India, Indonesia, Ireland, Israel, Italy, Japan, Kazakhstan, Laos, Luxembourg, Madagascar, Malaysia, Mexico, Mongolia, Mozambique, Myanmar, Namibia, Netherlands, Niger, Nigeria, Peru, Philippines, Portugal, Republic of Korea, Russia, Sierra Leone, Singapore, Slovakia, Spain, Suriname, Switzerland, Taiwan, Thailand, USA, United Kingdom, Vietnam, Zimbabwe, Recycled/Scrap, Excludes Covered Countries, Excludes Covered Countries and CAHRA, Excludes Covered Countries and CAHRA | the DRC or an adjoining country(covered countries) | From Indonesia | Argentina, Austria, Belgium, Brazil, Cambodia, Canada, Chile, Colombia, Ecuador, Ethiopia, Germany, Guyana, Hungary, India, Indonesia, Japan, Kazakhstan, Korea, Luxembourg, Malaysia, Mongolia, Myanmar, Namibia, Peru, Portugal, Recycled/Scrap, Taiwan | Indonesia | RCOI confirmed per RMI | Recycled/Scrap, Indonesia, Brazil, Peru, India, Malaysia, Mongolia, Portugal, Myanmar, Argentina, Colombia, Germany, Austria, Cambodia, Kazakhstan, Guyana, Japan, Canada, Chile, Ecuador, Hungary, Korea, Luxembourg, Namibia, Ethiopia, Belgium, Taiwan, Chin, From Indonesia, INDONESIA, Indonesia | INDONESIA | This column would be traced/certified by CFS program. | Bangka Island / Indonesia | Excludes Covered Countries | L1 | CHINA | インドネシア | DRC- Congo (Kinshasa), Myanmar, Cambodia, Malaysia, Kazakhstan, Portugal, Austria, Mongolia, Luxembourg, Korea, Republic of, Guyana, Brazil, Chile, Laos, Colombia, Ecuador, Argentina, Hungary, Japan, India, Canada, Belgium, Namibia, Taiwan, Peru, Ethiopia | RCOI confirmed as per CFSI | Nondisclosure | RCOI confirmed as per RMI | Mineral sourcing L1, Indonesia | INDONESIA | This column would be traced/certified by CFS program. | Bangka Island / Indonesia | L1 | Not disclosed | Excludes Covered Countries | CHINA | インドネシア | RCOI confirmed as per CFSI | DRC- Congo (Kinshasa), Myanmar, Cambodia, Malaysia, Kazakhstan, | Bangka (Indonesia) | Myanmar, Cambodia, Malaysia, Kazakhstan, Portugal, Austria, Mongolia, Luxembourg, Brazil, Guyana, Korea, Republic of, Chile, Laos, Colombia, Ecuador, Argentina, Hungary, Japan, India, Canada, Belgium, Namibia, Taiwan, Peru, Ethiopia, Germany, Russian Fede | Hang Tuah Road No. 4 Prayun, Tanjung Balai Karimun regional,Kepulauan Riau Province | Bangka, Indonesia | No | Not Available, Indonesia, Brazil, Peru, Recycled/Scrap, Indonesia, Brazil, Peru, Recycled/Scrap;Recycled/Scrap,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 Bolivia (Plurinational State of), Democratic Republic of Congo, Ghana, Guinea, Mexico, Mozambique, Italy, Philippines, Congo, Rwanda, L1, L1 | RCOI confirmed as per RMI | Myanmar, Cambodia, Malaysia, Kazakhstan, Portugal, Mongolia, Austria, Luxembourg, Guyana, Brazil, Korea, Republic of, Chile, Laos, Ecuador, Colombia, Argentina, Hungary, Japan, India, Canada, Belgium, Namibia, Taiwan, Peru, Ethiopia, Germany, Russian Fede | Not Available | Excludes Covered Countries | Nondisclosure | Hang Tuah Road No. 4 Prayun, Tanjung Balai Karimun regional,Kepulauan Riau Province, Mineral sourcing LR, from Indonesia, Myanmar, Cambodia, Malaysia, Kazakhstan, Portugal, Austria, Mongolia, Luxembourg, Brazil, Guyana, Korea, Republic of, Chile, Laos, Ecuador, Colombia, Argentina, Hungary, Japan, India, Canada, Belgium, Namibia, Taiwan, Peru, Germany, Ethiopia, Russian Federation, Singapore, Viet Nam, United States, Egypt, Madagascar, Sierra Leone, Ivory Coast, Thailand, Bolivia, Netherlands, China, Ireland, Slovakia, France, Nigeria, United Kingdom, Switzerland, Spain, Djibouti, Czech Republic, Zimbabwe, Suriname, Israel, Australia, Indonesia, Estonia, Myanmar, Cambodia, Malaysia, Kazakhstan, Portugal, Austria, Mongolia, Luxembourg, Brazil, Guyana, Korea, Republic of, Chile, Laos, Ecuador, Colombia, Argentina, Hungary, Japan, India, Canada, Belgium, Namibia, Taiwan, Peru, Germany, Ethiopia, Russian Federation, Viet Nam, Singapore, United States, Egypt, Sierra Leone, Madagascar, Ivory Coast, Thailand, Bolivia, Netherlands, China, Ireland, Slovakia, France, Nigeria, United Kingdom, Switzerland, Spain, Djibouti, Czech Republic, Zimbabwe, Suriname, Israel, Australia, Indonesia, Estonia, Myanmar, Cambodia, Malaysia, Kazakhstan, Portugal, Austria, Mongolia, Luxembourg, Brazil, Korea, Republic of, Guyana,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Estonia, Indonesia, Myanmar, Cambodia, Malaysia, Kazakhstan, Portugal, Austria, Mongolia, Luxembourg, Korea, Republic of, Brazil, Guyana, Chile, Laos, Colombia, Ecuador, Argentina, Hungary, Japan, India, Canada, Belgium, Namibia, Taiwan, Peru, Germany, Ethiopia, Russian Federation, Singapore, Viet Nam, United States, Egypt, Madagascar, Sierra Leone, Ivory Coast, Bolivia, Thailand, Netherlands, Ireland, China, Slovakia, France, Nigeria, United Kingdom, Switzerland, Spain, Djibouti, Czech Republic, Zimbabwe, Suriname, Israel, Australia, Indonesia, Estonia, Myanmar, Cambodia, Malaysia, Kazakhstan, Portugal, Mongolia, Austria, Luxembourg, Guyana, Brazil, Korea, Republic of, Chile, Laos, Colombia, Ecuador, Argentina, Hungary, Japan, India, Canada, Belgium, Namibia, Taiwan, Peru, Ethiopia, Germany, Russian Federation, Viet Nam, Singapore, United States, Egypt, Sierra Leone, Madagascar, Ivory Coast, Thailand, Bolivia, Netherlands, China, Ireland, Slovakia, France, Nigeria, United Kingdom, Switzerland, Spain, Djibouti, Czech Republic, Zimbabwe, Suriname, Israel, Australia, Indonesia, Estonia, No information, RCOI confirmed as per CFSI, RCOI confirmed as per RMI, RCOI confirmed as per RMI., RCOI confirmed per RMI, Recycled/Scrap, Indonesia, Brazil, Peru, India, Malaysia, Mongolia, Portugal, Myanmar, Argentina, Colombia, Germany, Austria, Cambodia, Kazakhstan, Guyana, Japan, Canada, Chile, Ecuador, Hungary, Korea, Luxembourg, Namibia, Ethiopia, Belgium, Taiwan, China, Russian Federation, Australia, Niger, Nigeria, Thailand, Zimbabwe, Ireland, United Kingdom, Viet Nam, Sierra Leone, Spain, United States, Switzerland, Djibouti, Egypt, Estonia, France, Israel, Madagascar, Netherlands, Singapore, Slovakia, Suriname, the DRC or an adjoining country(covered countries), インドネシア</t>
  </si>
  <si>
    <t xml:space="preserve">Compliant, COMPLIANT 09/22/2015, Compliant Conformant, Conformant, Conformant Smelter, Conformant smelter according to RMI, audit valid until 2021, reassessment in progress, Conformant Smelter according to RMI, last cycle in 05.09.2018 with a cycle of 3 Years, http://www.timah.com/v2/css/img/uploaded/Letter%20of%20statement_24%20maret%202014_2.pdf, http://www.timah.com/v3/css/img/uploaded/img-218141520-2_1.pdf, RCOI confirmed per RMI / RCOI confirmed per CFSI, RMAP Conformant, RMAP Conformant Smelter, RMAP Conformant Smelter / RCOI confirmed per RMI, This smelter is RMI Conformant.
http://www.responsiblemineralsinitiative.org/tin-smelters-list/, under investigation / recertification </t>
  </si>
  <si>
    <t>CID001490</t>
  </si>
  <si>
    <t>CID002082</t>
  </si>
  <si>
    <t>Xiamen Tungsten Co., Ltd.</t>
  </si>
  <si>
    <t>No.300-1, Kejing Community, Haicang Subdistrict, Xiamen Area of China (Fujian) Pilot Free Trade Zone, P.C: 361026</t>
  </si>
  <si>
    <t>CHEN JINSUI, chen.jinsui@cxtc.com, Conflidential, Jinsui Chen, Kepulauan Bangka Belitung, Liu (Eric) Renfeng, Liu Eric Renfeng, Liu Ren Feng, LIU RENFENG, Yang Jinhong / Chen Jinsui</t>
  </si>
  <si>
    <t>chen.jinsui@cxtc.com, Confidential, info@cxtc.com/+86-592-3357714, liu.renfeng@cxtc.com, liu.renfneg@cxtc.com, RMI validated</t>
  </si>
  <si>
    <t>Conformant-audited by RMI (members / partners)- valid until 05/25/2023, Monitoring CFSI certifications., N/A, no action need, No Action Required as company is RMAP conformant, None required, None, CFS Certified, RMI validated, Supplier contacts: hyeju.lee@amkor.com; siew.khim.og@ssmc.com; catherine.pelissonnier@st.com; ehs@xfab.com; Infineon Customer Contact @infineon.com; julieli@chipbond.com.tw; cammmh@towersemi.com; eagle@solartech.com.tw; lisa.bjornson@sanmina.com; yushin@harvatek.com; Vita_Liu@epistar.com; kalentang@apt-hk.com; t.gruber@ats.net; antony@elaser.com.tw; Amber_cy_chang@umc.com; shimizu.yasunori@tpsemico.com, Validated by RMI until 05/25/2023</t>
  </si>
  <si>
    <t>0, From Ning Hua Xingluokeng Tungsten Mining Co.,Ltd Luoy,Luoyang Yulu Mining Co.,Ltd,Zijin Mining Co.,Ltd,Xinxhou Mining Co.,Ltd,, From NinHua Xingluokeng Tungsten Mining Co.,Ltd; Luoyang Yulu Mining Co.,Ltd;Zijin Mining Co.,Ltd;Xianglushan Mine;Xinxhou Mining Co.,Ltd, From NinHua Xingluokeng Tungsten Mining Co.,Ltd; Luoyang Yulu Mining Co.,Ltd;Zijin Mining Co.,Ltd;Xianglushan Mine;Xinxhou Mining Co.,Ltd | Some are recycled or scrap sourced but not all, Luoyang Yulu Mining Co. Ltd, Ninhua Xingluokeng Tungsten Mining Co Ltd, Recycled/Scrap, Xianglushan Mine, Ning Hua Xingluokeng Tungsten Mining Co.,Ltd Luoy, Ning Hua Xingluokeng Tungsten Mining Co.,Ltd, Luoyang Yulu Mining Co.,Ltd, Zijin Mining Co.,Ltd, Xinxhou Mining Co.,Ltd, Xianglushan Mine, Ning Hua Xingluokeng Tungsten Mining Co.,Ltd, Luoyang Yulu Mining Co.,Ltd, Zijin Mining Co.,Ltd, Xinxhou Mining Co.,Ltd, Xianglushan Mine | (1) NingHua Xingluokeng Tungsten Mining Co.,Ltd
(2) Luoyang Yulu Mining Co.,Ltd
(3) Zijin Mining Co.,Ltd
(4) Xinxhou Mining Co.,Ltd
(5) Xianglushan Mine | NinHua Xingluokeng Tungsten Mining Co.,Ltd; Luoyang Yulu Mining Co.,Ltd | RCOI confirmed per RMI | Ninghua Hangluoken Co., Ltd., Ning Hua Xingluokeng Tungsten Mining Co.,Ltd, Luoyang Yulu Mining Co.,Ltd, Zijin Mining Co.,Ltd, Xinxhou Mining Co.,Ltd, Xianglushan Mine, and recycled/scrap, Ninghua Hangluoken Co., Ltd., NINGHUA XINGLUOKENG TUNGSTEN MINING CO., LTD, Ninghua Xingluokeng Tungsten Mining Co., Ltd.;  Jinding Tungsten, Luoyang Yulu Mining Co. Ltd., No information, Not disclosed, P.R. of China, Canada for mine. P.R. of China for scrap. | NingHua Xingluokeng Tungsten Mining Co. Ltd. | Luoyang Yulu Mining Co., Ltd. | Zijin Mining Group Co., Ltd. | Xinzhou Mining Co., Ltd. | Xianglushan Mine | A&amp;amp;IR MINING JSC | NORTH AMERICAN TUNSTEN COPR.LTD. | NingHua Xingluokeng Tungsten Mining Co. Ltd.
Luoyang Yulu Mining Co., Ltd.
Zijin Mining Group Co., Ltd.
Xinzhou Mining Co., Ltd.
Xianglushan Mine 
A&amp;amp;IR MINING JSC
NORTH AMERICAN TUNSTEN COPR.LTD. | From 1. Luokeng Mine 2. Luoyang Yulu Mining Co.,Ltd 3. Ninghua Hangluoken Co., Ltd. 4. Ninghua Xing, Luo Keng  Tungsten Mining Co. Ltd. 5. Xianglushan Mine 6. Xinxhou Mining Co.,Ltd 7. Zijin Mining Co.,Ltd | North American Tungsten Corporation Ltd. | RCOI Confirmed as per CSFI | NINGHUA XINGLUOKENG TUNGSTEN MINING CO., LTD | Some are recycled or scrap sourced but not all | NingHua Xingluokeng Tungsten Mining Co.,Ltd. , North American Tungsten Corporation Ltd. | Ninghua Xing, Luo Keng  Tungsten Mining Co. Ltd.
Ninghua Hangluoken Co., Ltd.
Xiamen Tungsten | P.R. of China, Canada for mine. P.R. of China for scrap. | From Ninghua Xingluokeng Tungsten Mining Co., Ltd, Luoyang Yulu Mining Co.,Ltd,  Zijin Mining Co.,Ltd, Mina Brejui-Currais Novos, RN BRAZIL; Benito Juarez, s/n Baviácora, Sonora MEXICO; Xianglusha | NinHua Xingluokeng Tungsten Mining Co.,Ltd; Luoyang Yulu Mining Co.,Ltd | From NinHua Xingluokeng Tungsten Mining Co.,Ltd; Luoyang Yulu Mining Co.,Ltd;Zijin Mining Co.,Ltd;Xianglushan Mine;Xinxhou Mining Co.,Ltd | Ninghua Xingluokeng Tungsten Mining Co., Ltd. | Recycled, Scrap and mines from NinHua Xingluokeng Tungsten Mining Co.,Ltd; Luoyang Yulu Mining Co.,Ltd;Zijin Mining Co.,Ltd;Xianglushan Mine;Xinxhou Mining Co.,Ltd | HingHua Xingluokeng Tungsten Mining Co., Ltd, R/S and Mined (See aggregated data below for TI-CMC Sourcing), RCOI Confirmed as per CSFI | Some are recycled, scrap, covered countries or DRC sourced but not all. | Some are recycled or scrap sourced but not all. | RCOI confirmed per RMI, RCOI confirmed per RMI, Some are recycled, scrap, covered countries or DRC sourced but not all, Some are recyled/scrap, TI-CMC sourced but not all.</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</si>
  <si>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 China, China | Russia | Canada | Excludes Covered Countries | China
China
China
China
China
Russia
Canada | L1, R/S | DRC- Congo (Kinshasa), Myanmar, Cambodia, Malaysia, Kazakhstan, Portugal, Austria, Mongolia, Luxembourg, Korea, Republic of, Brazil, Guyana, Chile, Laos, Colombia, Ecuador, Argentina, Hungary, Japan, India, Canada, Belgium, Namibia, Taiwan, Peru, Ethiopia | RCOI Confirmed as per CSFI | CHINA | Some are recycled or scrap sourced but not all | Australia, Bolivia, Brazil, Canada,  Columbia, USA, Mexico, Nigeria, Russia, Rwanda, Spain, Thailand, Vietnam, China | Mineral sourcing L1, R/S from China | L1, R/S | China | Excludes Covered Countries | China
China
China
China
China
Russia
Canada | Some are recycled or scrap sourced but not all | DRC- Congo (Kinshasa), Myanmar, Cambodia, Malaysia, Kazakhstan, Portugal, Austria, Mongolia, Luxembourg, Korea, R | the DRC or an adjoining country(covered countries) | DRC- Congo (Kinshasa), Myanmar, Cambodia, Malaysia, Kazakhstan, Portugal, Mongolia, Austria, Luxembourg, Guyana, Korea, Republic of, Brazil, Chile, Laos, Ecuador, Colombia, Argentina, Hungary, Japan, India, Canada, Belgium, Namibia, Taiwan, Peru, Germany, | No.300, Ke Jingshe, Haicang District, Xiamen, China | RCOI confirmed as per RMI | China,Russia,Canada | Mineral sourcing L1,R/S, China | China
Russia
Canada, China, Canada, Australia, Bolivia, Brazil, Russia, Portugal, USA, Nigeria, Thailand, Spain, Vietnam,  Rwanda, Niger, Mexico, Peru, Germany, Japan, Recycled/Scrap, CHINA, CANADA, RUSSIA, China, Philippine, Burundi, Russia, Rwanda, Vietnam, China,Russia,Canada, DRC- Congo (Kinshasa), Myanmar, Cambodia, Malaysia, Kazakhstan, Portugal, Austria, Mongolia, Luxembourg, Brazil, Korea, Republic of, Guyana, Chile, Laos, Colombia, Ecuador, Argentina, Hungary, Japan, India, Canada, Belgium, Namibia, Taiwan, Peru, Ethiopia, Germany, Russian Federation, Viet Nam, Singapore, United States, Egypt, Sierra Leone, Madagascar, Ivory Coast, Bolivia, Thailand, Netherlands, China, Ireland, Slovakia, Nigeria, France, Niger, Rwanda, United Kingdom, Switzerland, Spain, Djibouti, Czech Republic, Mexico, Zimbabwe, Suriname, Israel, Australia, Estonia, Indonesia, DRC- Congo (Kinshasa), Myanmar, Cambodia, Malaysia, Kazakhstan, Portugal, Austria, Mongolia, Luxembourg, Brazil, Korea, Republic of, Guyana, Chile, Laos, Colombia, Ecuador, Argentina, Hungary, Japan, India, Canada, Belgium, Namibia, Taiwan, Peru, Germany, Ethiopia, Russian Federation, Singapore, Viet Nam, United States, Egypt, Madagascar, Sierra Leone, Ivory Coast, Thailand, Bolivia, Netherlands, Ireland, China, Slovakia, Nigeria, France, Niger, Rwanda, United Kingdom, Switzerland, Spain, Djibouti, Czech Republic, Mexico, Zimbabwe, Suriname, Israel, Australia, Indonesia, Estonia, DRC- Congo (Kinshasa), Myanmar, Cambodia, Malaysia, Kazakhstan, Portugal, Mongolia, Austria, Luxembourg, Guyana, Korea, Republic of, Brazil, Chile, Laos, Ecuador, Colombia, Argentina, Hungary, Japan, India, Canada, Belgium, Namibia, Taiwan, Peru, Germany, Ethiopia, Russian Federation, Singapore, Viet Nam, United States, Egypt, Sierra Leone, Madagascar, Ivory Coast, Thailand, Bolivia, Netherlands, China, Ireland, Slovakia, Nigeria, France, Niger, Rwanda, United Kingdom, Switzerland, Spain, Djibouti, Czech Republic, Zimbabwe, Mexico, Suriname, Israel, Australia, Estonia, Indonesia, DRC- Congo (Kinshasa), Myanmar, Cambodia, Malaysia, Kazakhstan, Portugal, Mongolia, Austria, Luxembourg, Korea, Republic of, Brazil, Guyana, Chile, Laos, Colombia, Ecuador, Argentina, Hungary, Japan, India, Canada, Belgium, Namibia, Taiwan, Peru, Ethiopia, Germany, Russian Federation, Singapore, Viet Nam, United States, Egypt, Madagascar, Sierra Leone, Ivory Coast, Thailand, Bolivia, Netherlands, China, Ireland, Slovakia, Nigeria, France, Niger, Rwanda, United Kingdom, Switzerland, Spain, Djibouti, Czech Republic, Zimbabwe, Mexico, Suriname, Israel, Australia, Indonesia, Estonia, DRC- Congo (Kinshasa), Myanmar, Cambodia, Malaysia, Kazakhstan, Portugal, Mongolia, Austria, Luxembourg, Korea, Republic of, Brazil, Guyana, Chile, Laos, Colombia, Ecuador, Argentina, Hungary, Japan, India, Canada, Belgium, Namibia, Taiwan, Peru, Germany, Ethiopia, Russian Federation, Singapore, Viet Nam, United States, Egypt, Sierra Leone, Madagascar, Ivory Coast, Bolivia, Thailand, Netherlands, China, Ireland, Slovakia, France, Nigeria, Niger, Rwanda, United Kingdom, Switzerland, Spain, Djibouti, Czech Republic, Mexico, Zimbabwe, Suriname, Israel, Australia, Estonia, Indonesia, DRC, Burundi, Rwanda, Aland Islands, Andorra, Argentina, Australia, Austria, Belgium, Bolivia, Brazil, Cambodia, Canada, Chile, China, Colombia, Djibouti, Ecuador, Egypt, Eritrea, Estonia, Ethiopia, France, Germany, Guyana, Hungary, India, Indonesia, Ireland, Israel, Japan, Kazakhstan, Luxembourg, Madagascar, Malaysia, Mexico, Mongolia, Myanmar, Namibia, Netherlands, Niger, Nigeria, Peru, Portugal, Republic of Korea, Russia, Sierra Leone, Singapore, Slovakia, South Africa, Spain, Suriname, Switzerland, Taiwan, Thailand, USA, United Kingdom, Uzbekistan, Vietnam, Zimbabwe, Recycled/Scrap, Includes Covered Countries, Includes Covered Countries and CAHRA, Includes Covered Countries and CAHRA | Mineral R/S and mining from China | China | RCOI confirmed per RMI | China,Russia,Canada | Recycled/Scrap, China, Canada, Brazil, Portugal, Japan, United States, Australia, Niger, Nigeria, Peru, Thailand, Mexico, Spain, Rwanda, Germany, Malaysia, Mongolia, Austria, Colombia, Cambodia, Guyana, Kazakhstan, Korea, Luxembourg, Myanmar, Chile, India | CHINA, L1, R/S | Some are recycled or scrap sourced but not all | DRC- Congo (Kinshasa), Myanmar, Cambodia, Malaysia, Kazakhstan, Portugal, Austria, Mongolia, Luxembourg, Guyana, Korea, Republic of, Brazil, Chile, Laos, Colombia, Ecuador, Argentina, Hungary, Japan, India, Canada, Belgium, Namibia, Taiwan, Peru, Ethiopia | the DRC or an adjoining country(covered countries) | No.300, Ke Jingshe, Haicang District, Xiamen, China | Excludes Covered Countries, LR, R/S, Mineral R/S and mining from China, Mineral sourcing R/S and Mined, from China, Mongolia, Bolivia, Philippine, Burundi, Russia, Rwanda, Vietnam, scraps, NA, No information, RCOI confirmed as per RMI., RCOI confirmed per RMI, Recycled/Scrap, China, Canada, Brazil, Portugal, Japan, United States, Australia, Niger, Nigeria, Peru, Thailand, Mexico, Spain, Rwanda, Germany, Malaysia, Mongolia, Austria, Colombia, Cambodia, Guyana, Kazakhstan, Korea, Luxembourg, Myanmar, Chile, India, Namibia, Argentina, Ecuador, Hungary, Belgium, Democratic Republic of Congo, Taiwan, Russian Federation, Ethiopia, Ireland, United Kingdom, Viet Nam, Switzerland, Indonesia, Djibouti, Egypt, Estonia, France, Israel, Madagascar, Netherlands, Sierra Leone, Singapore, Slovakia, Suriname, Zimbabwe, Rwanda, Australia, Bolivia, Brazil, Canada, China, Germany, Japan, Mexico, Niger, Nigeria, Peru, Portugal, Russia, Spain, Thailand, USA, Vietnam, recycled/scrap, Some are recycled, scrap, covered countries or DRC sourced but not all, Some are recyled/scrap, TI-CMC sourced but not all., Unknown</t>
  </si>
  <si>
    <t>Compliant, COMPLIANT 09/22/2015, Compliant Conformant, Conformant, Conformant Smelter, Conformant smelter according to RMI, audit valid until 2023, Conformant Smelter according to RMI, last cycle in 25.05.2020 with a cycle of 3 Years, Listed on CFSI Conflict Free Smelter List, RCOI confirmed as per RMAP (Direct Sourcing, Indirect Supplying Smelter Sourcing, and/or Aggregated data per TI-CMC Smelters Source - Mined Material), RCOI confirmed as per RMAP and TI-CMC Sourcing, RCOI confirmed per RMI / approved by TI-CMC, RMAP Conformant, RMAP Conformant Smelter, RMAP Conformant Smelter / RCOI confirmed per RMI, This smelter is CFS. http://www.responsiblemineralsinitiative.org/tungsten-conformant-smelters/, This smelter is CFS.
http://www.conflictfreesourcing.org/tungsten-conflict-free-smelters/, This smelter is RMI Conformant.
http://www.responsiblemineralsinitiative.org/tungsten-smelters-list/</t>
  </si>
  <si>
    <t>CID002095</t>
  </si>
  <si>
    <t>Andy Chen</t>
  </si>
  <si>
    <t>1878415@qq.com</t>
  </si>
  <si>
    <t xml:space="preserve">We will monitor RMAP's validation status. </t>
  </si>
  <si>
    <t>Myanmar, Cambodia, Malaysia, Kazakhstan, Portugal, Mongolia, Austria, Luxembourg, Brazil, Korea, Republic of, Guyana, Chile, Laos, Ecuador, Colombia, Argentina, Hungary, Japan, India, Canada, Belgium, Namibia, Taiwan, Peru, Ethiopia, Germany, Russian Fede, Unspecified Level 1 country</t>
  </si>
  <si>
    <t>Listed on Conformant Smelter &amp;amp; Refiner Lists, RCOI confirmed per RMI</t>
  </si>
  <si>
    <t>CID000778</t>
  </si>
  <si>
    <t>HwaSeong CJ CO., LTD.</t>
  </si>
  <si>
    <t>Danwon</t>
  </si>
  <si>
    <t>CID002587</t>
  </si>
  <si>
    <t>Tony Goetz NV</t>
  </si>
  <si>
    <t>Industrial Refining Company</t>
  </si>
  <si>
    <t>Jacob Jacobstraat 58, Antwerpen 2018, Belgium</t>
  </si>
  <si>
    <t>Riet Vanderschelde</t>
  </si>
  <si>
    <t>riet.vanderschelde@tonygoetz.com, rietvanderschelde@tonygoetz.com</t>
  </si>
  <si>
    <t>Belgium, Belgium, Recycled/Scrap, Belgium, Viet Nam, Australia, Brazil, Canada, China, Guinea, Indonesia, Japan, Kyrgyzstan, Malaysia, Mongolia, Mozambique, Papua New Guinea, Peru, Poland, Russian Federation, Tajikistan, Recycled/Scrap, Belgium, Vietnam, Belgium, Vietnam, Recycled/Scrap, No known country of origin, Unknown</t>
  </si>
  <si>
    <t>CID001032</t>
  </si>
  <si>
    <t>L'azurde Company For Jewelry</t>
  </si>
  <si>
    <t>Riyadh</t>
  </si>
  <si>
    <t>Ar Riyāḑ</t>
  </si>
  <si>
    <t>N/A</t>
  </si>
  <si>
    <t>CID000814</t>
  </si>
  <si>
    <t>Istanbul Gold Refinery</t>
  </si>
  <si>
    <t>Kuyumcukent, Istanbul, Turkey</t>
  </si>
  <si>
    <t>Kuyumcukent</t>
  </si>
  <si>
    <t>Cigdem Bostan, Gold, NA</t>
  </si>
  <si>
    <t>cbostan@mygoldgram.com, Istanbul Gold Refinery, NA</t>
  </si>
  <si>
    <t>Conformant, Conformant-audited by LBMA RG- valid until 07/14/2023, Istanbul Gold Refinery, NA, no action need, No Action Required as company is RMAP conformant, None, CFS Certified, RCOI validated by RMI Protocols , Supplier contacts: hyeju.lee@amkor.com; catherine.pelissonnier@st.com; (Phiron) nancy.joy@materion.com; Infineon Customer Contact @infineon.com;  os.materialdeclaration@jenoptik.com; nadine.jahn@aim-micro-systems.de; lisa.bjornson@sanmina.com; theodore.knudson@materion.com; yushin@harvatek.com; Emily_Hsieh@epistar.com; shelly.ding@inari-amertron.com.cn, Validated by LBMA RG until 10/02/2022</t>
  </si>
  <si>
    <t>0, NA, No information, Not disclosed by supplier, Not disclosed by supplier | Not disclosure | RCOI confirmed per RMI, Not disclosed per LBMA, Not disclosed per LBMA | RCOI confirmed as per RMI but not disclosed by LBMA, RCOI confirmed as per RMI., RCOI confirmed per RMI, See aggregated data below for LBMA Good Delivery Sourcing, TURKEY, TURKEY | Recycled or Scrap | Not disclosed by supplier | Not disclosed per LBMA | Not disclosed | RCOI confirmed as per RMI but not disclosed by LBMA | Some are recycled or scrap sourced but not all. | Not disclosed by supplier | TURKEY | Recycled or Scrap | RCOI confirmed as per CFSI but not disclosed by LBMA | Not disclosed per LBMA | Some are recycled or scrap sourced but not all. | Not disclosed, Unknown, Unknown, but some recycled/scrap</t>
  </si>
  <si>
    <t>Argentina, Australia, Austria, Belgium, Brazil, Burundi, Cambodia, Canada, Chile, China, Colombia, Democratic Republic of Congo, Indonesia, Japan, Korea, Malaysia, Panama, Peru, Recycled/Scrap, Turkey, United States, Canada, Turkey, CID000814, DRC, Burundi, Rwanda, Argentina, Australia, Austria, Belgium, Brazil, Cambodia, Canada, Chile, China, Colombia, Djibouti, Ecuador, Egypt, Estonia, Ethiopia, France, Germany, Guyana, Hungary, India, Indonesia, Ireland, Israel, Japan, Kazakhstan, Luxembourg, Madagascar, Malaysia, Mongolia, Myanmar, Namibia, Netherlands, Niger, Nigeria, Panama, Peru, Portugal, Republic of Korea, Russia, Sierra Leone, Singapore, Slovakia, Spain, Suriname, Switzerland, Taiwan, Thailand, Turkey, USA, United Kingdom, Vietnam, Zimbabwe, Recycled/Scrap, Excludes Covered Countries, From Turkey, Canada, From Turkey, Canada | Turkey, Canada | RCOI confirmed per RMI, Known Countries from which LBMA Good Delivery List Refiners Source - Mined  Material (Provided by LBMA), Known Countries from which LBMA Good Delivery List Refiners Source - Mined  Material (Provided by LBMA) | RCOI confirmed as per RMI but not disclosed by LBMA | Kuyumcukent, Istanbul, Turkey, LBMA Good Delivery Sourcing based on RMAP-RMI's RCOI data, NA, No information, Not disclosed per LBMA, Not disclosed per LBMA | TURKEY | Not disclosed per LBMA (recycled or scrap) | Turkey | Mineral sourcing not disclosed per LBMA, Not disclosed by supplier | Not disclosed | RCOI confirmed as per RMI but not disclosed by LBMA | Excludes Covered Countries | Mineral sourcing L1,R/S, Not disclosed by supplier | Not disclosed per LBMA | TURKEY | Not disclosed per LBMA (recycled or scrap) | RCOI confirmed as per CFSI but not disclosed by LBMA | Turkey | Mineral sourcing not disclosed per LBMA, Not disclosed by supplier | Mineral sourcing L1,R/S, Not disclosed by s | Known Countries from which LBMA Good Delivery List Refiners Source - Mined  Material (Provided by LBMA) | Kuyumcukent, Istanbul, Turkey, RCOI confirmed as per RMI., RCOI confirmed per RMI, Turkey, Turkey, Canada, Turkey, Canada, Recycled/Scrap, Japan, Panama, not disclosed per LBMA (recycled or scrap), China, Korea, United States, Brazil, Indonesia, Malaysia, Peru, Argentina, Australia, Austria, Belgium, Burundi, Cambodia, Chile, Colombia, Democratic Republic of Congo, Djibouti, Ecuador, Egypt, Estonia, Ethiopia, France, Germany, Guyana, Hungary, India, Ireland, Israel, Kazakhstan, Luxembourg, Madagascar, Mongolia, Myanmar, Namibia, Netherlands, Niger, Nigeria, Portugal, Russian Federation, Rwanda, Sierra Leone, Singapore, Slovakia, Spain, Suriname, Switzerland, Taiwan, Thailand, United Kingdom, Viet Nam, Zimbabwe, Unknown</t>
  </si>
  <si>
    <t>Compliant, COMPLIANT 09/22/2015, Compliant Conformant, Conformant, Conformant Smelter, Conformant smelter according to RMI, audit valid until 2022, Conformant Smelter according to RMI, last cycle in 02.10.2020 with a cycle of 1 Year, PI &amp;amp; SC,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t>
  </si>
  <si>
    <t>CID003380</t>
  </si>
  <si>
    <t>PT Masbro Alam Stania</t>
  </si>
  <si>
    <t>PT Menara Cipta Mulia</t>
  </si>
  <si>
    <t>PT Mitra Stania Prima</t>
  </si>
  <si>
    <t>Jawa Barat</t>
  </si>
  <si>
    <t>CID000855</t>
  </si>
  <si>
    <t>Jiangxi Copper Co., Ltd.</t>
  </si>
  <si>
    <t>JSC Novosibirsk Refinery</t>
  </si>
  <si>
    <t>CID003497</t>
  </si>
  <si>
    <t>K.A. Rasmussen</t>
  </si>
  <si>
    <t>Hamar</t>
  </si>
  <si>
    <t>Hedmarken</t>
  </si>
  <si>
    <t>CID001161</t>
  </si>
  <si>
    <t>Met-Mex Penoles, S.A.</t>
  </si>
  <si>
    <t>Metalurgica Met-Mex Penoles S.A. De C.V.</t>
  </si>
  <si>
    <t>Torreon</t>
  </si>
  <si>
    <t>Coahuila de Zaragoza</t>
  </si>
  <si>
    <t>Kagawa</t>
  </si>
  <si>
    <t>Shandong Gold Smelting Co., Ltd.</t>
  </si>
  <si>
    <t>CID001397</t>
  </si>
  <si>
    <t>PT Aneka Tambang (Persero) Tbk</t>
  </si>
  <si>
    <t>Gedung Aneka Tambang, Jl. Letjen TB Simatupang No. 1 Lingkar Selatan, Tanjung Barat, Jakarta 12530, Indonesia</t>
  </si>
  <si>
    <t>Jakarta</t>
  </si>
  <si>
    <t>Jakarta Raya</t>
  </si>
  <si>
    <t>Diana Budiani Rahmawati, Gold, Incheon-gwangyeoksi</t>
  </si>
  <si>
    <t>diana@pttimah.co.id, PT Aneka Tambang (Persero) Tbk</t>
  </si>
  <si>
    <t>Conformant, Conformant-audited by LBMA RG- valid until 05/19/2023, no action need, No Action Required as company is RMAP conformant, None, CFS Certified, PT Aneka Tambang (Persero) Tbk, Supplier contacts: hyeju.lee@amkor.com; Infineon Customer Contact @infineon.com;  lisa.bjornson@sanmina.com; yushin@harvatek.com, Validated by LBMA RG until 01/21/2022</t>
  </si>
  <si>
    <t>0, CHINA | Sawahlunto, Muaraenim and Samarinda. | Not disclosed per LBMA | RCOI confirmed as per RMI but not disclosed by LBMA | Not disclosed by supplier | CHINA | Sawahlunto, Muaraenim and Samarinda. | RCOI confirmed as per CFSI but not disclosed by LBMA | Not disclosed per LBMA | Not disclosed by supplier, INDONESIA, No information, Not disclosed by supplier, Not disclosed per LBMA, RCOI confirmed as per RMI., RCOI confirmed per RMI, Sawahlunto, Muaraenim and Samarinda., Sawahlunto, Muaraenim and Samarinda. | RCOI confirmed as per RMI but not disclosed by LBMA, Sawahlunto, Muaraenim, Samarinda, and recycled/scrap, See aggregated data below for LBMA Good Delivery Sourcing, Sourced from Mines/Recyale/Scrap | Not disclosed by supplier, Unknown, but some recycled/scrap</t>
  </si>
  <si>
    <t>Argentina, Australia, Austria, Belgium, Brazil, Cambodia, Canada, Chile, China, Colombia, Ecuador, Ethiopia, Germany, Guyana, Hungary, India, Indonesia, Japan, Kazakhstan, Korea, Malaysia, Peru, Recycled/Scrap, South Africa, Switzerland, United States, Australia, Bolivia, Brazil, Canada, Chile, China, Ethiopia, Germany, Indonesia, Malaysia, Peru, Russia, South Africa, Switzerland, USA, recycled/scrap, Canada, Brazil, Malaysia, Australia, Bolivia, Chile, Switzerland, Peru, Ethiopia, Germany, Indonesia, Recycled/Scrap, China, Russia, South Africa, USA, Canada, Brazil, Malaysia, Australia, Bolivia, Chile, Switzerland, Peru, Ethiopia, Germany, Indonesia, Recycled/Scrap, China, Russia, South Africa, USA | Mineral sourcing not disclosed by LBMA, Canada, Brazil, Malaysia, Australia, Chile, Bolivia, Switzerland, Peru, Germany, Ethiopia, Indonesia, Canada, Brazil, Malaysia, Bolivia, Chile, Australia, Switzerland, Peru, Germany, Ethiopia, Indonesia, Canada, Brazil, Malaysia, Chile, Australia, Bolivia, Peru, Switzerland, Ethiopia, Germany, Indonesia, Canada, Brazil, Malaysia, Chile, Australia, Bolivia, Peru, Switzerland, Germany, Ethiopia, Indonesia, CID001397,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Canada, Brazil, Malaysia, Australia, Bolivia, Chile, Peru, Switzerland, Ethiopia, Germany, Indonesia | Gedung Aneka Tambang, Jl. Letjen TB Simatupang No. 1 Lingkar Selatan, Tanjung Barat, Jakarta 12530, Indonesia, LBMA Good Delivery Sourcing based on RMAP-RMI's RCOI data, Mineral sourcing not disclosed by LBMA, No information, Not disclosed per LBMA, Not disclosed per LBMA | CHINA | Not disclosed per LBMA (Indonesia) | Canada, Brazil, Malaysia, Chile, Australia, Bolivia, Peru, Switzerland, Ethiopia, Germany, Indonesia | RCOI confirmed as per RMI but not disclosed by LBMA | Mineral sourcing not disclosed per LBMA | Excludes Covered Countries | Not disclosed per LBMA | CHINA | Not disclosed per LBMA (Indonesia) | RCOI confirmed as per CFSI but not disclosed by LBMA | Canada, Brazil, Malaysia, Chile, Australia, Bolivia, Peru, Switzerland, Ethiopia, Germany, Indonesia | Known Countries from which | Known Countries from which LBMA Good Delivery List Refiners Source - Mined  Material (Provided by LBMA) | Canada, Brazil, Malaysia, Chile, Bolivia, Australia, Peru, Switzerland, Germany, Ethiopia, Indonesia | Gedung Aneka Tambang, Jl. Letjen TB Simatupang No. 1 Lingkar Selatan, Tanjung Barat, Jakarta 12530, Indonesia, RCOI confirmed as per RMI., RCOI confirmed per RMI, Recycled/Scrap, Indonesia, Brazil, Canada, Peru, Chile, Germany, Malaysia, Ethiopia, Switzerland, Australia, China, United States, South Africa, Recycled/Scrap, Indonesia, Brazil, Canada, Peru, Chile, Germany, Malaysia, Ethiopia, Switzerland, Australia, China, United States, South Africa, India, Japan, Argentina, Austria, Belgium, Cambodia, Colombia, Ecuador, Guyana, Hungary, Kazakhstan, Korea, Luxembourg, Mongolia, Myanmar, Namibia, Portugal, Taiwan, Bolivia (Plurinational State of), Russian Federation, Philippines, Mexico, Uzbekistan, Zambia, Andorra, Thailand, Djibouti, Egypt, Estonia, France, Ireland, Israel, Madagascar, Netherlands, Niger, Nigeria, Sierra Leone, Singapore, Slovakia, Spain, Suriname, United Kingdom, Viet Nam, Zimbabwe, Unknown, Zambia, Andorra, Argentina, Australia, Austria, Belgium, Bolivia, Brazil, Cambodia, Canada, Chile, China, Colombia, Djibouti, Ecuador, Egypt, Estonia, Ethiopia, France, Germany, Guyana, Hungary, India, Indonesia, Ireland, Israel, Japan, Kazakhstan, Luxembourg, Madagascar, Malaysia, Mexico, Mongolia, Myanmar, Namibia, Netherlands, Niger, Nigeria, Peru, Philippines, Portugal, Republic of Korea, Russia, Sierra Leone, Singapore, Slovakia, South Africa, Spain, Suriname, Switzerland, Taiwan, Thailand, USA, United Kingdom, Uzbekistan, Vietnam, Zimbabwe, Recycled/Scrap</t>
  </si>
  <si>
    <t>Compliant, Compliant Conformant, Conformant, Conformant Smelter, Conformant smelter according to RMI, audit valid until 2022, Conformant Smelter according to RMI, last cycle in 21.01.2020 with a cycle of 1 Year, RCOI confirmed per RMI, RCOI confirmed per RMI / LBMA Good Delivery Sourcing, RMAP Conformant</t>
  </si>
  <si>
    <t>CID002165</t>
  </si>
  <si>
    <t>Yunnan Dian'xi Tin Mine</t>
  </si>
  <si>
    <t>Yunnan Geiju Smelting Corp.</t>
  </si>
  <si>
    <t>CID002166</t>
  </si>
  <si>
    <t>Yunnan Gejiu Smelting Corp.</t>
  </si>
  <si>
    <t>CID002173</t>
  </si>
  <si>
    <t>Yunnan Industrial Co., Ltd.</t>
  </si>
  <si>
    <t>CID002309</t>
  </si>
  <si>
    <t>Yunnan Malipo Baiyi Kuangye Co.</t>
  </si>
  <si>
    <t>CID002516</t>
  </si>
  <si>
    <t>Singway Technology Co., Ltd.</t>
  </si>
  <si>
    <t>No. 13 Gong 1st Rd. Dayuan Township, Taoyuan Country, Taiwan 33759 R.O.C.</t>
  </si>
  <si>
    <t>Dayuan</t>
  </si>
  <si>
    <t>0, Gold, Massachusetts, Serena Tsai, Serena Xinyi CAI</t>
  </si>
  <si>
    <t>0, serena@sing-way.com, Singway Technology Co., Ltd.</t>
  </si>
  <si>
    <t>Conformant- Reaudit In Progress, no action need, No Action Required as company is RMAP conformant, None, CFSP Certified, Remove from supply chain, Singway Technology Co., Ltd., Supplier contacts: hyeju.lee@amkor.com; Infineon Customer Contact @infineon.com;  lisa.bjornson@sanmina.com; yushin@harvatek.com, Validated by RMI until 08/07/2021</t>
  </si>
  <si>
    <t>0, L1, R/S, No information, RCOI confirmed per RMI, Recycled and scrap, and mines not disclosed by supplier, Recycled, Scrap, Recycled, Scrap | Some are recycled or scrap sourced but not all, Some are recycled or scrap sourced but not all, Some are recycled or scrap sourced but not all. , Some are recycled or scrap sourced but not all. | Recycled/Scrap | Some are recycled or scrap sourced but not all. | Recycled/Scrap | Recycled, Scrap | Recycled, Scrap | Not disclosed by supplier | Some are recycled or scrap sourced but not all, Some are recycled/scrap sourced but not all., TAIWAN, PROVINCE OF CHINA, Unknown, but some recycled/scrap</t>
  </si>
  <si>
    <t>Argentina, Australia, Austria, Belgium, Benin, Bolivia, Brazil, Burkina Faso, Cambodia, Canada, Chile, China, Colombia, Djibouti, Ecuador, Egypt, Eritrea, Estonia, Ethiopia, France, Germany, Ghana, Guatemala, Guinea, Guyana, Honduras, Hong Kong, Hungary, India, Indonesia, Ireland, Israel, Ivory Coast, Japan, Kazakhstan, Laos, Luxembourg, Madagascar, Malaysia, Mali, Mexico, Mongolia, Myanmar, Namibia, Netherlands, Nicaragua, Niger, Nigeria, Panama, Peru, Portugal, Republic of Korea, Russia, Senegal, Sierra Leone, Singapore, Slovakia, South Africa, Spain, Suriname, Switzerland, Taiwan, Thailand, Togo, USA, United Arab Emirates, United Kingdom, Uzbekistan, Vietnam, Zimbabwe, Recycled/Scrap,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Japan, Kazakhstan, Korea, Luxembourg, Malaysia, Mongolia, Myanmar, Namibia, Peru, Portugal, Recycled/Scrap, Taiwan, United States, CID002516, Excludes Covered Countries, Excludes Covered Countries and CAHRA, L1, R/S, L1, R/S | Some are recycled or scrap sourced but not all | Excludes Covered Countries | No. 13 Gong 1st Rd. Dayuan Township, Taoyuan Country, Taiwan 33759 R.O.C., Mineral sourcing L1, R/S based on RMAP-RMI's RCOI data, Mineral sourcing R/S, 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Bolivia, Thailand, Netherlands, China, Slovakia, France, Nigeria, United Kingdom, Switzerland, Spain, Djibouti, Czech Republic, Zimbabwe, Suriname, Israel, Australia, Estonia, Indonesia, Myanmar, Cambodia, Malaysia, Kazakhstan, Portugal, Austria, Mongolia, Luxembourg, Brazil, Guyana, Korea, Republic of, Chile, Laos, Ecuador, Colombia, Argentina, Hungary, Japan, India, Canada, Belgium, Namibia, Taiwan, Peru, Germany, Ethiopia, Russian Federation, Singapore, Viet Nam, United States, Egypt, Madagascar, Sierra Leone, Ivory Coast, Thailand, Bolivia, Netherlands, China, Slovakia, Nigeria, France, United Kingdom, Switzerland, Spain, Djibouti, Czech Republic, Zimbabwe, Suriname, Israel, Australia, Indonesia, Estonia, Myanmar, Cambodia, Malaysia, Kazakhstan, Portugal, Austria, Mongolia, Luxembourg, Guyana, Brazil, Korea, Republic of, Chile, Laos, Colombia, Ecuador, Argentina, Hungary, Japan, India, Canada, Belgium, Namibia, Taiwan, Peru, Ethiopia, Germany, Russian Federation, Singapore, Viet Nam, United States, Egypt, Sierra Leone, Madagascar, Ivory Coast, Bolivia, Thailand, Netherlands, China, Slovakia, Nigeria, France, United Kingdom, Switzerland, Spain, Djibouti, Czech Republic, Zimbabwe, Suriname, Israel, Australia, Estonia, Indonesia, Myanmar, Cambodia, Malaysia, Kazakhstan, Portugal, Mongolia, Austria, Luxembourg, Brazil, Guyana, Korea, Republic of, Chile, Laos, Ecuador, Colombia, Argentina, Hungary, Japan, India, Canada, Belgium, Namibia, Taiwan, Peru, Ethiopia, Germany, Russian Federation, Singapore, Viet Nam, United States, Egypt, Sierra Leone, Madagascar, Ivory Coast, Bolivia, Thailand, Netherlands, China, Slovakia, France, Nigeria, United Kingdom, Switzerland, Spain, Djibouti, Czech Republic, Zimbabwe, Suriname, Israel, Australia, Estonia, Indonesia, 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 No information, Not disclosed per LBMA (Taiwan) | Myanmar, Cambodia, Malaysia, Kazakhstan, Portugal, Austria, Mongolia, Luxembourg, Korea, Republic of, Guyana, Brazil, Chile, Laos, Ecuador, Colombia, Argentina, Hungary, Japan, India, Canada, Belgium, Namibia, Taiwan, Peru, Germany, Ethiopia, Russian Fede | Some are recycled or scrap sourced but not all. | Recycled/Scrap | Excludes Covered Countries | Not disclosed per LBMA (Taiwan) | Recycled/Scrap | Myanmar, Cambodia, Malaysia, Kazakhstan, Portugal, Austria, Mongolia, Luxembourg, Korea, Republic of, Guyana, Brazil, Chile, Laos, Ecuador, Colombia, Argentina, Hungary, Japan, India, Canada, Belgium, Nam | Known Countries from which LBMA Good Delivery List Refiners Source - Mined  Material (Provided by LBMA) | Myanmar, Cambodia, Malaysia, Kazakhstan, Portugal, Austria, Mongolia, Luxembourg, Guyana, Korea, Republic of, Brazil, Chile, Laos, Ecuador, Colombia, Argentina, Hungary, Japan, India, Canada, Belgium, Namibia, Taiwan, Peru, Ethiopia, Germany, Russian Fede | No. 13 Gong 1st Rd. Dayuan Township, Taoyuan Country, Taiwan 33759 R.O.C. | L1, R/S | Mineral sourcing L1,R/S, not disclosed by RMI | Some are recycled or scrap sourced but not all, RCOI confirmed per RMI, 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 Recycled/Scrap, China, Chile, Peru, Brazil, Korea, India, Japan, Kazakhstan, Colombia, Canada, Ecuador, Guyana, Malaysia, Mongolia, Myanmar, Portugal, Argentina, Austria, Belgium, Cambodia, Hungary, Luxembourg, Namibia, Ethiopia, Germany, United States, Indonesia, Australia, Singapore, France, Madagascar, Niger, Nigeria, Sierra Leone, Spain, Thailand, United Kingdom, Netherlands, Djibouti, Egypt, Estonia, Israel, Slovakia, Suriname, Switzerland, Zimbabwe, Ireland, Taiwan, Russian Federation, Viet Nam, Mexico, Hong Kong, South Africa, Ghana, Mali, Bolivia (Plurinational State of), Benin, Burkina Faso, Eritrea, Guatemala, Guinea, Honduras, Nicaragua, Panama, Senegal, Togo, Uzbekistan, United Arab Emirates, Some are recycled or scrap sourced but not all, Some are recycled or scrap sourced but not all. , Some are recycled/scrap sourced but not all., Unknown</t>
  </si>
  <si>
    <t>Compliant, Compliant Conformant, Conformant, Conformant Smelter, Conformant smelter according to RMI, audit valid until 2021, reassessment in progress, Conformant Smelter according to RMI, last cycle in 07.08.2018 with a cycle of 3 Years, RCOI confirmed per RMI, RMAP Conformant</t>
  </si>
  <si>
    <t>CID001754</t>
  </si>
  <si>
    <t>So Accurate Group, Inc.</t>
  </si>
  <si>
    <t>Long Island City</t>
  </si>
  <si>
    <t>CID001756</t>
  </si>
  <si>
    <t>CID002557</t>
  </si>
  <si>
    <t>Global Advanced Metals Boyertown</t>
  </si>
  <si>
    <t>Boyertown</t>
  </si>
  <si>
    <t>Jean-Paul Meutcheho, Jean-Paul Meutcheho (Director of Corporate Social Responsibility), Jen-Paul Meutchelo, Mr. Steve Krause, NA, Steve Krause, Wien</t>
  </si>
  <si>
    <t>jmeutcheho@globaladvancedmetals.com, RMI validated, skrause@globaladvance, skrause@globaladvancedmetals.com</t>
  </si>
  <si>
    <t>-, Conformant-audited by RMI (members / partners), Conformant-audited by RMI (members / partners)- valid until 09/17/2022, Conformant-audited by RMI (members / partners)- valid until 09/22/2023, no action need, No Action Required as company is RMAP conformant, None, CFS Certified, RMI validated, Supplier contacts: Infineon Customer Contact @infineon.com; yushin@harvatek.com, Validated by RMI until 09/24/2022</t>
  </si>
  <si>
    <t>0, DRC, CC, HR, LR, R/S, From Talison, Noventa, Tanco, proprietary, Gam, Talison, Noventa, Tanco, and recycled/scrap, L1, L3 and R/S based on RMAP-RMI's RCOI data, LR, HR, CC, DRC, R/S, NA, No information, RCOI confirmed per RMI, Recycled and scrap, From Talison, Noventa, Tanco, GAM, Recycled and scrap, From Talison, Noventa, Tanco, GAM | Some are recycled, scrap, covered countries or DRC sourced but not all., Recycled or scrap, and mining not disclosed by supplier, Recycled or scrap, and mining not disclosed by supplier | Talison, Noventa, Tanco | RCOI confirmed per RMI, Some are recycled, scrap, covered countries or DRC sourced but not all, Some are recycled, scrap, covered countries or DRC sourced but not all. | RCOI confirmed per RMI, Some are recycled/scrap, high risk countries, and covered countries sourced but not all., Talison, Noventa, Tanco, Recycle/Scrap | JAPAN | From Talison, Noventa, Tanco | RCOI Confirmed as per CSFI | Not disclosed | Some are recycled, scrap, covered countries or DRC sourced but not all. | Talison, Noventa, Tanco | Some are recycled or scrap sourced but not all. | Talison, Noventa, Tanco, Recycle/Scrap | From Talison (GAM), Noventa, Tanco | JAPAN | Some are recycled, scrap, covered countries or DRC sourced but not all. | Information not provided by smelter | Some are recycled or scrap sourced but not all. | From Ta | Recycled and scrap, From Talison, Noventa, Tanco, GAM | GAM|Tanco|Noventa | From Talison, Noventa, Tanco, proprietary, Talison, Recycled/Scrap, Tanco, Noventa, Gam</t>
  </si>
  <si>
    <t>Angola, Argentina, Australia, Austria, Brazil, Burundi, Cambodia, Canada, Chile, Colombia, Democratic Republic of Congo, Ecuador, Guyana, Hungary, Japan, Kazakhstan, Korea, Luxembourg, Malaysia, Mongolia, Mozambique, Myanmar, Portugal, Recycled/Scrap, Rwanda, South Sudan, Sudan, Tanzania, United States, Zambia, DRC- Congo (Kinshasa), Myanmar, Angola, Cambodia, Malaysia, Kazakhstan, Portugal, Austria, Mongolia, Mozambique, Luxembourg, Guyana, Korea, Republic of, Brazil, Chile, Laos, Colombia, Ecuador, Argentina, South Sudan, Hungary, Japan, Tanzania, Zambia, Congo (Brazzaville), India, Canada, Belgium, Namibia, Taiwan, Central African Republic, Peru, Germany, Ethiopia, Russian Federation, Burundi, Singapore, Viet Nam, United States, Egypt, Madagascar, Sierra Leone, Ivory Coast, Thailand, Bolivia, Netherlands, Ireland, China, Slovakia, Nigeria, France, Rwanda, United Kingdom, Switzerland, Spain, Djibouti, Czech Republic, Uganda, Zimbabwe, Suriname, Israel, Australia, Indonesia, Estonia, DRC- Congo (Kinshasa), Myanmar, Angola, Cambodia, Malaysia, Kazakhstan, Portugal, Mongolia, Austria, Mozambique, Luxembourg, Brazil, Guyana, Korea, Republic of, Chile, Laos, Colombia, Ecuador, Argentina, Hungary, South Sudan, Japan, Tanzania, Zambia, Congo (Brazzaville), India, Canada, Belgium, Namibia, Taiwan, Central African Republic, Peru, Germany, Ethiopia, Russian Federation, Burundi, Viet Nam, Singapore, United States, Egypt, Sierra Leone, Madagascar, Ivory Coast, Bolivia, Thailand, Netherlands, Ireland, China, Slovakia, France, Nigeria, Rwanda, United Kingdom, Switzerland, Spain, Djibouti, Czech Republic, Zimbabwe, Uganda, Suriname, Israel, Australia, Indonesia, Estonia, DRC- Congo (Kinshasa), Myanmar, Angola, Cambodia, Malaysia, Kazakhstan, Portugal, Mongolia, Austria, Mozambique, Luxembourg, Brazil, Korea, Republic of, Guyana, Chile, Laos, Colombia, Ecuador, Argentina, Hungary, South Sudan, Japan, Tanzania, Zambia, Congo (Brazzaville), India, Canada, Belgium, Namibia, Taiwan, Central African Republic, Peru, Germany, Ethiopia, Burundi, Russian Federation, Viet Nam, Singapore, United States, Egypt, Sierra Leone, Madagascar, Ivory Coast, Thailand, Bolivia, Netherlands, Ireland, China, Slovakia, Nigeria, France, Rwanda, United Kingdom, Switzerland, Spain, Djibouti, Czech Republic, Uganda, Zimbabwe, Suriname, Israel, Australia, Estonia, Indonesia, DRC- Congo (Kinshasa), Myanmar, Angola, Cambodia, Malaysia, Kazakhstan, Portugal, Mongolia, Austria, Mozambique, Luxembourg, Korea, Republic of, Brazil, Guyana, Chile, Laos, Ecuador, Colombia, Argentina, South Sudan, Hungary, Japan, Tanzania, Zambia, Congo (Brazzaville), India, Canada, Belgium, Namibia, Taiwan, Central African Republic, Peru, Germany, Ethiopia, Burundi, Russian Federation, Viet Nam, Singapore, United States, Egypt, Madagascar, Sierra Leone, Ivory Coast, Bolivia, Thailand, Netherlands, Ireland, China, Slovakia, France, Nigeria, Rwanda, United Kingdom, Switzerland, Spain, Djibouti, Czech Republic, Uganda, Zimbabwe, Suriname, Israel, Australia, Estonia, Indonesia, DRC, Angola, Burundi, Central African Republic, Rwanda, South Sudan, Tanzania, Uganda, Zambia, Andorra, Argentina, Australia, Austria, Belgium, Benin, Bolivia, Brazil, Cambodia, Canada, Chile, China, Colombia, Djibouti, Ecuador, Egypt, Eritrea, Estonia, Ethiopia, France, Germany, Ghana, Guinea, Guyana, Hungary, India, Indonesia, Ireland, Israel, Italy, Ivory Coast, Japan, Kazakhstan, Laos, Luxembourg, Madagascar, Malaysia, Mexico, Mongolia, Mozambique, Myanmar, Namibia, Netherlands, Niger, Nigeria, Panama, Peru, Portugal, Republic of Korea, Russia, Sierra Leone, Singapore, Slovakia, South Africa, Spain, Sudan, Suriname, Switzerland, Taiwan, Thailand, USA, United Kingdom, Vietnam, Zimbabwe, Recycled/Scrap, DRC, Burundi, Rwanda, Australia, Brazil, Canada, Mozambique, recycled/scrap, DRC,Burundi,Rwanda, Includes Covered Countries, Includes Covered Countries and CAHRA, Includes Covered Countries and CAHRA | Mineral sourcing R/S, LR, HR, DRC, CC, based on RMAP-RMI's RCOI data | Australia, Mozambique, Canada | RCOI confirmed per RMI | DRC,Burundi,Rwanda, L1, CC, DRC, R/S | Some are recycled, scrap, covered countries or DRC sourced but not all. | DRC- Congo (Kinshasa), Myanmar, Angola, Cambodia, Malaysia, Kazakhstan, Portugal, Austria, Mongolia, Mozambique, Luxembourg, Guyana, Brazil, Korea, Republic of, Chile, Laos, Colombia, Ecuador, Argentina, South Sudan, Hungary, Japan, Tanzania, Zambia, Cong | the DRC or an adjoining country(covered countries) | 1223 County Line Road, Boyertown, PA, 19512, US | Includes Covered Countries, L1, L3, R/S | Includes Covered Countries | L1, L3, DRC, R/S | JAPAN | DRC- Congo (Kinshasa), Myanmar, Angola, Cambodia, Malaysia, Kazakhstan, Portugal, Mongolia, Austria, Mozambique, Luxembourg, Guyana, Korea, Republic of, Brazil, Chile, Laos, Colombia, Ecuador, Argentina, South Sudan, Hungary, Japan, Tanzania, Zambia, Cong | RCOI confirmed as per CFSI | RCOI Confirmed as per CSFI | Not disclosed | the DRC or an adjoining country(covered countirs) | Some are recycled, scrap, covered countries or DRC sourced but not all. | Australia, Mozambique, Canada | Mineral sourcing L1,R/S, Not disclosed by supplier | L1, L3, R/S | L1, L3, DRC, R/S | Includes Covered Countries | JAPAN | Some are recycled, scrap, covered countries or DRC sourced but not all. | DRC- Congo (Kinshasa), Myanmar, Angola, Cambodia, Malaysia, Kazakhstan, Portugal, Mongolia, Austria, Mozambique | the DRC or an adjoining country(covered countries) | DRC- Congo (Kinshasa), Myanmar, Angola, Cambodia, Malaysia, Kazakhstan, Portugal, Austria, Mongolia, Mozambique, Luxembourg, Korea, Republic of, Brazil, Guyana, Chile, Laos, Ecuador, Colombia, Argentina, Hungary, South Sudan, Japan, Tanzania, Zambia, Cong | 1223 County Line Road, Boyertown, PA, 19512, US | DRC,Burundi,Rwanda | L1, CC, DRC, R/S | Australia|Canada|Mozambique | Mineral sourcing LR, CC, DRC, R/S, Australia, Brazil, Burundi, Canada, DRC, Japan, Mozambique, Mozambique, Rwanda, United States, LR, HR, CC, DRC, R/S, Mineral sourcing LR, HR, CC, R/S from Rwanda, DRC, Burundi, Mozambique, Brazil, Australia, Mineral sourcing R/S, LR, HR, DRC, CC, based on RMAP-RMI's RCOI data, 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 NA, No information, RCOI confirmed per RMI, Recycled/Scrap, Burundi, Rwanda, United States, Mozambique, Australia, Brazil, Canada, Japan, Guyana, Malaysia, Portugal, Austria, Myanmar, Colombia, Mongolia, Cambodia, Chile, Kazakhstan, Korea, Luxembourg, Angola, Ecuador, Argentina, Tanzania, Zambia, Hungary, South Sudan, Sudan, China, Namibia, Ethiopia, India, Sierra Leone, Niger, Nigeria, Zimbabwe, Thailand, Madagascar, France, Spain, Uganda, Germany, Peru, Indonesia, Belgium, Egypt, Singapore, Central African Republic, Djibouti, Estonia, Ireland, Israel, Netherlands, Slovakia, Switzerland, United Kingdom, Suriname, Democratic Republic of Congo, Congo, Russian Federation, Viet Nam, Taiwan, Some are recycled, scrap, covered countries or DRC sourced but not all, Some are recycled/scrap, high risk countries, and covered countries sourced but not all.</t>
  </si>
  <si>
    <t>Compliant, COMPLIANT 09/22/2015, Compliant Conformant, Conformant, Conformant Smelter, Conformant Smelter - some material may be sourced from the covered countries, Conformant smelter according to RMI, audit valid until 2022, Conformant Smelter according to RMI, last cycle in 24.09.2020 with a cycle of 1 Year, Part or all material comes from Covered Country, RCOI confirmed as per RMAP, RCOI confirmed per RMI, RMAP certified Conflict Free. Some material sourced from the covered countries., RMAP Conformant, RMAP Conformant Smelter, RMAP Conformant Smelter / RCOI confirmed per RMI, This smelter is CFS. http://www.responsiblemineralsinitiative.org/tantalum-conformant-smelters/, This smelter is RMI Conformant.
http://www.responsiblemineralsinitiative.org/tantalum-smelters-list/</t>
  </si>
  <si>
    <t>CID000807</t>
  </si>
  <si>
    <t>Ishifuku Metal Industry Co., Ltd.</t>
  </si>
  <si>
    <t>Soka, Saitama, Japan</t>
  </si>
  <si>
    <t>Soka</t>
  </si>
  <si>
    <t>(+81)3-3252-3131, Conflidential, Gold, Koji Uwatoko, Tatsuo Nagata, Koji Uwatoko, Tatsuto Nagata, Tatsuto Nagata (Director)</t>
  </si>
  <si>
    <t>Confidential, Inqurities on the home page of the company, Ishifuku Metal Industry Co., Ltd., k-uwatoko@ifk.co.jp, shizai@ifk.co.jp, shizai@ifk.co.jp, k-uwatoko@ifk.co.jp</t>
  </si>
  <si>
    <t>CFS validated, Conformant, Conformant-audited by LBMA RG- valid until 05/25/2023, Ishifuku Metal Industry Co., Ltd., no action need, No Action Required as company is RMAP conformant, None, CFS Certified, RMI Conformant, Supplier contacts: hyeju.lee@amkor.com; catherine.pelissonnier@st.com; (Phiron) nancy.joy@materion.com;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 Validated by LBMA RG until 06/04/2022</t>
  </si>
  <si>
    <t>0, From Hishikari Mine, Cerro Verde Mine,Candelaria Mine,Northparkes Mine,Batu Hijiau Mine,Morenci Mine, From Hishikari Mine, Cerro Verde Mine,Candelaria Mine,Northparkes Mine,Batu Hijiau Mine,Morenci Mine | RCOI confirmed as per RMI but not disclosed by LBMA, JAPAN, No information, Not disclosed per LBMA, RCOI confirmed as per RMI., RCOI confirmed per RMI, recycled, Recycled and mines, not disclosed by supplier, Recycled and mining not disclosed by supplier, Recycled and mining not disclosed by supplier | RCOI confirmed per RMI | Recycled or scrp | Recycled | recycled, Recycled or Scrap | JAPAN | From Hishikari Mine, Cerro Verde Mine,Candelaria Mine,Northparkes Mine,Batu Hijiau Mine,Morenci Mine | Recycled | Not disclosed per LBMA | Not disclosed | RCOI confirmed as per RMI but not disclosed by LBMA | Some are recycled or scrap sourced but not all. | Recycled or Scrap | Recycled | JAPAN | From Hishikari Mine, Cerro Verde Mine,Candelaria Mine,Northparkes Mine,Batu Hijiau Mine,Morenci Mine | RCOI confirmed as per CFSI but not disclosed by LBMA | recycled | Not disclosed per LBMA | Some are recycled or s | recycled | Recycled, Scrap, Recycled, Scrap and some not dicslosed by supplier, See aggregated data below for LBMA Good Delivery Sourcing, Unknown, but some recycled/scrap</t>
  </si>
  <si>
    <t>Argentina, Australia, Austria, Belgium, Brazil, Cambodia, Canada, Chile, China, Colombia, Ecuador, Egypt, Estonia, Ethiopia, France, Germany, Guyana, Hong Kong, India, Indonesia, Japan, Korea, Mexico, Mongolia, Panama, Peru, Recycled/Scrap, United States, Australia, Canada, Chile, China, Indonesia, Japan, Peru, USA, recycled/scrap, Canada recycled, Canada, United States, China, Japan, Australia, Canada, United States, Japan, China, Australia, CID000807,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Soka, Saitama, Japan, LBMA Good Delivery Sourcing based on RMAP-RMI's RCOI data, and Mineral sourcing R/S, Mineral R/S and mining not disclosed by LBMA, Mineral R/S and mining not disclosed by LBMA | RCOI confirmed per RMI | Recycled or scrp | Recycled or Scrap | recycled | Recycled etc., No information, Not disclosed per LBMA, RCOI confirmed as per RMI., RCOI confirmed per RMI, recycled, Recycled etc., Recycled or Scrap | Not disclosed per LBMA | recycled | Recycled | JAPAN | Not disclosed per LBMA ( Japan, Peru, Chili,Australia,Indonesia,USA) | Canada, United States, Japan, China, Australia | Mineral sourcing not disclosed per LBMA, Recycled | RCOI confirmed as per RMI but not disclosed by LBMA | Excludes Covered Countries | Mineral sourcing L1,R/S, Not disclosed by supplier | Recycled or Scrap | Not disclosed per LBMA | Recycled | recycled | JAPAN | Not disclosed per LBMA ( Japan, Peru, Chili,Australia,Indonesia,USA) | RCOI confirmed as per CFSI but not disclosed by LBMA | Canada, United States, Japan, China, Australia | Miner | Known Countries from which LBMA Good Delivery List Refiners Source - Mined  Material (Provided by LBMA) | Canada, United States, China, Japan, Australia | Soka, Saitama, Japan | RCOI confirmed as per RMI | Recycled etc. | Mineral sourcing R/S | Yes, Recycled/Scrap, Canada, USA, China, Japan, Australia, Peru, Chile, Indonesia, Mineral Sourcing L1 Japan, Recycled/Scrap, Japan, Australia, Canada, China, United States, Indonesia, Chile, Peru, Recycled/Scrap, Japan, Australia, Canada, China, United States, Indonesia, Chile, Peru, Panama, Mongolia, Korea, Mexico, Hong Kong, India, Argentina, Austria, Belgium, Brazil, Cambodia, Colombia, Ecuador, Egypt, Estonia, Ethiopia, France, Germany, Guyana, Hungary, Ireland, Israel, Kazakhstan, Luxembourg, Madagascar, Malaysia, Myanmar, Namibia, Netherlands, Niger, Nigeria, Portugal, Russian Federation, Sierra Leone, Singapore, Slovakia, Spain, Suriname, Switzerland, Taiwan, Thailand, United Kingdom, Zimbabwe, Djibouti, Viet Nam, Democratic Republic of Congo, Eritrea, Turkey, not disclosed per LBMA (recycled or scrap), Armenia, Azerbaijan, Bahamas, Barbados, Belarus, Benin, Bolivia (Plurinational State of), Bosnia and Herzegovina, Botswana, Bulgaria, Burkina Faso, Cameroon, Croatia, Cyprus, Denmark, Dominica, Dominican Republic, El Salvador, Fiji, Finland, Gabon, Gambia, Georgia, Ghana, Greece, Guatemala, Guinea, Honduras, Iceland, Iran, Italy, Jordan, Kuwait, Kyrgyzstan,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Ukraine, United Arab Emirates, Uruguay, Uzbekistan, Yemen, Unknown</t>
  </si>
  <si>
    <t>Compliant, COMPLIANT 09/22/2015, Compliant Conformant, Conformant, Conformant Smelter, Conformant smelter according to RMI, audit valid until 2022, Conformant Smelter according to RMI, last cycle in 04.06.2020 with a cycle of 1 Year, on "CFS Compliant Smelter List"
jointed "LBMA",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 SC, This smelter is CFS.
http://www.conflictfreesmelter.org/CompliantGoldRefinerList.htm, This smelter is RMI Conformant.
http://www.responsiblemineralsinitiative.org/gold-refiners-list/</t>
  </si>
  <si>
    <t>CID000929</t>
  </si>
  <si>
    <t>JSC Uralelectromed</t>
  </si>
  <si>
    <t>1, Lenin Str., Verkhnaya Pyshma, Sverdlovsk region, 624091</t>
  </si>
  <si>
    <t>0, Goldjsc Uralelectromed, not available, Unspecified</t>
  </si>
  <si>
    <t>0, aouralem@elem.ru</t>
  </si>
  <si>
    <t>No Action Required as company is RMAP conformant, None, CFS Certified, Validated by LBMA RG until 06/06/2021</t>
  </si>
  <si>
    <t>0, Nevianskiy mine | CHINA | Verkhnyaya Pyshma, Sverdlovsk region | Not disclosed by supplier | Not disclosed per LBMA | RCOI confirmed as per RMI but not disclosed by LBMA | Nevianskiy mine | CHINA | Verkhnyaya Pyshma, Sverdlovsk region | RCOI confirmed as per CFSI but not disclosed by LBMA | Not disclosed by supplier | Not disclosed per LBMA, Not disclosed by supplier, Not disclosed per LBMA, RCOI confirmed as per RMI., RCOI confirmed per RMI, Unknown, but some recycled/scrap, Verkhnyaya Pyshma, Sverdlovsk region | RCOI confirmed as per RMI but not disclosed by LBMA</t>
  </si>
  <si>
    <t>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Argentina, Australia, Austria, Belgium, Brazil, Cambodia, Canada, Chile, China, Colombia, Ecuador, Egypt, Estonia, Ethiopia, France, Germany, Guyana, Hungary, India, Indonesia, Ireland, Japan, Recycled/Scrap, Russian Federation, Switzerland, Taiwan, Australia, Brazil, China, Russia, Switzerland, Taiwan, recycled/scrap, Excludes Covered Countries, Known Countries from which LBMA Good Delivery List Refiners Source - Mined  Material (Provided by LBMA) | RCOI confirmed as per RMI but not disclosed by LBMA | 1, Lenin Str., Verkhnaya Pyshma, Sverdlovsk region, 624091, LBMA Good Delivery Sourcing based on RMAP-RMI's RCOI data, Not disclosed per LBMA, RCOI confirmed as per RMI., RCOI confirmed per RMI, Recycled/Scrap, Australia, Brazil, Switzerland, China, Russian Federation, Taiwan, Recycled/Scrap, Australia, Brazil, Switzerland, China, Russian Federation, Taiwan, Japan, Canada, Argentina, Austria, Belgium, Cambodia, Chile, Colombia, Ecuador, Egypt, Estonia, Ethiopia, France, Germany, Guyana, Hungary, India, Indonesia, Ireland, Israel, Kazakhstan, Korea, Luxembourg, Madagascar, Malaysia, Mongolia, Myanmar, Namibia, Netherlands, Niger, Nigeria, Peru, Portugal, Sierra Leone, Singapore, Slovakia, Spain, Suriname, Thailand, United Kingdom, United States, Zimbabwe, Djibouti, Viet Nam, Panama, Armenia, Azerbaijan, Bahamas, Barbados, Belarus, Benin, Bolivia (Plurinational State of), Bosnia and Herzegovina, Botswana, Bulgaria, Burkina Faso, Cameroon, Croatia, Cyprus, Denmark, Dominica, Dominican Republic, El Salvador, Eritrea, Fiji, Finland, Gabon, Gambia, Georgia, Ghana, Greece, Guatemala, Guinea, Honduras, Hong Kong, Iceland, Iran, Italy, Jordan, Kenya, Kuwait, Kyrgyzstan, Latvia, Lebanon, Liberia, Libya, Liechtenstein, Lithuania, Mali, Malta, Mauritania, Mauritius, Mexico, Morocco, Mozambique, New Caledonia, New Zealand, Nicaragua, Norway, Oman, Pakistan, Papua New Guinea, Philippines, Poland, Puerto Rico, Romania, San Marino, Saudi Arabia, Senegal, Serbia, Slovenia, Solomon Islands, South Africa, Sweden, Tajikistan, Togo, Trinidad and Tobago, Tunisia, Turkey, Ukraine, United Arab Emirates, Uruguay, Uzbekistan, Yemen, Russia, China, Brazil, Australia, Switzerland, Recycled/Scrap, RUSSIAN FEDERATION, Russian Federation, Taiwan, Brazil, Australia, Switzerland, Unknown, Urals, Russia | CHINA | Not disclosed per LBMA (Russia) | Russian Federation, Taiwan, Brazil, Australia, Switzerland | Not disclosed per RJC | Not disclosed per LBMA | RCOI confirmed as per RMI but not disclosed by LBMA | Excludes Covered Countries | Urals, Russia | CHINA | Not disclosed per LBMA (Russia) | RCOI confirmed as per CFSI but not disclosed by LBMA | Russian Federation, Taiwan, Brazil, Australia, Switzerland | Not disclosed per RJC | Not disclosed per LBMA | Known Countries from which LBMA | Known Countries from which LBMA Good Delivery List Refiners Source - Mined  Material (Provided by LBMA) | 1, Lenin Str., Verkhnaya Pyshma, Sverdlovsk region, 624091</t>
  </si>
  <si>
    <t>0, Compliant, Compliant Conformant, Conformant, Conformant Smelter, Conformant Smelter according to RMI, last cycle in 06.06.2019 with a cycle of 1 Year, RCOI confirmed per RMI, RCOI confirmed per RMI / LBMA Good Delivery Sourcing, RMAP Conformant</t>
  </si>
  <si>
    <t>CID000957</t>
  </si>
  <si>
    <t>Kazzinc</t>
  </si>
  <si>
    <t>Ust-Kamenogorsk, Kazakhstan</t>
  </si>
  <si>
    <t>Gold, not available, Unspecified</t>
  </si>
  <si>
    <t>Kazzinc, kazzinc@kazzinc.com</t>
  </si>
  <si>
    <t>Conformant, Conformant-audited by LBMA RG- valid until 07/13/2023, Kazzinc, no action need, No Action Required as company is RMAP conformant, None, CFS Certified, Supplier contacts: hyeju.lee@amkor.com; Infineon Customer Contact @infineon.com; lisa.bjornson@sanmina.com; yushin@harvatek.com, Validated by LBMA RG until 11/18/2022</t>
  </si>
  <si>
    <t>0, KAZAKHSTAN, No information, Not disclosed by supplier, Not disclosed by supplier | RCOI confirmed as per RMI but not disclosed by LBMA, Not disclosed per LBMA, RCOI confirmed as per RMI., RCOI confirmed per RMI, See aggregated data below for LBMA Good Delivery Sourcing, SINGAPORE | Not disclosed per LBMA | Not disclosed by supplier | Cadia Hill, Caserones, Los Pelambres, Collahuasi, Escondida, Ridgeway, | RCOI confirmed as per RMI but not disclosed by LBMA | SINGAPORE | Not disclosed per LBMA | RCOI confirmed as per CFSI but not disclosed by LBMA | Not disclosed by supplier | Cadia Hill, Caserones, Los Pelambres, Collahuasi, Escondida, Ridgeway,, Sourced from Mines/Recyale/Scrap | Not disclosed by supplier, Unknown, but some recycled/scrap</t>
  </si>
  <si>
    <t>Australia, Brazil, Canada, Chile, China, Eritrea, Indonesia, Japan, Kazakhstan, Korea, Mozambique, Niger, Nigeria, Peru, Recycled/Scrap, Singapore, Switzerland, Taiwan, United States, Australia, Brazil, Canada, Chile, China, Eritrea, Indonesia, Japan, Kazakhstan, Mozambique, Niger, Nigeria, Peru, Republic of Korea, Singapore, Switzerland, Taiwan, USA, Recycled/Scrap, Australia, Brazil, Chile, China, Indonesia, Japan, Kazkhstan, Peru, Republic of Korea, Singapore, Switzerland, Taiwan, recycled/scrap, China, Japan, Taiwan, Kazakhstan, Australia, Switzerland, Peru, CID000957, Excludes Covered Countries, Japan, China, Australia, Kazakhstan, Peru, Switzerland, Brazil, Chile, Recycled/Scrap, Indonesia, Republic Of Korea, Singapore, Japan, China, Australia, Kazakhstan, Peru, Switzerland, Brazil, Chile, Recycled/Scrap, Indonesia, Republic Of Korea, Singapore | Mineral sourcing not disclosed by LBMA, Japan, China, Taiwan, Australia, Kazakhstan, Peru, Switzerland, Japan, China, Taiwan, Australia, Kazakhstan, Switzerland, Peru, Known Countries from which LBMA Good Delivery List Refiners Source - Mined  Material (Provided by LBMA), Known Countries from which LBMA Good Delivery List Refiners Source - Mined  Material (Provided by LBMA) | RCOI confirmed as per RMI but not disclosed by LBMA | China, Japan, Taiwan, Kazakhstan, Australia, Peru, Switzerland | Ust-Kamenogorsk, Kazakhstan, LBMA Good Delivery Sourcing based on RMAP-RMI's RCOI data, Mineral sourcing not disclosed by LBMA, No information, Not disclosed per LBMA, Not disclosed per LBMA | SINGAPORE | Not disclosed per LBMA (Chile, Australia) | Japan, China, Taiwan, Kazakhstan, Australia, Peru, Switzerland | L1, R/S | RCOI confirmed as per RMI but not disclosed by LBMA | Excludes Covered Countries | Not disclosed per LBMA | SINGAPORE | Not disclosed per LBMA (Chile, Australia) | RCOI confirmed as per CFSI but not disclosed by LBMA | Japan, China, Taiwan, Kazakhstan, Australia, Peru, Switzerland | L1, R/S | Known Countries from which LBMA Good Deliver | Known Countries from which LBMA Good Delivery List Refiners Source - Mined  Material (Provided by LBMA) | Japan, China, Taiwan, Australia, Kazakhstan, Peru, Switzerland | Ust-Kamenogorsk, Kazakhstan, RCOI confirmed as per RMI., RCOI confirmed per RMI, Recycled/Scrap, Kazakhstan, Australia, Japan, China, Peru, Switzerland, Indonesia, Chile, Singapore, Brazil, Korea, Taiwan, Recycled/Scrap, Kazakhstan, Australia, Japan, China, Peru, Switzerland, Indonesia, Chile, Singapore, Brazil, Korea, Taiwan, Canada, Mozambique, Nigeria, Eritrea, United States, Unknown</t>
  </si>
  <si>
    <t>Compliant, Compliant Conformant, Conformant, Conformant Smelter, Conformant smelter according to RMI, audit valid until 2022, Conformant Smelter according to RMI, last cycle in 18.11.2020 with a cycle of 1 Year, RCOI confirmed per RMI, RCOI confirmed per RMI / LBMA approved, RMAP Conformant</t>
  </si>
  <si>
    <t>CID003463</t>
  </si>
  <si>
    <t>Kundan Care Products Ltd.</t>
  </si>
  <si>
    <t>Sector 6A, Sidcul Integrate Industrial Estate Area, Haridwar, India-249402</t>
  </si>
  <si>
    <t>Haridwar</t>
  </si>
  <si>
    <t>0, Siddharth Gogia</t>
  </si>
  <si>
    <t>0, dealing.bullion@kundangroup.com</t>
  </si>
  <si>
    <t>Due diligence results pending, India, Recycled/Scrap, No known country of origin, Recycled/Scrap, India, Belgium, Brazil, Canada, China, Germany, Japan, Malaysia, Peru, Philippines, Liechtenstein, Unknown, Unknown, but no reason to believe sources from covered countries</t>
  </si>
  <si>
    <t>Kyrgyzaltyn JSC</t>
  </si>
  <si>
    <t>Kyrgyzstan</t>
  </si>
  <si>
    <t>Bishkek</t>
  </si>
  <si>
    <t>CID002779</t>
  </si>
  <si>
    <t>Ögussa Österreichische Gold- und Silber-Scheideanstalt GmbH</t>
  </si>
  <si>
    <t>Ogussa Osterreichische Gold- und Silber-Scheideanstalt GmbH</t>
  </si>
  <si>
    <t>Liesinger Flur-Gasse 4, 1230 Vienna, Austria</t>
  </si>
  <si>
    <t>Vienna</t>
  </si>
  <si>
    <t>Wien</t>
  </si>
  <si>
    <t>0, Gold, Marcus Fasching</t>
  </si>
  <si>
    <t>0, marcus.fasching@oegussa.at, Ögussa Österreichische Gold- und Silber-Scheideanstalt GmbH</t>
  </si>
  <si>
    <t>Conformant-audited by RJC- valid until 01/29/2024, Conformant-audited by RMI- valid until 01/29/2024, no action need, No Action Required as company is RMAP conformant, None, CFS Certified, Ogussa Osterreichische Gold- und Silber-Scheideanstalt GmbH, RCOI validated by RMI Protocols , Supplier contacts: hyeju.lee@amkor.com; (Phiron) nancy.joy@materion.com; Infineon Customer Contact @infineon.com;  nadine.jahn@aim-micro-systems.de; lisa.bjornson@sanmina.com; theodore.knudson@materion.com; yushin@harvatek.com, Validated by RJC until 01/28/2021</t>
  </si>
  <si>
    <t>0, AUSTRIA, ITALY | Recycled or Scrap | Not disclosed per RJC | RCOI confirmed as per RMI but not disclosed by RJC | ITALY | Recycled or Scrap | RCOI confirmed as per CFSI but not disclosed by RJC | Not disclosed per RJC | Not disclosed by supplier | Not disclosed by supplier, No information, Not disclosed by supplier, Not disclosed by supplier | RCOI confirmed as per RMI but not disclosed by RJC, Not disclosed by supplier | RCOI confirmed per RMI | Sourced from Mines/Recyale/Scrap, Not disclosed per RJC, RCOI confirmed as per RMI., RCOI confirmed per RMI, See aggregated data below for RJC Sourcing, Unknown, but some recycled/scrap</t>
  </si>
  <si>
    <t>American Samoa, Australia, Austria, Brazil, Burundi, Canada, China, Colombia, Ethiopia, Germany, India, Indonesia, Italy, Japan, Kyrgyzstan, Mongolia, Mozambique, Namibia, Niger, Nigeria, Panama, Peru, Recycled/Scrap, Rwanda, Samoa, Sierra Leone, Zimbabwe, Austria, China, Colombia, Indonesia, Italy, Japan, Mongolia, Peru, recycled/scrap, Austria, Indonesia, Austria, Indonesia, China, Japan, Recycled/Scrap, Peru, Colombia, Mongolia, Italy, Burundi, Rwanda, Tanzania, Uganda, Zambia, American Samoa, Argentina, Armenia, Australia, Austria, Azerbaijan, Bahamas, Barbados, Belarus, Belgium, Benin, Bolivia, Bosnia and Herzegovina, Botswana, Brazil, Bulgaria, Burkina Faso, Cambodia, Cameroon, Canada, Chile, China, Colombia, Croatia, Cyprus, Czechia,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Samoa, San Marino, Saudi Arabia, Senegal, Serbia, Sierra Leone, Singapore, Slovakia, Slovenia, Solomon Islands, South Africa, Spain, Suriname, Sweden, Switzerland, Taiwan, Tajikistan, Thailand, Togo, Trinidad and Tobago, Tunisia, Turkey, USA, Ukraine, United Arab Emirates, United Kingdom, Uruguay, Uzbekistan, Yemen, Zimbabwe, Recycled/Scrap, CID002779, Excludes Covered Countries, ITALY | Not disclosed per RJC (recycled or scrap) | Austria, Indonesia | Not disclosed per RJC | RCOI confirmed as per RMI but not disclosed by RJC | CFSP Compliant | Excludes Covered Countries | ITALY | Not disclosed per RJC (recycled or scrap) | RCOI confirmed as per CFSI but not disclosed by RJC | Austria, Indonesia | Not disclosed per RJC | Excludes Covered Countries | Does not source from DRC or covered countries | CFSP Compliant | R/S and Mined (material risk not disclosed by RJC - only source ASM from Fairmined and Fairtrade mines), Mineral sourcing not disclosed by RJC, Mineral sourcing not disclosed by RJC | RCOI confirmed per RMI | Austria, Indonesia, China, Japan, Recycled/Scrap, Peru, Colombia, Mongolia, Italy, Mineral sourcing not disclosed per RJC, No information, Not disclosed per RJC, R/S and Mined (material risk not disclosed by RJC - only source ASM from Fairmined and Fairtrade mines), R/S and Mined (material risk not disclosed by RJC - only source ASM from Fairmined and Fairtrade mines) | RCOI confirmed as per RMI but not disclosed by RJC, RCOI confirmed as per RMI., RCOI confirmed per RMI, Recycled/Scrap, Austria, Indonesia, Japan, China, Colombia, Mongolia, Peru, Italy, American Samoa, Recycled/Scrap, Austria, Indonesia, Japan, China, Colombia, Mongolia, Peru, Italy, American Samoa, Australia, Brazil, Sierra Leone, India, Burundi, Canada, Ethiopia, Germany, Namibia, Niger, Nigeria, Rwanda, Zimbabwe, Mozambique, Panama, Kyrgyzstan, Czechia, South Africa, Taiwan, Chile, Argentina, Armenia, Azerbaijan, Bahamas, Barbados, Belarus, Belgium, Benin, Bolivia (Plurinational State of), Bosnia and Herzegovina, Botswana, Bulgaria, Burkina Faso, Cambodia, Cameroon, Croatia, Cyprus, Denmark, Dominica, Dominican Republic, Ecuador, Egypt, El Salvador, Eritrea, Estonia, Fiji, Finland, France, Gabon, Gambia, Georgia, Ghana, Greece, Guatemala, Guinea, Guyana, Honduras, Hong Kong, Hungary, Iceland, Iran, Ireland, Israel, Jordan, Kazakhstan, Korea, Kuwait, Latvia, Lebanon, Liberia, Libya, Liechtenstein, Lithuania, Luxembourg, Madagascar, Malaysia, Mali, Malta, Mauritania, Mauritius, Mexico, Morocco, Myanmar, Netherlands, New Caledonia, New Zealand, Nicaragua, Norway, Oman, Pakistan, Papua New Guinea, Philippines, Poland, Portugal, Puerto Rico, Romania, Russian Federation, San Marino, Saudi Arabia, Senegal, Serbia, Singapore, Slovakia, Slovenia, Solomon Islands, Spain, Suriname, Sweden, Switzerland, Tajikistan, Tanzania, Thailand, Togo, Trinidad and Tobago, Tunisia, Turkey, Uganda, Ukraine, United Arab Emirates, United Kingdom, United States, Uruguay, Uzbekistan, Yemen, Zambia, Unknown</t>
  </si>
  <si>
    <t>Compliant, Compliant Conformant, Conformant, Conformant Smelter, Conformant smelter according to RMI, audit valid until 2023, Conformant Smelter according to RMI, last cycle in 28.01.2018 with a cycle of 3 Years, RCOI confirmed as per RMAP (LBMA Good Delivery List Refiners Source - Mined  Material, LBMA Good Delivery List Refiners Source - Recycled Material, and/or RJC Refiners Source - Mined  Material), RCOI confirmed per RMI, RCOI confirmed per RMI / approved by TI-CMC, RMAP Conformant, SC</t>
  </si>
  <si>
    <t>CID001386</t>
  </si>
  <si>
    <t>OJSC Prioksky Non-Ferrous Metals Plant, Kasimov, Prioksky District, Ryazan region, 391303, Russia</t>
  </si>
  <si>
    <t>Ryazanskaya oblast'</t>
  </si>
  <si>
    <t>Tokyo, Vladimir Sonkin</t>
  </si>
  <si>
    <t>pzcm@zvetmet.ru</t>
  </si>
  <si>
    <t>No Action Required as company is RMAP conformant, Validated by LBMA RG until 04/30/2022</t>
  </si>
  <si>
    <t>0, CHINA | various mines | Not disclosed by supplier | Not disclosed per LBMA | RCOI confirmed as per RMI but not disclosed by LBMA | CHINA | various mines | RCOI confirmed as per CFSI but not disclosed by LBMA | Not disclosed by supplier | Not disclosed per LBMA, Not disclosed by supplier, Not disclosed by supplier | RCOI confirmed as per RMI but not disclosed by LBMA, Not disclosed per LBMA, RCOI confirmed as per RMI., RCOI confirmed per RMI, Unknown, but some recycled/scrap</t>
  </si>
  <si>
    <t>Australia, Bolivia (Plurinational State of), Brazil, Canada, China, Eritrea, Ethiopia, Germany, India, Indonesia, Japan, Mozambique, Namibia, Recycled/Scrap, Russian Federation, Rwanda, Sierra Leone, Switzerland, United States, Zimbabwe, Known Countries from which LBMA Good Delivery List Refiners Source - Mined  Material (Provided by LBMA), Known Countries from which LBMA Good Delivery List Refiners Source - Mined  Material (Provided by LBMA) | RCOI confirmed as per RMI but not disclosed by LBMA | Russian Federation, Japan, Rwanda, Sierra Leone, Bolivia, India, Canada, Mozambique, China, Namibia, Brazil, Zimbabwe, Australia, Germany, Ethiopia | OJSC Prioksky Non-Ferrous Metals Plant, Kasimov, Prioksky District, Ryazan region, 391303, Russia, LBMA Good Delivery Sourcing based on RMAP-RMI's RCOI data, Not disclosed per LBMA, RCOI confirmed as per RMI., RCOI confirmed per RMI, Recycled/Scrap, China, India, Australia, Brazil, Canada, Ethiopia, Germany, Japan, Mozambique, Namibia, Rwanda, Sierra Leone, Zimbabwe, Indonesia, Russian Federation, Recycled/Scrap, China, India, Australia, Brazil, Canada, Ethiopia, Germany, Japan, Mozambique, Namibia, Rwanda, Sierra Leone, Zimbabwe, Indonesia, Russian Federation, Bolivia (Plurinational State of), Eritrea, United States, Switzerland, Russia  Urals, Siberian and Far Eastern regions. | CHINA | Not disclosed per LBMA (Russia) | Russian Federation, Japan, Rwanda, Sierra Leone, Bolivia, India, Canada, Mozambique, Namibia, China, Brazil, Zimbabwe, Australia, Germany, Ethiopia | Ryazan | Not disclosed per LBMA | RCOI confirmed as per RMI but not disclosed by LBMA | Russia  Urals, Siberian and Far Eastern regions. | CHINA | Not disclosed per LBMA (Russia) | RCOI confirmed as per CFSI but not disclosed by LBMA | Russian Federation, Japan, Rwanda, Sierra Leone, Bolivia, India, Canada, Mozambique, Namibia, China, Brazil | Known Countries from which LBMA Good Delivery List Refiners Source - Mined  Material (Provided by LBMA) | Russian Federation, Japan, Rwanda, Sierra Leone, Bolivia, India, Canada, Mozambique, Namibia, China, Brazil, Zimbabwe, Australia, Ethiopia, Germany | OJSC Prioksky Non-Ferrous Metals Plant, Kasimov, Prioksky District, Ryazan region, 391303, Russia, Russia, Japan, Rwanda, Sierra Leone, Bolivia, India, Canada, Mozambique, Namibia, China, Brazil, Zimbabwe, Australia, Ethiopia, Germany, Indonesia, Recycled/Scrap, Russian Federation, Japan, Rwanda, Sierra Leone, Bolivia, India, Canada, Mozambique, Namibia, China, Brazil, Zimbabwe, Australia, Ethiopia, Germany, Russian Federation, Japan, Rwanda, Sierra Leone, Bolivia, India, Canada, Mozambique, Namibia, China, Brazil, Zimbabwe, Australia, Germany, Ethiopia, RussiaSiberian And Far Eastern Regions, Russia, Japan, Rwanda, Sierra Leone, Bolivia, India, Canada, Mozambique, Namibia, China, Brazil, Zimbabwe, Australia, Ethiopia, Germany, Indonesia, Recycled/Scrap, Rwanda, Australia, Bolivia, Brazil, Canada, China, Eritrea, Ethiopia, Germany, India, Indonesia, Japan, Mozambique, Namibia, Russia, Sierra Leone, Switzerland, USA, Zimbabwe, Recycled/Scrap, Rwanda, Australia, Bolivia, Brazil, Canada, China, Ethiopia, Germany, India, Indonesia, Japan, Mozambique, Namibia, Russia, Sierra Leone, Zimbabwe, recycled/scrap, Unknown</t>
  </si>
  <si>
    <t>0, Compliant, Compliant Conformant, Conformant, Conformant Smelter, Conformant Smelter according to RMI, last cycle in 30.04.2020 with a cycle of 1 Year, RCOI confirmed per RMI, RCOI confirmed per RMI / LBMA Good Delivery Sourcing, RMAP Conformant</t>
  </si>
  <si>
    <t>CID000197</t>
  </si>
  <si>
    <t>Yunnan Copper Industry Co., Ltd.</t>
  </si>
  <si>
    <t>Kunming, Yunnan, China</t>
  </si>
  <si>
    <t>Kunming</t>
  </si>
  <si>
    <t>Chen Yuexiang, Chen Yuexiang 陈越翔, Chen Yuexiang?</t>
  </si>
  <si>
    <t>gsxcb@163.com</t>
  </si>
  <si>
    <t>Canada, Chile, China, Congo, Democratic Republic of Congo, Japan, Recycled/Scrap, Canada, Chile, China, Japan, recycled/scrap, Canada, China, Chile, Canada, China, Chile, Recycled/Scrap, Japan, DRC, Canada, Chile, China, Japan, Recycled/Scrap, Recycled/Scrap, China, Canada, Chile, Japan, Recycled/Scrap, China, Canada, Chile, Japan, Australia, Brazil, Kazakhstan, Korea, South Africa, Angola, Argentina, Austria, Belgium, Burundi, Cambodia, Central African Republic, Colombia, Congo, Democratic Republic of Congo, Djibouti, Ecuador, Egypt, Estonia, Ethiopia, France, Germany, Ghana, Guinea, Guyana, Hungary, India, Indonesia, Ireland, Israel, Luxembourg, Madagascar, Malaysia, Mali, Mexico, Mongolia, Mozambique, Myanmar, Namibia, Netherlands, Niger, Nigeria, Peru, Portugal, Russian Federation, Rwanda, Sierra Leone, Singapore, Slovakia, South Sudan, Spain, Sudan, Suriname, Switzerland, Taiwan, Tanzania, Thailand, Uganda, United Kingdom, United States, Viet Nam, Zambia, Zimbabwe, Panama, Saudi Arabia, Unknown</t>
  </si>
  <si>
    <t>0, Compliant Conformant</t>
  </si>
  <si>
    <t>CID002491</t>
  </si>
  <si>
    <t>Yunnan Gold Mining Group Co., Ltd. (YGMG)</t>
  </si>
  <si>
    <t>CID002201</t>
  </si>
  <si>
    <t>Zhaojun Maifu</t>
  </si>
  <si>
    <t>CID002205</t>
  </si>
  <si>
    <t>Zhe Jiang Guang Yuan Noble Metal Smelting Factory</t>
  </si>
  <si>
    <t>Zhongyuan Gold Smelter of Zhongjin Gold Corporation</t>
  </si>
  <si>
    <t>Sanmenxia</t>
  </si>
  <si>
    <t>CID002214</t>
  </si>
  <si>
    <t>Zhongkuang Gold Industry Co., Ltd.</t>
  </si>
  <si>
    <t>CID002219</t>
  </si>
  <si>
    <t>Zhongshan Hyper-Toxic Substance Monopolized Co., Ltd.</t>
  </si>
  <si>
    <t>CID002221</t>
  </si>
  <si>
    <t>Zhongshan Poison Material Proprietary Co., Ltd.</t>
  </si>
  <si>
    <t>CID002224</t>
  </si>
  <si>
    <t>Sanmenxia City, Henan, China</t>
  </si>
  <si>
    <t>Gold, Mr.Chen, not available, Ulsan-gwangyeoksi, Unspecified, Wensheng Ren</t>
  </si>
  <si>
    <t>cxw61@yahoo.com.cn, Zhongjin Gold Corporation Limited, zjzx@zjgold.com, zjzyqhb@163.com</t>
  </si>
  <si>
    <t>Conformant-audited by LBMA RG- valid until 07/14/2023, Conformant-audited by LBMA RG- valid until 08/12/2022, NA, no action need, No Action Required as company is RMAP conformant, None, CFS Certified, None; conformant to RMAP protocol, Supplier contacts: hyeju.lee@amkor.com; catherine.pelissonnier@st.com; Infineon Customer Contact @infineon.com;  nutthaphon@focuz-mfg.com; lisa.bjornson@sanmina.com; yushin@harvatek.com; yunhong.wang@refond.com; Ravikumar.Ramachandran@fci.com, Validated by LBMA RG until 01/19/2023, Zhongyuan Gold Smelter of Zhongjin Gold Corporation</t>
  </si>
  <si>
    <t>0, CHINA, From Zhongyuan Gold Smelter of Zhongjin Gold Corporation, From Zhongyuan Gold Smelter of Zhongjin Gold Corporation | RCOI confirmed as per RMI but not disclosed by LBMA, Jiapigou Mining Industry Ltd,Co., NA, No information, Not disclosed by supplier, Not disclosed by supplier | Zhongyuan Gold Smelter of Zhongjin Gold Corporation | Not disclosed per LBMA | Not disclosed | RCOI confirmed as per RMI but not disclosed by LBMA | Some are recycled or scrap sourced but not all. | RECYCLED | Not disclosed by supplier | Not disclosed by  supplier | RCOI confirmed as per CFSI but not disclosed by LBMA | Not disclosed per LBMA | Some are recycled or scrap sourced but not all. | Zhongyuan Gold Smelter of Zhongjin Gold Corporation | Not disclosed | From Zhongyuan Gold Smelter of Zhongjin Gold Corporation | Qinling Gold Mine, Not disclosed per LBMA, Qinling Gold Mine, RCOI confirmed as per RMI., RCOI confirmed per RMI, See aggregated data below for LBMA Good Delivery Sourcing, Unknown, but some recycled/scrap</t>
  </si>
  <si>
    <t>Andorra, Australia, Belgium, Brazil, Burundi, Canada, China, Ethiopia, Germany, Ghana, Hong Kong, Indonesia, Japan, Korea, Malaysia, Mongolia, Mozambique, Myanmar, Peru, Philippines, Recycled/Scrap, Switzerland, Thailand, United Kingdom, United States, Australia, Canada, China, Ethiopia, Germany, Indonesia, Japan, Laos, Mongolia, Mozambique, Philippines, Russia, Switzerland, Thailand, recycled/scrap, Burundi, Rwanda, Tanzania, Uganda, Zambia, Andorra, Australia, Belgium, Brazil, Canada, China, Ethiopia, Germany, Ghana, Guinea, Guyana, Hong Kong, India, Indonesia, Japan, Laos, Malaysia, Mongolia, Mozambique, Myanmar, Namibia, Niger, Nigeria, Peru, Philippines, Republic of Korea, Russia, Switzerland, Thailand, USA, United Kingdom, Zimbabwe, Recycled/Scrap, Canada, Mongolia, Mozambique, China, Philippines, Australia, Thailand, Laos, Switzerland, Germany, Ethiopia, Canada, Mongolia, Mozambique, China, Philippines, Thailand, Australia, Laos, Switzerland, Germany, Ethiopia, Canada, Mongolia, Mozambique, China, Philippines, Thailand, Australia, Switzerland, Laos, Germany, Ethiopia, Canada, Mongolia, Mozambique, Philippines, China, Thailand, Australia, Switzerland, Laos, Ethiopia, Germany, China, China, Recycled/Scrap, Canada, Mongolia, Mozambique, Philippines, Australia, Thailand, Switzerland, Laos, Germany, Ethiopia, Japan, Indonesia, Russia, China, Recycled/Scrap, Canada, Mongolia, Mozambique, Philippines, Australia, Thailand, Switzerland, Laos, Germany, Ethiopia, Japan, Indonesia, Russia | Not disclosed per LBMA | RCOI confirmed per RMI | Myanmar, China, USA, Malaysia, Bolivia, Canada, Belgium, Brazil, Australia, Peru, Ethiopia, Germany, Indonesia, DRC or an adjoining country (Covered Countries), Recycled/Scrap,, CID002224,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Sanmenxia City, Henan, China, LBMA Good Delivery Sourcing based on RMAP-RMI's RCOI data, Mineral sourcing not disclosed by LBMA, Mineral sourcing not disclosed by LBMA | Recycled/Scrap, China, Australia, Canada, Ethiopia, Germany, Switzerland, Mozambique, Mongolia, Philippines, Thailand, Indonesia, Japan, NA, No information, Not disclosed per LBMA, Not disclosed per LBMA | Not disclosed per LBMA (China) | Canada, Mongolia, Mozambique, Philippines, China, Thailand, Australia, Switzerland, Laos, Ethiopia, Germany | Not disclosed | RCOI confirmed as per RMI but not disclosed by LBMA | Baiyin | Excludes Covered Countries | Mineral sourcing L1,R/S, Not disclosed by supplier | RECYCLED | Not disclosed per LBMA | China | Not disclosed per LBMA (China) | RCOI confirmed as per CFSI but not disclosed by LBMA | Canada, Mongolia, Mozambique, Philippines, China, Thailand, Australia, Switzerland, Laos, Ethiopia, Germany | Mineral sourcing L1,R/S, | Known Countries from which LBMA Good Delivery List Refiners Source - Mined  Material (Provided by LBMA) | Canada, Mongolia, Mozambique, Philippines, China, Thailand, Australia, Laos, Switzerland, Ethiopia, Germany | Sanmenxia City, Henan, China | China, RCOI confirmed as per RMI., RCOI confirmed per RMI, Recycled/Scrap, China, Australia, Canada, Ethiopia, Germany, Switzerland, Mozambique, Mongolia, Philippines, Thailand, Indonesia, Japan, the DRC or an adjoining country(covered countries), Unknown</t>
  </si>
  <si>
    <t>Compliant, COMPLIANT 09/22/2015, Compliant Conformant, Conformant, Conformant Smelter, Conformant smelter according to RMI, audit valid until 2022, Conformant Smelter according to RMI, last cycle in 19.01.2021 with a cycle of 1 Year, RCOI confirmed per RMI / LBMA Good Delivery Sourcing, RMAP Conformant, RMAP Conformant Smelter, RMAP Conformant Smelter / RCOI confirmed per RMI</t>
  </si>
  <si>
    <t>CID002231</t>
  </si>
  <si>
    <t>Zhuhai toxic materials Monopoly Ltd.</t>
  </si>
  <si>
    <t>Zhuhai Toxic Materials Monopoly Ltd.</t>
  </si>
  <si>
    <t>Zhuzhou Smelting Group Co., Ltd</t>
  </si>
  <si>
    <t>CID002529</t>
  </si>
  <si>
    <t>Zhuzhou Smelting Group Co., Ltd.</t>
  </si>
  <si>
    <t>CID003926</t>
  </si>
  <si>
    <t>5D Production OU</t>
  </si>
  <si>
    <t>Tallinn</t>
  </si>
  <si>
    <t>CID001776</t>
  </si>
  <si>
    <t>AMG Brasil</t>
  </si>
  <si>
    <t>CID002705</t>
  </si>
  <si>
    <t>Avon Specialty Metals Ltd</t>
  </si>
  <si>
    <t>United Kingdom</t>
  </si>
  <si>
    <t>Gloucester</t>
  </si>
  <si>
    <t>Gloucestershire</t>
  </si>
  <si>
    <t>CID000211</t>
  </si>
  <si>
    <t>Changsha South Tantalum Niobium Co., Ltd.</t>
  </si>
  <si>
    <t>Changsha South Tantalum Niobium Co., Ltd. Dagualing Village, Huangxing Town, Changsha Hunan 410129, China</t>
  </si>
  <si>
    <t>Changsha</t>
  </si>
  <si>
    <t>Ivy Du, Madrid, Comunidad de, NA, Sales</t>
  </si>
  <si>
    <t>ivydu@csnftn.cn, RMI validated, sales@csnftn.cn</t>
  </si>
  <si>
    <t>Conformant, Conformant- Reaudit In Progress, N/A, RMI certified smelter, no action need, No Action Required as company is RMAP conformant, None, CFS Certified, Reaudit In Progress, RMI validated, Supplier contacts: Infineon Customer Contact @infineon.com; yushin@harvatek.com</t>
  </si>
  <si>
    <t>0, INDONESIA | Some are recycled or scrap sourced but not all | Some are recycled or scrap sourced but not all. | Recycled, Scrap | INDONESIA | Some are recycled or scrap sourced but not all | Some are recycled or scrap sourced but not all. | Recycled, Scrap and mines | Recycled, Scrap and mines, L1, R/S, NA, No information, RCOI confirmed per RMI, RCOI confirmed per RMI | Recycled or scrap, and mining not disclosed by supplier | Sourced from Mines/Recyale/Scrap, Recycled or scrap, and mining not disclosed by supplier, Recycled, Scrap and mines, Recycled, Scrap and mines | Some are recycled or scrap sourced but not all, Some are recycled, scrap or covered countries sourced but not all, Some are recycled, scrap or covered countries sourced but not all. | RCOI confirmed per RMI, Some are recycled/scrap sourced but not all., Unknown, but some recycled/scrap</t>
  </si>
  <si>
    <t>Argentina, Australia, Austria, Brazil, Canada, Chile, China, Colombia, Democratic Republic of Congo, Ecuador, Ethiopia, Guyana, India, Malaysia, Mongolia, Mozambique, Myanmar, Namibia, Peru, Portugal, Recycled/Scrap, Russian Federation, Taiwan, Thailand, China, Recycled/Scrap, China, Recycled/Scrap;Recycled/Scrap, China, Brazil, Canada, Australia, Russian Federation, Thailand, Democratic Republic of Congo, Mozambique, India, Ethiopia, Malaysia, Guyana, Namibia, Peru, Colombia, Mongolia, Myanmar, Portugal, Taiwan, Argentina, Austria, Chile, Ecuador, Japan, Belgium, Cambodia, Germany, Hungary, Kazakhstan, Korea, Luxembourg, France, Madagascar, Niger, Nigeria, Sierra Leone, United States, Zimbabwe, Bolivia (Plurinational State of), Guinea, Indonesia, Congo, Ireland, Spain, United Kingdom, Mali, Uzbekistan, Ghana, Egypt, Estonia, Israel, Netherlands, Philippines, Singapore, Slovakia, Suriname, Switzerland, Benin, Eritrea, Mauritania, Nicaragua, Togo, Djibouti, Viet Nam,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Ukraine, United Arab Emirates, Uruguay, Yemen, DRC- Congo (Kinshasa), Canada, Russian Federation, Mozambique, China, Brazil, Australia, Thailand, DRC- Congo (Kinshasa), Canada, Russian Federation, Mozambique, China, Brazil, Thailand, Australia,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DRC, Australia, Brazil, Canada, China, Mozambique, Russia, Thailand, recycled/scrap, Includes Covered Countries, Includes Covered Countries and CAHRA, Includes Covered Countries and CAHRA | RCOI confirmed per RMI | Mineral sourcing LR, R/S based on RMAP-RMI's RCOI data | China, Recycled/Scrap, L1, L2, CC, R/S, L1, L2, CC, R/S | Some are recycled or scrap sourced but not all | DRC- Congo (Kinshasa), Canada, Russian Federation, Mozambique, China, Brazil, Thailand, Australia | the DRC or an adjoining country(covered countries) | Changsha South Tantalum Niobium Co., Ltd. Dagualing Village, Huangxing Town, Changsha Hunan 410129, China | Includes Covered Countries, Mineral sourcing L1, R/S based on RMAP-RMI's RCOI data, Mineral sourcing LR, R/S based on RMAP-RMI's RCOI data, NA, No information, R/S | Excludes Covered Countries | INDONESIA | DRC- Congo (Kinshasa), Canada, Russian Federation, Mozambique, China, Brazil, Australia, Thailand | Some are recycled or scrap sourced but not all | Mineral sourcing L1, R/S | Includes Covered Countries | Mineral sourcing L1,R/S, Not disclosed by supplier | R/S | Excludes Covered Countries | INDONESIA | Some are recycled or scrap sourced but not all | DRC- Congo (Kinshasa), Canada, Russian Federation, Mozambique, China, Brazil, Australia, Thailand | Mineral sourcing L1,R/S, Not disclosed by supplier | L1, L2 | the DRC or an adjoining country(covered countries) | DRC- Congo (Kinshasa), Canada, Russian Federation, Mozambique, China, Brazil, Thailand, Australia | Changsha South Tantalum Niobium Co., Ltd. Dagualing Village, Huangxing Town, Changsha Hunan 410129, China | L1, L2, CC, R/S | Mineral sourcing L1, R/S, not disclosed by supplier, RCOI confirmed per RMI, Recycled/Scrap, China, Brazil, Canada, Australia, Russian Federation, Thailand, Democratic Republic of Congo, Mozambique, Recycled/Scrap, China, Brazil, Canada, Australia, Russian Federation, Thailand, Democratic Republic of Congo, Mozambique, India, Ethiopia, Malaysia, Guyana, Namibia, Peru, Colombia, Mongolia, Myanmar, Portugal, Taiwan, Argentina, Austria, Chile, Ecuador, Japan, Belgium, Cambodia, Germany, Hungary, Kazakhstan, Korea, Luxembourg, France, Madagascar, Niger, Nigeria, Sierra Leone, United States, Zimbabwe, Bolivia (Plurinational State of), Guinea, Indonesia, Congo, Ireland, Spain, United Kingdom, Mali, Uzbekistan, Ghana, Egypt, Estonia, Israel, Netherlands, Philippines, Singapore, Slovakia, Suriname, Switzerland, Benin, Eritrea, Mauritania, Nicaragua, Togo, Djibouti, Viet Nam, Armenia, Azerbaijan, Bahamas, Barbados, Belarus,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Malta, Mauritius, Mexico, Morocco, New Caledonia, New Zealand, Norway, Oman, Pakistan, Panama, Papua New Guinea, Poland, Puerto Rico, Romania, San Marino, Saudi Arabia, Senegal, Serbia, Slovenia, Solomon Islands, Sweden, Tajikistan, Trinidad and Tobago, Tunisia, Turkey, Ukraine, United Arab Emirates, Uruguay, Yemen, Some are recycled, scrap or covered countries sourced but not all, Some are recycled/scrap sourced but not all.</t>
  </si>
  <si>
    <t>Compliant, COMPLIANT 09/22/2015, Compliant Conformant, Conformant, Conformant Smelter, Conformant smelter according to RMI, audit valid until 2021, reassessment in progress, Conformant Smelter according to RMI, last cycle in 24.08.2018 with a cycle of 1 Year, Listed on CFSI Conflict Free Smelter List, Part or all material comes from Covered Country, RCOI confirmed as per RMAP, RCOI confirmed per RMI, RMAP Conformant, RMAP Conformant Smelter, RMAP Conformant Smelter / RCOI confirmed per RMI, RMAP Conformant Smelter/Refiner</t>
  </si>
  <si>
    <t>CID002504</t>
  </si>
  <si>
    <t>D Block Metals, LLC</t>
  </si>
  <si>
    <t>Gastonia</t>
  </si>
  <si>
    <t>North Carolina</t>
  </si>
  <si>
    <t>Craig Hafner, Florida, NA</t>
  </si>
  <si>
    <t>Craig.Hafner@dblockmetals.com, Craig@dblockmetals.com, NA</t>
  </si>
  <si>
    <t>Conformant, Conformant- Reaudit In Progress, N/A, RMI certified smelter, NA, no action need, No Action Required as company is RMAP conformant, None, CFSP Certified, Reaudit In Progress, Supplier contacts: Infineon Customer Contact @infineon.com; theodore.knudson@materion.com; yushin@harvatek.com</t>
  </si>
  <si>
    <t>0, INDONESIA | Some are recycled or scrap sourced but not all. | Some are recycled or scrap sourced but not all | INDONESIA | Some are recycled or scrap sourced but not all | Some are recycled or scrap sourced but not all. | Recycled or Scrap | Recycled, Scrap and mines | Recycled or Scrap | Recycled, Scrap and mines | Recycled, Scrap and mines, not disclosed by supplier, LR, R/S, NA, No information, RCOI confirmed per RMI, Recycled or Scrap, Recycled or scrap, and mining not disclosed by supplier, Recycled, Scrap and mines, Recycled, Scrap and mines | Some are recycled or scrap sourced but not all, Some are recycled, scrap or covered countries sourced but not all, Some are recycled, scrap, covered countries or DRC sourced but not all, Some are recycled, scrap, covered countries or DRC sourced but not all. | RCOI confirmed per RMI, Some are recyled/scrap sourced but not all., Sourced from Mines/Recyale/Scrap | RCOI confirmed per RMI | Recycled or scrap, and mining not disclosed by supplier, Unknown, but some recycled/scrap</t>
  </si>
  <si>
    <t>Argentina, Australia, Austria, Brazil, China, Eritrea, Ethiopia, France, Guyana, India, Indonesia, Madagascar, Malaysia, Namibia, Netherlands, Niger, Nigeria, Philippines, Recycled/Scrap, Russian Federation, Sierra Leone, Thailand, United States, Zimbabwe, DRC or an adjoining country (Covered Countries), Recycled/Scrap, Indonesia, USA, China, Brazil, Ethiopia, DRC or an adjoining country (Covered Countries), Recycled/Scrap, Indonesia, USA, China, Brazil, Ethiopia;Recycled/Scrap, United States, China, Brazil, Ethiopia, Indonesia, Eritrea, Thailand, Netherlands, Philippines, India, Australia, Guyana, Malaysia, Namibia, Niger, Nigeria, Sierra Leone, Zimbabwe, France, Madagascar, Russian Federation, Argentina, Austria, Canada, Germany, Japan, Peru, Spain, Mongolia, Portugal, Belgium, Cambodia, Chile, Colombia, Ecuador, Egypt, Estonia, Hungary, Ireland, Israel, Kazakhstan, Korea, Luxembourg, Myanmar, Singapore, Slovakia, Suriname, Switzerland, United Kingdom, Djibouti, Guinea, Bolivia (Plurinational State of), Angola, Burundi, Central African Republic, Rwanda, South Sudan, Sudan, Tanzania, Uganda, Zambia, Taiwan, Viet Nam, Ghana, Mexico, Mozambique, Armenia, Azerbaijan, Bahamas, Barbados, Belarus, Benin, Bosnia and Herzegovina, Botswana, Bulgaria, Burkina Faso, Cameroon, Croatia, Cyprus, Denmark, Dominica, Dominican Republic, El Salvador, Fiji, Finland, Gabon, Gambia, Georgia, Greece, Guatemala, Honduras, Hong Kong, Iceland, Iran, Italy,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Sweden, Tajikistan, Togo, Trinidad and Tobago, Tunisia, Turkey, Ukraine, United Arab Emirates, Uruguay, Uzbekistan, Yemen,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 INDONESIA | United States | RCOI confirmed as per CFSI | L1, L3, DRC, R/S | Some are recycled or scrap sourced but not all | Includes Covered Countries | Excludes Covered Countries | INDONESIA | Some are recycled or scrap sourced but not all | United States | RCOI confirmed as per CFSI | L1, L3, DRC, R/S | Does not source from DRC or covered countries | Mineral sourcing L1,R/S, not disclosed by supplier | Recycled or Scrap | 1111 Jenkins Road, Gastonia NC | L1, CC, DRC, R/S | Mineral sourcing L1,R/S, not disclosed by RMI, Includes Covered Countries, Includes Covered Countries and CAHRA, Includes Covered Countries and CAHRA | DRC or an adjoining country (Covered Countries), Recycled/Scrap, Indonesia, USA, China, Brazil, Ethiopia | RCOI confirmed per RMI | Mineral sourcing LR, R/S based on RMAP-RMI's RCOI data, L1, CC, DRC, R/S | Some are recycled or scrap sourced but not all | 1111 Jenkins Road, Gastonia NC | Includes Covered Countries, LR, CC, DRC, R/S, Mineral sourcing LR, R/S based on RMAP-RMI's RCOI data, NA, No information, R/S, RCOI confirmed per RMI, Recycled/Scrap, United States, China, Brazil, Ethiopia, Indonesia, Some are recycled, scrap, covered countries or DRC sourced but not all, Some are recyled/scrap sourced but not all., United States, Unspecified covered country, Brazil, China, Ethiopia, Indonesia, USA, recycled/scrap</t>
  </si>
  <si>
    <t>Compliant, Compliant Conformant, Conformant, Conformant Smelter, Conformant smelter according to RMI, audit valid until 2021, reassessment in progress, Conformant Smelter according to RMI, last cycle in 30.05.2019 with a cycle of 1 Year, Listed on CFSI Conflict Free Smelter List, Part or all material comes from Covered Country, RCOI confirmed as per RMAP, RCOI confirmed per RMI, RMAP Conformant, RMAP Conformant Smelter, RMAP Conformant Smelter / RCOI confirmed per RMI</t>
  </si>
  <si>
    <t>Exotech Inc.</t>
  </si>
  <si>
    <t>Pompano Beach</t>
  </si>
  <si>
    <t>CID002544</t>
  </si>
  <si>
    <t>H.C. Starck Co., Ltd.</t>
  </si>
  <si>
    <t>CID000616</t>
  </si>
  <si>
    <t>Guangdong Zhiyuan New Material Co., Ltd.</t>
  </si>
  <si>
    <t>CID002501</t>
  </si>
  <si>
    <t>Guizhou Zhenhua Xinyun Technology Ltd., Kaili branch</t>
  </si>
  <si>
    <t>Kaili</t>
  </si>
  <si>
    <t>Guizhou</t>
  </si>
  <si>
    <t>DE</t>
  </si>
  <si>
    <t>CID002547</t>
  </si>
  <si>
    <t>QSIL Metals Hermsdorf GmbH</t>
  </si>
  <si>
    <t>H.C. Starck Hermsdorf GmbH</t>
  </si>
  <si>
    <t>Robert-Friese-Straße 4, 07629 Hermsdorf</t>
  </si>
  <si>
    <t>Hermsdorf</t>
  </si>
  <si>
    <t>Thüringen</t>
  </si>
  <si>
    <t>Frank Habig, Frank Habig, Mandy von der Goenne, Île-de-France, Mandy von der Goenne, NA</t>
  </si>
  <si>
    <t>Frank.Habig@hcstarck.com, frank.habig@hcstark.com, frank.habig@hcstark.com; mandy.vondergoenne@hcstarck.com, mandy.vondergoenne@hcstarck.com, mandy.vondergoenne@taniobis.com, NA</t>
  </si>
  <si>
    <t>Conformant-audited by RMI (members / partners)- valid until 01/20/2023, N/A, CFS certified smelter., NA, no action need, No Action Required as company is RMAP conformant, None, CFS Certified, Supplier contacts: Infineon Customer Contact @infineon.com; yushin@harvatek.com, Validated by RMI until 11/25/2022</t>
  </si>
  <si>
    <t>0, From Sites ENAG &amp;amp; Rhina, From Sites ENAG &amp;amp; Rhina | RCOI Confirmed as per RMI, Global Supply Chain, LR, R/S, NA, No information, PHILIPPINES | Not disclosed by supplier | Raw material is sourced from multiple conflict-free mines globally. Industry standard traceability schemes and other information sources are utilzed. Names and locations of all mines are disclosed to the auditor during the CSI audit. | RCOI confirmed as per RMI | From Raw material is sourced from multiple conflict-free mines globally. Industry standard traceability schemes and other information sources are utilzed. Names and locations of all mines are disclosed to the auditor during the CSI audit. | PHILIPPINES | | From Sites ENAG &amp;amp; Rhina | RCOI Confirmed as per RMI, RCOI confirmed per RMI, Recycled and scrap, and mines not disclosed by supplier, Sites Enag &amp;amp; Rhina, Recycled/Scrap, Multiple Locations, Some are recycled, scrap, covered countries or DRC sourced but not all, Some are recycled, scrap, covered countries or DRC sourced but not all. | RCOI confirmed per RMI, Some are recyled/scrap sourced but not all., Sourced from Mines/Recyale/Scrap | RCOI confirmed per RMI | Recycled or scrap, and mining not disclosed by supplier, Unknown, but some recycled/scrap</t>
  </si>
  <si>
    <t>Argentina, Australia, Austria, Belgium, Brazil, Burundi, Cambodia, Canada, Chile, China, Colombia, Democratic Republic of Congo, Ecuador, Ethiopia, Germany, Guyana, Hungary, India, Japan, Kazakhstan, Korea, Luxembourg, Malaysia, Mongolia, Mozambique, Myanmar, Namibia, Niger, Nigeria, Portugal, Recycled/Scrap, Rwanda, Sierra Leone, Taiwan, Zimbabwe, 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 DRC- Congo (Kinshasa), Myanmar, Cambodia, Malaysia, Kazakhstan, Portugal, Austria, Mongolia, Mozambique, Luxembourg, Korea, Republic of, Brazil, Guyana, Chile, Laos, Ecuador, Colombia, Argentina, Hungary, Japan, India, Canada, Belgium, Namibia, Taiwan, Peru, Germany, Ethiopia, Burundi, Russian Federation, Singapore, Viet Nam, United States, Egypt, Madagascar, Sierra Leone, Ivory Coast, Bolivia, Thailand, Netherlands, Ireland, China, Slovakia, France, Nigeria, Rwanda, United Kingdom, Switzerland, Spain, Djibouti, Czech Republic, Zimbabwe, Suriname, Israel, Australia, Estonia, Indonesia, DRC- Congo (Kinshasa), Myanmar, Cambodia, Malaysia, Kazakhstan, Portugal, Austria, Mongolia, Mozambique, Luxembourg, Korea, Republic of, Guyana, Brazil, Chile, Laos, Ecuador, Colombia, Argentina, Hungary, Japan, India, Canada, Belgium, Namibia, Taiwan, Peru, Ethiopia, Germany, Burundi, Russian Federation, Singapore, Viet Nam, United States, Egypt, Madagascar, Sierra Leone, Ivory Coast, Thailand, Bolivia, Netherlands, China, Ireland, Slovakia, Nigeria, France, Rwanda, United Kingdom, Switzerland, Spain, Djibouti, Czech Republic, Zimbabwe, Suriname, Israel, Australia, Estonia, Indonesia, DRC- Congo (Kinshasa), Myanmar, Cambodia, Malaysia, Kazakhstan, Portugal, Mongolia, Austria, Mozambique, Luxembourg, Brazil, Korea, Republic of, Guyana, Chile, Laos, Ecuador, Colombia, Argentina, Hungary, Japan, India, Canada, Belgium, Namibia, Taiwan, Peru, Ethiopia, Germany, Burundi, Russian Federation, Viet Nam, Singapore, United States, Egypt, Sierra Leone, Madagascar, Ivory Coast, Bolivia, Thailand, Netherlands, China, Ireland, Slovakia, France, Nigeria, Rwanda, United Kingdom, Switzerland, Spain, Djibouti, Czech Republic, Zimbabwe, Suriname, Israel, Australia, Indonesia, Estonia, DRC- Congo (Kinshasa), Myanmar, Cambodia, Malaysia, Kazakhstan, Portugal, Mongolia, Austria, Mozambique, Luxembourg, Korea, Republic of, Guyana, Brazil, Chile, Laos, Ecuador, Colombia, Argentina, Hungary, Japan, India, Canada, Belgium, Namibia, Taiwan, Peru, Ethiopia, Germany, Russian Federation, Burundi, Singapore, Viet Nam, United States, Egypt, Madagascar, Sierra Leone, Ivory Coast, Thailand, Bolivia, Netherlands, China, Ireland, Slovakia, Nigeria, France, Rwanda, United Kingdom, Switzerland, Spain, Djibouti, Czech Republic, Zimbabwe, Suriname, Israel, Australia, Estonia, Indonesia, DRC, Burundi, Rwanda,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Mozambique, Myanmar, Namibia, Netherlands, Nigeria, Peru, Philippines, Portugal, Republic of Korea, Russia, Sierra Leone, Singapore, Slovakia, Spain, Suriname, Switzerland, Taiwan, Thailand, United Kingdom, USA, Vietnam, Zimbabwe, recycled/scrap, DRC, Burundi, Rwanda, Tanzania, Uganda, Zambia, Andorra, Argentina, Aruba, Australia, Austria, Belgium, Bermuda, Bolivia, Brazil, Cambodia, Canada, Chile, China, Colombia, Djibouti, Ecuador, Egypt, Eritrea, Estonia, Ethiopia, France, Germany, Ghana, Guinea, Guyana, Hong Kong, Hungary, India, Indonesia, Ireland, Israel, Ivory Coast, Japan, Kazakhstan, Laos, Luxembourg, Madagascar, Malaysia, Mexico, Mongolia, Mozambique, Myanmar, Namibia, Netherlands, Niger, Nigeria, Panama, Peru, Philippines, Portugal, Republic of Korea, Russia, Sierra Leone, Singapore, Slovakia, Spain, Suriname, Switzerland, Taiwan, Thailand, USA, United Kingdom, Uzbekistan, Vietnam, Zimbabwe, Recycled/Scrap, Excludes Covered Countries and CAHRA, Includes Covered Countries, Includes Covered Countries and CAHRA, Includes Covered Countries and CAHRA | Australia, Bolivia, Brazil, Burundi, DRC or an adjoining country (Covered Countries), Ethiopia, India, Mozambique, Namibia, Nigeria, Rwanda, Sierra Leone, Zimbabwe, Myanmar, Cambodia, Malaysia, Kazakhstan, Portugal, Austria, Mongolia, Luxembourg, Republic | RCOI confirmed per RMI | Mineral R/S and mineral sourcing not disclosed | Excludes Covered Countries and CAHRA, L1, R/S, L1, R/S | Excludes Covered Countries | PHILIPPINES | DRC- Congo (Kinshasa), Myanmar, Cambodia, Malaysia, Kazakhstan, Portugal, Mongolia, Austria, Mozambique, Luxembourg, Brazil, Guyana, Korea, Republic of, Chile, Laos, Colombia, Ecuador, Argentina, Hungary, Japan, India, Canada, Belgium, Namibia, Taiwan, Pe | L1 | Australia, Bolivia, Brazil, Burundi, Democratic Republic of Congo, Ethiopia, India, Mozambique, Namibia, Nigeria, Rwanda, Sierra Leone, Zimbabwe | RCOI confirmed as per RMI | Mineral sourcing L1,R/S, Not disclosed by supplier | L1, R/S | L1,R/S | Excludes Covered Countries | PHILIPPINES | RCOI confirmed as per CFSI | DRC- Congo (Kinshasa), Myanmar, Cambodia, Malaysia, Kazakhstan, Portugal, Mongolia, Austria, Mozambique, Luxembourg, Brazil, Guyana, Korea, Republic of, Chile, Laos | the DRC or an adjoining country(covered countries) | DRC- Congo (Kinshasa), Myanmar, Cambodia, Malaysia, Kazakhstan, Portugal, Mongolia, Austria, Mozambique, Luxembourg, Guyana, Korea, Republic of, Brazil, Chile, Laos, Ecuador, Colombia, Argentina, Hungary, Japan, India, Canada, Belgium, Namibia, Taiwan, Pe | Robert-Friese-Straße 4, 07629 Hermsdorf | Unknown. The smelter refused to disclose its COI publicly. | Mineral sourcing LR, not disclosed by RMI | RCOI Confirmed as per RMI, L1, R/S | RCOI Confirmed as per RMI | DRC- Congo (Kinshasa), Myanmar, Cambodia, Malaysia, Kazakhstan, Portugal, Mongolia, Austria, Mozambique, Luxembourg, Guyana, Brazil, Korea, Republic of, Chile, Laos, Colombia, Ecuador, Argentina, Hungary, Japan, India, Canada, Belgium, Namibia, Taiwan, Pe | the DRC or an adjoining country(covered countries) | Robert-Friese-Straße 4, 07629 Hermsdorf, Mineral sourcing LR, R/S based on RMAP-RMI's RCOI data, NA, No information, R/S, RCOI confirmed per RMI, Recycled/Scrap, Germany, Brazil, India, Namibia, Mozambique, Japan, Malaysia, Austria, Guyana, Portugal, Cambodia, Kazakhstan, Myanmar, Chile, Mongolia, Argentina, Luxembourg, Colombia, Ecuador, Korea, Canada, Hungary, Belgium, Australia, China, Niger, Nigeria, Zimbabwe, Ethiopia, Sierra Leone, Burundi, Rwanda, Thailand, United States, France, Madagascar, Peru, Indonesia, Spain, Egypt, Ireland, Netherlands, Singapore, Slovakia, Suriname, Djibouti, Estonia, Israel, Switzerland, United Kingdom, Philippines, Taiwan, Democratic Republic of Congo, Russian Federation, Viet Nam, Some are recycled, scrap, covered countries or DRC sourced but not all, Some are recyled/scrap sourced but not all.</t>
  </si>
  <si>
    <t>Compliant, COMPLIANT 09/22/2015, Compliant Conformant, Conformant, Conformant Smelter, Conformant smelter according to RMI, audit valid until 2021, reassessment in progress, Conformant Smelter according to RMI, last cycle in 25.11.2020 with a cycle of 1 Year, Listed on CFSI Conflict Free Smelter List, RCOI confirmed per RMI, RMAP certified Conflict Free. Some material sourced from the covered countries., RMAP Conformant, RMAP Conformant Smelter, RMAP Conformant Smelter / RCOI confirmed per RMI</t>
  </si>
  <si>
    <t>CID002232</t>
  </si>
  <si>
    <t>zccc@chinacarbide.com</t>
  </si>
  <si>
    <t>CID002703</t>
  </si>
  <si>
    <t>An Vinh Joint Stock Mineral Processing Company</t>
  </si>
  <si>
    <t>DZUNG NGUYEN</t>
  </si>
  <si>
    <t>TRUNGDUNG20071986@GMAIL.COM</t>
  </si>
  <si>
    <t>Brazil, Namibia, Recycled/Scrap, Turkey, Viet Nam, Brazil, Namibia, Turkey, Vietnam, Recycled/Scrap, Brazil, Turkey, Vietnam, recycled/scrap, Recycled/Scrap, Turkey, Brazil, Viet Nam, Recycled/Scrap, Turkey, Brazil, Viet Nam, Namibia, Australia, Italy, Japan, Mexico, China, Turkey, Viet Nam, Brazil, Turkey, Vietnam, Brazil, Recycled/Scrap, Vietnam,, Unknown, Viet Nam, Turkey, Brazil</t>
  </si>
  <si>
    <t>CID002844</t>
  </si>
  <si>
    <t>HuiChang Hill Tin Industry Co., Ltd.</t>
  </si>
  <si>
    <t>Jiu Er Industrial Area, Jun Men Ling Town, HuiChang County, Ganzhou City, Jiangxi Province, China</t>
  </si>
  <si>
    <t>Ika, Mr. Peng Xu, Peng Xu, Tin</t>
  </si>
  <si>
    <t>470977527@qq.com, HuiChang Hill Tin Industry Co., Ltd.</t>
  </si>
  <si>
    <t>Conformant, HuiChang Hill Tin Industry Co., Ltd., No Action Required as company is RMAP conformant, None, CFS Certified, Supplier contacts: catherine.pelissonnier@st.com; yushin@harvatek.com; Emily_Hsieh@epistar.com, Validated by RMI until 05/17/2022</t>
  </si>
  <si>
    <t>0, CHINA, Excludes Covered Countries, L1, Not disclosed by supplier, Not disclosed by supplier | RCOI confirmed as per RMI | Excludes Covered Countries, RCOI confirmed as per RMI., RCOI confirmed per RMI, Unknown, Unknown, but some recycled/scrap</t>
  </si>
  <si>
    <t>China, China, Recycled/Scrap, Brazil, Australia, Russian Federation, Thailand, Canada, Democratic Republic of Congo, Mozambique, Colombia, Ethiopia, France, Indonesia, Ireland, Madagascar, Malaysia, Mali, Mongolia, Myanmar, Niger, Nigeria, Peru, Portugal, Sierra Leone, Spain, Taiwan, United Kingdom, United States, Uzbekistan, Ghana, Turkey, Argentina, Austria, Benin, Bolivia (Plurinational State of), Chile, Ecuador, Eritrea, Guinea, India, Japan, Mauritania, Nicaragua, Togo, CID002844, DRC, Argentina, Australia, Austria, Benin, Bolivia, Brazil, Canada, Chile, China, Colombia, Ecuador, Eritrea, Ethiopia, France, Ghana, Guinea, India, Indonesia, Ireland, Japan, Madagascar, Malaysia, Mali, Mauritania, Mongolia, Mozambique, Myanmar, Nicaragua, Niger, Nigeria, Peru, Portugal, Russia, Sierra Leone, Spain, Taiwan, Thailand, Togo, Turkey, USA, United Kingdom, Uzbekistan, Recycled/Scrap, Excludes Covered Countries, Excludes Covered Countries and CAHRA, L1 | RCOI confirmed as per RMI | No known country of origin | Not Available | Excludes Covered Countries, Mineral sourcing L1 based on RMAP-RMI's RCOI data, No known country of origin, RCOI confirmed as per RMI., RCOI confirmed per RMI</t>
  </si>
  <si>
    <t>Compliant, Compliant Conformant, Conformant, Conformant Smelter, Conformant smelter according to RMI, audit valid until 2022, Conformant Smelter according to RMI, last cycle in 17.05.2019 with a cycle of 3 Years, RCOI confirmed per RMI, RMAP Conformant</t>
  </si>
  <si>
    <t>CID001231</t>
  </si>
  <si>
    <t>Nankang Nanshan Tin Manufactory Co., Ltd.</t>
  </si>
  <si>
    <t>Jiangxi New Nanshan Technology Ltd.</t>
  </si>
  <si>
    <t>Jiangxi Yaosheng Tungsten Co., Ltd.</t>
  </si>
  <si>
    <t>Kai Unita Trade Limited Liability Company</t>
  </si>
  <si>
    <t>CID003047</t>
  </si>
  <si>
    <t>KARAS PLATING LTD</t>
  </si>
  <si>
    <t>CID002574</t>
  </si>
  <si>
    <t>Tuyen Quang Non-Ferrous Metals Joint Stock Company</t>
  </si>
  <si>
    <t>178, Binh Thuan Street, 27th neighbourhood, Tan Quang Ward, Tuyen Quang City, Tuyen Quang Province, Vietnam</t>
  </si>
  <si>
    <t>Tan Quang</t>
  </si>
  <si>
    <t>Tuyên Quang</t>
  </si>
  <si>
    <t>Duong Quoc Hien</t>
  </si>
  <si>
    <t>duonghientqc@yahoo.com</t>
  </si>
  <si>
    <t xml:space="preserve">Andorra, Argentina, Australia, Austria, Belgium, Brazil, China, Indonesia, Namibia, Thailand, Vietnam, Recycled/Scrap, Indonesia, Namibia, Recycled/Scrap, Viet Nam, Indonesia, Viet Nam, Indonesia, Viet Nam, Namibia, China, Thailand, Andorra, Recycled/Scrap, Argentina, Australia, Austria, Belgium, Brazil, Cambodia, Canada, Chile, Colombia, Djibouti, Ecuador, Egypt, Estonia, Ethiopia, France, Germany, Guyana, Hungary, India, Ireland, Israel, Japan, Kazakhstan, Korea, Luxembourg, Madagascar, Malaysia, Mongolia, Myanmar, Netherlands, Niger, Nigeria, Peru, Portugal, Sierra Leone, Singapore, Slovakia, Spain, Suriname, Switzerland, Turkey, United Arab Emirates, United Kingdom, United States, Zimbabwe, Indonesia, Vietnam, Unknown, Viet Nam, Indonesia, Vietnam, Indonesia, Vietnam, </t>
  </si>
  <si>
    <t>CID001981</t>
  </si>
  <si>
    <t>CID001984</t>
  </si>
  <si>
    <t>UNI BROS METAL PTE LTD</t>
  </si>
  <si>
    <t>CID001986</t>
  </si>
  <si>
    <t>UNIFORCE METAL INDUSTRIAL CORP.</t>
  </si>
  <si>
    <t>CID001997</t>
  </si>
  <si>
    <t>Univertical International (Suzhou) Co., Ltd</t>
  </si>
  <si>
    <t>CID001998</t>
  </si>
  <si>
    <t>Untracore Co., Ltd.</t>
  </si>
  <si>
    <t>CID002015</t>
  </si>
  <si>
    <t>VQB Mineral and Trading Group JSC</t>
  </si>
  <si>
    <t>Hanoi</t>
  </si>
  <si>
    <t>Ha Noi</t>
  </si>
  <si>
    <t>0, Tran Thi Phuong Dung</t>
  </si>
  <si>
    <t>0, vqbgroup.en.ecplaza.net</t>
  </si>
  <si>
    <t>Australia, Brazil, China, Congo, Democratic Republic of Congo, Indonesia, Japan, Malaysia, Morocco, Myanmar, Namibia, Peru, Portugal, Recycled/Scrap, Rwanda, Viet Nam, DRC- Congo (Kinshasa), Viet Nam, China, Japan, Malaysia, Peru, Indonesia, DRC- Congo (Kinshasa), Viet Nam, Japan, China, Malaysia, Peru, Indonesia, DRC, Rwanda, Australia, Brazil, China, Indonesia, Japan, Malaysia, Morocco, Myanmar, Namibia, Peru, Portugal, Vietnam, Recycled/Scrap, Due diligence results pending, Recycled/Scrap, Recycled/Scrap, China, Indonesia, Peru, Japan, Malaysia, Australia, Brazil, Morocco, Myanmar, Portugal, Rwanda, Viet Nam, Democratic Republic of Congo, Congo, Namibia, Rwanda, Australia, Bolivia, Brazil, China, Indonesia, Japan, Laos, Malaysia, Morocco, Myanmar, Peru, Portugal, Vietnam, recycled/scrap, Unknown</t>
  </si>
  <si>
    <t>CID002027</t>
  </si>
  <si>
    <t>WELLEY</t>
  </si>
  <si>
    <t>Welley</t>
  </si>
  <si>
    <t>CID002158</t>
  </si>
  <si>
    <t>Yunnan ride non-ferrous metal co., LTD</t>
  </si>
  <si>
    <t>Yunnan Chengfeng Non-ferrous Metals Co., Ltd.</t>
  </si>
  <si>
    <t>Datun, Gejiu City, Yunnan, China P.R.</t>
  </si>
  <si>
    <t>Jianyun Pu
Mr. Zhou Xiaobin
YANG Hongju, LIU, Mr tan, Mr. Zhou Xiaobin, Ms. Yang Hongju, NA, not available, Tin, Wu Junjie, YANG Hongju, yhtin@ythin.cn, Zhou Xiaobin</t>
  </si>
  <si>
    <t>530426080@qq.com, gdaoling@163.com, NA, not available, unkown, xzb4495@sina.com, yhtin@ythin.cn, yhtin_SZ@163.com, Yunnan Chengfeng Non-ferrous Metals Co., Ltd., yunnan_tin@126.com, yunnansh@126.com
zxb4495@sina.com
530426080@qq.com, zxb4495@sina.com</t>
  </si>
  <si>
    <t>/, Conformant-Reaudit In Progress, DaTun tin, http://www.responsiblemineralsinitiative.org/tin-conformant-smelters/                                                                                                            Conflict-Free Smelter Audit Review Committee (ARC) reviewed.
Yunnan Chengfeng Non-ferrous Metals Co., Ltd.  is compliant with the RMI Program Supply Chain Transparency Smelter Audit Protocol. , NA, no action need, No Action Required as company is RMAP conformant, NONE , None, CFS certified, Reaudit In Progress, RMAP Compliant Smelter, Supplier contacts: hyeju.lee@amkor.com; catherine.pelissonnier@st.com; oh-dongho@auk.co.kr; Infineon Customer Contact @infineon.com; Ronniet@ictzh.com.cn; zhangaimei@3lcoil.com; lisa.bjornson@sanmina.com; theodore.knudson@materion.com; yushin@harvatek.com; andreas.schwender@saxonia-tm.de; Emily_Hsieh@epistar.com; cindy.dodd@avx.com; t.gruber@ats.net; zenglan.fei@wlcsp.com; Ravikumar.Ramachandran@fci.com; oh-dongho@auk.co.kr, Yunnan Chengfeng Non-ferrous Metals Co., Ltd.</t>
  </si>
  <si>
    <t xml:space="preserve">0, Chang Feng, Gejiu Yunnan, Yunnan WuChang Ping Tin, Tin Chenzhou Mining and Metallurgy Co., Ltd., Yunnan Tin Company Limited; Gejiu Laochang Tin Mine, Song Shujiao Tin, Card Room Branch Yunnan Tin Co., Ltd., Yunnan Tin Company Limited Datun Old Factory Branch, and recycled/scrap, CHENG FENG, CHINA, Concentrate Tin, From Gejiu datun, Gejiu Yunnan, Hongtupo, Datun Town, Gejiu City, Yunnan Province, NA, No information, own concession mining areas | Yunnan Gejiu | Sourced from Mines/Recyale/Scrap | RCOI confirmed per RMI | Yunnan Non-ferrous | CHENG FENG, RCOI confirmed as per RMI, RCOI confirmed as per RMI., RCOI confirmed per RMI, Recycle, Recycled | 冶炼路1号 | RCOI confirmed per CFSI. | Gejiu Industry | Some are recycled or scrap sourced but not all | Gejiu, Yunnan | Geiju Mine | Gejiu Non-Ferrous | Recycled | Some are recycled or scrap sourced but not all | RCOI confirmed per CFSI. | Concentrate Tin | Hongtupo | Gejiu Industry | 冶炼路1号 | 云南乘风有色金属股份有限公司 | Recycled, Scrap and mines from Yunnan tin | Concentrate Tin | Recycled, Scrap and mines from Yunnan tin | Recycled, Scrap and mines from Cheng Feng, Gejiu Yunnan and Yunnan tin | Hongtupo | RCOI confirmed per RMI. | RCOI confirmed as per RMI, Recycled, Scrap and mines from Yunnan tin, Recycled, Scrap and mines from Yunnan tin | RCOI confirmed as per RMI, Songshujiao Tin Mine, Laochang Tin Mine, Recycled/Scrap, Private Mines In The Ariquemes Rondonia Region of Brazil, Geiju Mine, Yunnan Tin Mine, Yunnan Gejiu </t>
  </si>
  <si>
    <t>0, Argentina, Australia, Brazil, Chile, China, Germany, India, Indonesia, Ireland, Japan, Malaysia, Mongolia, Myanmar, Niger, Nigeria, Peru, Portugal, Recycled/Scrap, Russian Federation, Singapore, Thailand, United Kingdom, United States, Viet Nam, Zimbabwe, Burundi, Rwanda, Uganda, Andorra, Argentina, Australia, Austria, Belgium, Benin, Bolivia, Brazil, Cambodia, Canada, Chile, China, Colombia, Djibouti, Ecuador, Egypt, Eritrea, Estonia, Ethiopia, France, Germany, Ghana, Guinea, Guyana, Hungary, India, Indonesia, Ireland, Israel, Japan, Kazakhstan, Luxembourg, Madagascar, Malaysia, Mali, Mauritania, Mexico, Mongolia, Myanmar, Namibia, Netherlands, Nicaragua, Niger, Nigeria, Peru, Portugal, Republic of Korea, Russia, Sierra Leone, Singapore, Slovakia, South Africa, Spain, Suriname, Switzerland, Taiwan, Thailand, Togo, USA, United Kingdom, Uzbekistan, Vietnam, Zimbabwe, Recycled/Scrap, China , CHINA | Excludes Covered Countries and CAHRA | From China | Argentina, Australia, Brazil, Chile, China, Germany, India, Indonesia, Ireland, Japan, Malaysia, Mongolia, Myanmar, Niger, Nigeria, Peru, Portugal, Recycled/Scrap, Russian Federation, Singapore, Thailand, United Kingdom, United States, Viet Nam, Zimbabwe | the DRC or an adjoining country(covered countries) | Recycled/Scrap, Singapore, China, Myanmar, India, Brazil, USA | RCOI confirmed per RMI | Gejiu | China, CID002158, Excludes Covered Countries, Excludes Covered Countries and CAHRA, From China, L1, L1 | RCOI confirmed as per RMI | Recycle/Scrap, Singapore, China | Not Available | Datun, Gejiu City, Yunnan, China P.R. | Excludes Covered Countries, Level 1 countries i.e. Indonesia,South America, South East Asia countries. Level 3 countries i.e. DRC and adjoined countries (including the Democratic Republic of the Congo (DRC), Rwanda, Uganda and Burundi, Mineral sourcing L1, from China, No information, Not disclosed | China | - | L1, R/S | Recycle/Scrap, Singapore, China | 中国 | RCOI confirmed per CFSI. | Some are recycled or scrap sourced but not all | Excludes Covered Countries | Not disclosed | China | recvcled | - | L1, R/S | Some are recycled or scrap sourced but not all | Recycle/Scrap, Singapore, China | RCOI confirmed per CFSI. | Excludes Covered Countries | Does not source from DRC or covered countries | 中国 | 云南乘风有色金属股份有限公司 | Datun, Gejiu City, Yunnan, China P.R. | RCOI confirmed as per RMI | L1 | Mineral sourcing L1, R/S, China | CHINA | No | RCOI confirmed per RMI. | Not Available, RCOI confirmed as per RMI, RCOI confirmed as per RMI., RCOI confirmed per RMI, Recycle, Recycle/Scrap, Singapore, China, Recycled/Scrap, China, Singapore, Brazil, Myanmar, United States, India, Recycled/Scrap, Singapore, China, Myanmar, India, Brazil, USA, Recycled/Scrap, Singapore, China, Myanmar, India, Brazil, USA | China | RCOI confirmed per RMI | NO | Singapore, China, USA, Japan, Uzbekistan, United Kingdom, Malaysia, Bolivia, Switzerland, Canada, Belgium, South Africa, Mexico, Australia, Chile, Indonesia, Recycled/Scrap, Peru | Excludes Covered Countries and CAHRA, the DRC or an adjoining country(covered countries), Unspecified covered country, Australia, Belgium, Bolivia, Brazil, Canada, China, Ethiopia, Germany, Hong Kong, Indonesia, Malaysia, Myanmar, Peru, USA, recycled/scrap, 报废</t>
  </si>
  <si>
    <t>No, No information, RMI, Unknown, yes</t>
  </si>
  <si>
    <t>ACTIVE 09/22/2015, Compliant, Compliant Conformant, Conformant, Conformant Smelter, Conformant smelter according to RMI, audit valid until 2019, reassessment in progress, Conformant Smelter according to RMI, last cycle in 12.12.2018 with a cycle of 1 Year, Listed on the CFSP Compliant Smelter list, RCOI confirmed per RMI, RMAP Conformant, RMAP Conformant Smelter, RMAP Conformant Smelter / RCOI confirmed per RMI, This smelter is RMI Conformant.
http://www.responsiblemineralsinitiative.org/tin-smelters-list/, Yes,Compliant with the RMI Program Supply Chain  Smelter</t>
  </si>
  <si>
    <t>CID000875</t>
  </si>
  <si>
    <t>Jiangxi Tungsten Industry Group Co. Ltd.</t>
  </si>
  <si>
    <t>Ganzhou Huaxing Tungsten Products Co., Ltd.</t>
  </si>
  <si>
    <t>CID000568</t>
  </si>
  <si>
    <t>GTP</t>
  </si>
  <si>
    <t>Global Tungsten &amp; Powders Corp.</t>
  </si>
  <si>
    <t>1 Hawes St, Towanda, PA 18848, USA
2. Bldg. #2 22 E 7th St, Watsontown, PA, USA</t>
  </si>
  <si>
    <t>Conflidential, Cristian A. Kommer, Karin Laursen, Karin Laursen, Melissa Risch, Kepulauan Bangka Belitung, LinZhou, Robert Chen</t>
  </si>
  <si>
    <t>Confidential, cristian.kommer@globaltungsten.com, jwstk@jxtc.com, karin.laursen@globaltungsten.com, karin.laursen@globaltungsten.com, melissa.risch@globaltungsten.com, Robert.Chen@globaltungsten.com</t>
  </si>
  <si>
    <t>-, Conformant, Conformant-Reaudit In Progress, NA, no action need, No Action Required as company is RMAP conformant, None, CFS Certified, Reaudit In Progress, Supplier contacts: hyeju.lee@amkor.com; catherine.pelissonnier@st.com; ehs@xfab.com; Infineon Customer Contact @infineon.com; joanne.ambat@nepeshayyim.com;  nutthaphon@focuz-mfg.com; cammmh@towersemi.com; lisa.bjornson@sanmina.com; theodore.knudson@materion.com; yushin@harvatek.com; christian.frei@eu.umicore.com; cindy.dodd@avx.com; kalentang@apt-hk.com; t.gruber@ats.net</t>
  </si>
  <si>
    <t>0, Ganzhou Haixin Tungsten Product Ltd and recycled/scrap, GERMANY | Not disclosed by supplier | RCOI Confirmed as per CSFI | Towanda | Some are recycled or scrap sourced but not all | Some are recycled or scrap sourced but not all. | Some are recycled or scrap sourced but not all, from Various mines | GERMANY | Some are recycled or scrap sourced but not all | Some are recycled or scrap sourced but not all. | Not disclosed by supplier | RCOI Confirmed as per CSFI | Towanda | From Cantu | Recycled, Scrap, from Global Tungsten &amp;amp; Powders Corp. | Various mines | Some are recycled, scrap or covered countries sourced but not all, GTP's own mines, No information, R/S, CC, HR and Mined (See aggregated data below for TI-CMC Sourcing), RCOI confirmed per RMI, Recycled and mines not disclosed by supplier, Recycled and mining not disclosed by supplier, Recycled and mining not disclosed by supplier | Recycle or Scrap | RCOI confirmed per RMI | GTP's own mines, Recycled, Scrap, from Global Tungsten &amp;amp; Powders Corp., Recycled, Scrap, from Global Tungsten &amp;amp; Powders Corp. | Some are recycled, scrap or covered countries sourced but not all, Recycled, US, Recycled/Scrap, GTP's Own Mines, HR and Mined, Some are recycled, scrap or covered countries sourced but not all, Some are recycled, scrap or covered countries sourced but not all. | Some are recycled, scrap or cover countries sourced but not all. | RCOI confirmed per RMI, Some are recyled/scrap,covered countries, and TI-CMC sourced but not all.</t>
  </si>
  <si>
    <t>America, Argentina, Austria, Belgium, Brazil, Burundi, Cambodia, Canada, Chile, China, Colombia, Ecuador, Ethiopia, Germany, Guyana, Hungary, India, Japan, Kazakhstan, Korea, Luxembourg, Malaysia, Mongolia, Myanmar, Namibia, Peru, Portugal, Recycled/Scrap, Rwanda, Spain, Taiwan, United States, Burundi, Rwanda, Argentina, Australia, Austria, Belgium, Bolivia, Bolivia, Brazil, Cambodia, Canada, Chile, China, Colombia, Czech Republic, Djibouti, Ecuador, Egypt, Estonia, Ethiopia, France, Germany, Guyana, Hungary, India, Indonesia, Ireland, Israel, Ivory Coast, Japan, Kazakhstan, Laos, Luxembourg, Madagascar, Malaysia, Mexico, Mongolia, Myanmar, Namibia, Netherlands, Nigeria, Peru, Portugal, Republic of Korea, Russia, Sierra Leone, Singapore, Slovakia, Spain, Suriname, Switzerland, Thailand, United Kingdom, USA, Vietnam, Zimbabwe, recycled/scrap, Burundi,Rwanda, DRC, Angola, Burundi, Central African Republic, Rwanda, South Sudan, Tanzania, Uganda, Zambia, Aland Islands, Andorra, Argentina, Australia, Austria, Belarus, Belgium, Bolivia, Brazil, Cambodia, Canada, Chile, China, Colombia, Djibouti, Ecuador, Egypt, Eritrea, Estonia, Ethiopia, Faroe Islands, France, Germany, Ghana, Guinea, Guyana, Hungary, India, Indonesia, Ireland, Israel, Ivory Coast, Japan, Kazakhstan, Laos, Luxembourg, Madagascar, Malaysia, Mexico, Mongolia, Mozambique, Myanmar, Namibia, Netherlands, Niger, Nigeria, Peru, Portugal, Republic of Korea, Russia, Sierra Leone, Singapore, Slovakia, Spain, Sudan, Suriname, Switzerland, Taiwan, Thailand, Turkey, USA, United Kingdom, Uzbekistan, Vietnam, Zimbabwe, Recycled/Scrap, Includes Covered Countries, Includes Covered Countries and CAHRA, Includes Covered Countries and CAHRA | Mineral sourcing R/S, CC, HR based on RMAP-RMI's RCOI data | Not disclosure | RCOI confirmed per RMI | America | Burundi,Rwanda, L1, CC, R/S, L1, CC, R/S | Some are recycled, scrap or covered countries sourced but not all | Myanmar, Cambodia, Malaysia, Kazakhstan, Portugal, Mongolia, Austria, Luxembourg, Brazil, Korea, Republic of, Guyana, Chile, Laos, Colombia, Ecuador, Argentina, Hungary, Japan, India, Canada, Belgium, Namibia, Taiwan, Peru, Germany, Ethiopia, Russian Fede | 1 Hawes St, Towanda, PA 18848, USA
2. Bldg. #2 22 E 7th St, Watsontown, PA, USA | Includes Covered Countries, L1, R/S, Canada, Peru, Spain, Portugal &amp;amp; Boliva | Excludes Covered Countries | L1, R/S | GERMANY | Myanmar, Cambodia, Malaysia, Kazakhstan, Portugal, Austria, Mongolia, Luxembourg, Brazil, Guyana, Korea, Republic of, Chile, Laos, Colombia, Ecuador, Argentina, Hungary, Japan, India, Canada, Belgium, Namibia, Taiwan, Peru, Ethiopia, Germany, Russian Fede | RCOI Confirmed as per CSFI | Canada, Peru, Spain, Portugal &amp;amp; Boliva|Pennsylvia, USA | Some are recycled or scrap sourced but not all | Includes Covered Countries | Mineral sourcing L1,R/S, Not disclosed by supplier | L1, R/S, Canada, Peru, Spain, Portugal &amp;amp; Boliva | L1, R/S | Excludes Covered Countries | GERMANY | Some are recycled or scrap sourced but not all | Myanmar, Cambodia, Malaysia, Kazakhstan, Portugal, Austria, Mongolia, Luxembourg, Brazil, Guyana, Korea, Re | Myanmar, Cambodia, Malaysia, Kazakhstan, Portugal, Mongolia, Austria, Luxembourg, Brazil, Guyana, Korea, Republic of, Chile, Laos, Colombia, Ecuador, Argentina, Hungary, Japan, India, Canada, Belgium, Namibia, Taiwan, Peru, Germany, Ethiopia, Russian Fede | 1 Hawes St, Towanda, PA 18848, USA
2. Bldg. #2 22 E 7th St, Watsontown, PA, USA | Not coverd countries area | L1, CC, R/S | Spain and Portugal | Mineral sourcing L1, CC, R/S, not disclosed by supplier | Some are recycled, scrap or covered countries sourced but not all, Mineral sourcing R/S, CC and Mined based on RMAP-RMI's RCOI data, Mineral sourcing R/S, CC, HR based on RMAP-RMI's RCOI data, Myanmar, Cambodia, Malaysia, Kazakhstan, Portugal, Austria, Mongolia, Luxembourg, Guyana, Brazil, Korea, Republic of, Chile, Laos, Colombia, Ecuador, Argentina, Hungary, Japan, India, Canada, Belgium, Namibia, Taiwan, Peru, Ethiopia, Germany, Russian Federation, Singapore, Viet Nam, United States, Egypt, Madagascar, Sierra Leone, Ivory Coast, Bolivia, Thailand, Netherlands, Ireland, China, Slovakia, France, Nigeria, United Kingdom, Switzerland, Spain, Djibouti, Czech Republic, Zimbabwe, Suriname, Israel, Australia, Indonesia, Estonia, 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 Myanmar, Cambodia, Malaysia, Kazakhstan, Portugal, Austria, Mongolia, Luxembourg, Korea, Republic of, Brazil, Guyana, Chile, Laos, Ecuador, Colombia, Argentina, Hungary, Japan, India, Canada, Belgium, Namibia, Taiwan, Peru, Ethiopia, Germany, Russian Federation, Viet Nam, Singapore, United States, Egypt, Sierra Leone, Madagascar, Ivory Coast, Thailand, Bolivia, Netherlands, Ireland, China, Slovakia, Nigeria, France, United Kingdom, Switzerland, Spain, Djibouti, Czech Republic, Zimbabwe, Suriname, Israel, Australia, Estonia, Indonesia, Myanmar, Cambodia, Malaysia, Kazakhstan, Portugal, Austria, Mongolia, Luxembourg, Korea, Republic of, Guyana, Brazil,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Indonesia, Estonia, Myanmar, Cambodia, Malaysia, Kazakhstan, Portugal, Mongolia, Austria, Luxembourg, Korea, Republic of, Brazil, Guyana, Chile, Laos, Ecuador, Colombia, Argentina, Hungary, Japan, India, Canada, Belgium, Namibia, Taiwan, Peru, Ethiopia, Germany, Russian Federation, Viet Nam, Singapore, United States, Egypt, Sierra Leone, Madagascar, Ivory Coast, Bolivia, Thailand, Netherlands, Ireland, China, Slovakia, Nigeria, France, United Kingdom, Switzerland, Spain, Djibouti, Czech Republic, Zimbabwe, Suriname, Israel, Australia, Indonesia, Estonia, No information, Not coverd countries area, RCOI confirmed per RMI, Recycled, US, Recycled/Scrap, United States, Portugal, Canada, Peru, Spain, Brazil, Austria, Colombia, Mongolia, Japan, Malaysia, Guyana, Cambodia, Chile, Ecuador, Kazakhstan, Korea, Luxembourg, Myanmar, Argentina, Hungary, Germany, Ethiopia, India, Namibia, Belgium, China, Australia, Niger, Nigeria, Ireland, United Kingdom, Singapore, Djibouti, Netherlands, Sierra Leone, Switzerland, Thailand, Egypt, Estonia, France, Israel, Madagascar, Slovakia, Suriname, Indonesia, Zimbabwe, Burundi, Rwanda, Mexico, Taiwan, Viet Nam, Russian Federation, Some are recycled, scrap or covered countries sourced but not all, Some are recyled/scrap,covered countries, and TI-CMC sourced but not all.</t>
  </si>
  <si>
    <t>Compliant, COMPLIANT 09/22/2015, Compliant Conformant, Conformant, Conformant Smelter, Conformant smelter according to RMI, audit valid until 2020, reassessment in progress, Conformant Smelter according to RMI, last cycle in 22.05.2019 with a cycle of 1 Year, Listed on CFSI Conflict Free Smelter List, Part or all material comes from Covered Country, RCOI confirmed per RMI / approved by TI-CMC, RMAP Conformant, RMAP Conformant Smelter, RMAP Conformant Smelter / RCOI confirmed per RMI, This smelter is CFS. http://www.responsiblemineralsinitiative.org/tungsten-conformant-smelters/, This smelter is CFS.
http://www.conflictfreesourcing.org/tungsten-conflict-free-smelters/, This smelter is RMI Conformant.
http://www.responsiblemineralsinitiative.org/tungsten-conformant-smelters/</t>
  </si>
  <si>
    <t>Hulterworth Smelter</t>
  </si>
  <si>
    <t>CHINA</t>
  </si>
  <si>
    <t>IMPAG AG</t>
  </si>
  <si>
    <t>Zürich</t>
  </si>
  <si>
    <t>CID000790</t>
  </si>
  <si>
    <t>Jiang Jia Wang Technology Co.</t>
  </si>
  <si>
    <t>CID000841</t>
  </si>
  <si>
    <t>CID003387</t>
  </si>
  <si>
    <t>Luna Smelter, Ltd.</t>
  </si>
  <si>
    <t>City of Kigali</t>
  </si>
  <si>
    <t>Singapore</t>
  </si>
  <si>
    <t>CID003379</t>
  </si>
  <si>
    <t>Ma'anshan Weitai Tin Co., Ltd.</t>
  </si>
  <si>
    <t>Concentration area, Xinshi Industrial Park, Bowang District, Ma'anshan City, Anhui Province</t>
  </si>
  <si>
    <t>Maanshan</t>
  </si>
  <si>
    <t>0, Liu Huan, Ms. Liu Huan, NA, Tin</t>
  </si>
  <si>
    <t>0, 164600879@qq.com, Ma'anshan Weitai Tin Co., Ltd., NA</t>
  </si>
  <si>
    <t>Conformant, Ma'anshan Weitai Tin Co., Ltd., NA, No Action Required as company is RMAP conformant, RCOI validated by RMI Protocols , Reaudit In Progress, Supplier contacts: hyeju.lee@amkor.com; catherine.pelissonnier@st.com; oh-dongho@auk.co.kr; Infineon Customer Contact @infineon.com;  yushin@harvatek.com; Emily_Hsieh@epistar.com; cindy.dodd@avx.com; oh-dongho@auk.co.kr</t>
  </si>
  <si>
    <t>0, CHINA, NA, not available, R/S, Recycled, Scrap, Recycled/scrap only, Recyled/Scrap, Unknown, but some recycled/scrap</t>
  </si>
  <si>
    <t>Angola, Burundi, Central African Republic, Rwanda, South Sudan, Tanzania, Uganda, Zambia, Argentina, Australia, Austria, Belgium, Brazil, Cambodia, Canada, Chile, China, Colombia, Djibouti, Ecuador, Egypt, Estonia, Ethiopia, France, Germany, Guinea, Guyana, Hungary, India, Indonesia, Ireland, Israel, Japan, Kazakhstan, Liechtenstein, Luxembourg, Madagascar, Malaysia, Mongolia, Myanmar, Namibia, Netherlands, Niger, Nigeria, Papua New Guinea, Peru, Portugal, Republic of Korea, Russia, Sierra Leone, Singapore, Slovakia, Spain, Sudan, Suriname, Switzerland, Taiwan, Thailand, USA, United Kingdom, Vietnam, Zimbabwe, Recycled/Scrap, CID003379, Due diligence results pending, Due diligence results pending;Recycled/Scrap, China, India, United States, Canada, Indonesia, Japan, Angola, Argentina, Australia, Austria, Belgium, Brazil, Burundi, Cambodia, Central African Republic, Chile, Colombia, Congo, Djibouti, Ecuador, Egypt, Estonia, Ethiopia, France, Germany, Guyana, Hungary, Ireland, Israel, Kazakhstan, Korea, Luxembourg, Madagascar, Malaysia, Mongolia, Myanmar, Namibia, Netherlands, Niger, Nigeria, Peru, Portugal, Russian Federation, Rwanda, Sierra Leone, Singapore, Slovakia, South Sudan, Spain, Sudan, Suriname, Switzerland, Taiwan, Tanzania, Thailand, Uganda, United Kingdom, Viet Nam, Zambia, Zimbabwe, Guinea, Papua New Guinea, Liechtenstein, Mineral sourcing R/S, Mineral sourcing R/S based on RMAP-RMI's RCOI data, NA, No known country of origin, Not Available, R/S, R/S | Not Available, Recycled, Scrap, Recycled/Scrap Only, Recycled/Scrap, China, Recyled/Scrap</t>
  </si>
  <si>
    <t>RMI, Unknown, Yes</t>
  </si>
  <si>
    <t>Compliant, Compliant Conformant, Conformant, Conformant Smelter, Conformant smelter according to RMI, audit valid until 2021, Conformant Smelter according to RMI, last cycle in 05.06.2019 with a cycle of 1 Year, RCOI confirmed as per RMAP, RMAP Conformant, RMAP Conformant Smelter</t>
  </si>
  <si>
    <t>CID002468</t>
  </si>
  <si>
    <t>Magnu's Minerais Metais e Ligas Ltda.</t>
  </si>
  <si>
    <t>NO</t>
  </si>
  <si>
    <t>CID001005</t>
  </si>
  <si>
    <t>Lintang, Kepulauan Bangka Belitung</t>
  </si>
  <si>
    <t>CID002123</t>
  </si>
  <si>
    <t>Yiquan Manufacturing</t>
  </si>
  <si>
    <t>CID002147</t>
  </si>
  <si>
    <t>Yuecheng Tin Co., Ltd.</t>
  </si>
  <si>
    <t>Yunnan Chengfeng</t>
  </si>
  <si>
    <t>CID003325</t>
  </si>
  <si>
    <t>Tin Technology &amp; Refining</t>
  </si>
  <si>
    <t>905 Fern Hill Road, West Chester, PA 19380</t>
  </si>
  <si>
    <t>West Chester</t>
  </si>
  <si>
    <t>Ben Etherington, Mike Menz, NA, Tin, Yunnan Sheng</t>
  </si>
  <si>
    <t xml:space="preserve"> ben@nathantrotter.com, ben@nathantrotter.com, menzm@qgold.com, NA, Tin Technology &amp;amp; Refining</t>
  </si>
  <si>
    <t>Conformant-audited by RMI (members / partners)- valid until 09/25/2022, Conformant-audited by RMI (members / partners)- valid until 10/18/2025, due diligence needed, NA, No Action Required as company is RMAP conformant, RCOI validated by RMI Protocols , RMAP Compliant Smelter, Supplier contacts: hyeju.lee@amkor.com; catherine.pelissonnier@st.com; oh-dongho@auk.co.kr; Infineon Customer Contact @infineon.com; lisa.bjornson@sanmina.com; theodore.knudson@materion.com; yushin@harvatek.com; Emily_Hsieh@epistar.com; cindy.dodd@avx.com; t.gruber@ats.net; Mia_Moh@aseglobal.com; oh-dongho@auk.co.kr, Tin Technology &amp;amp; Refining, Validated by RMI until 08/25/2022</t>
  </si>
  <si>
    <t>0, LR, R/S, NA, No information, not available, not available | Some are recycled or scrap sourced but not all | Includes Covered Countries, RCOI confirmed as per RMI, RCOI confirmed per RMI, Recycled and scrap, and mines not disclosed by supplier, Recycled or scrap, and mining not disclosed by supplier, Recycled or scrap, and mining not disclosed by supplier | Sourced from Mines/Recyale/Scrap | RCOI confirmed per RMI, Some are recycled or scrap sourced but not all | not available, Some are recycled, scrap, covered countries or DRC sourced but not all, Some are recycled, scrap, covered countries or DRC sourced but not all. , Some are recycled, scrap, covered countries or DRC sourced but not all. | RCOI confirmed per RMI, Some are recyled/scrap sourced but not all., UNITED STATES OF AMERICA, Unknown, but some recycled/scrap</t>
  </si>
  <si>
    <t>Argentina, Australia, Austria, Brazil, Canada, Chile, China, Eritrea, Ethiopia, Germany, Guyana, India, Indonesia, Japan, Malaysia, Namibia, Niger, Nigeria, Peru, Recycled/Scrap, Sierra Leone, Spain, Thailand, United Kingdom, United States, Zimbabwe, CID003325,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Yemen, Zimbabwe, Recycled/Scrap, Excludes Covered Countries and CAHRA, Includes Covered Countries, Includes Covered Countries | Some are recycled or scrap sourced but not all | L1, CC, DRC, R/S | Not Available, Includes Covered Countries and CAHRA, Includes Covered Countries and CAHRA | Mineral sourcing LR, R/S based on RMAP-RMI's RCOI data | the DRC or an adjoining country(covered countries) | UNITED STATES OF AMERICA | RCOI confirmed per RMI, L1, CC, DRC, R/S | Includes Covered Countries | Not Available | Some are recycled or scrap sourced but not all, LR, CC, DRC, R/S, Mineral sourcing LR, R/S based on RMAP-RMI's RCOI data, Mineral sourcing LR,R/S based on RMAP-RMI's RCOI data, NA, No information, No known country of origin, RCOI confirmed as per RMI., RCOI confirmed per RMI, Recycled, Some are recycled, scrap, covered countries or DRC sourced but not all, Some are recycled, scrap, covered countries or DRC sourced but not all. , Some are recyled/scrap sourced but not all., the DRC or an adjoining country(covered countries), United States, Recycled/Scrap, United States, Recycled/Scrap, Eritrea, China, Australia, Brazil, Japan, Malaysia, Chile, United Kingdom, Peru, Canada, India, Indonesia, Argentina, Austria, Germany, Guyana, Namibia, Niger, Nigeria, Sierra Leone, Spain, Thailand, Zimbabwe, Ethiopia, Mongolia, Portugal, Belgium, Cambodia, Colombia, Ecuador, Egypt, Estonia, France, Hungary, Ireland, Israel, Italy, Kazakhstan, Korea, Luxembourg, Madagascar, Myanmar, Netherlands, Singapore, Slovakia, Suriname, Switzerland, Angola, Burundi, Central African Republic, Djibouti, Rwanda, South Sudan, Sudan, Tanzania, Uganda, Zambia, Ghana, Guinea, Mexico, Russian Federation, Mozambique, Armenia, Azerbaijan, Bahamas, Barbados, Belarus, Benin, Bolivia (Plurinational State of), Bosnia and Herzegovina, Botswana, Bulgaria, Burkina Faso, Cameroon, Croatia, Cyprus, Denmark, Dominica, Dominican Republic, El Salvador, Fiji, Finland, Gabon, Gambia, Georgia, Greece, Guatemala, Honduras, Hong Kong, Iceland, Iran, Jordan, Kuwait, Kyrgyzstan, Latvia, Lebanon, Liberia, Libya, Liechtenstein, Lithuania, Mali, Malta, Mauritania, Mauritius, Morocco, New Caledonia, New Zealand, Nicaragua, Norway, Oman, Pakistan, Panama, Papua New Guinea, Philippines, Poland, Puerto Rico, Romania, San Marino, Saudi Arabia, Senegal, Serbia, Slovenia, Solomon Islands, Sweden, Taiwan, Tajikistan, Togo, Trinidad and Tobago, Tunisia, Turkey, Ukraine, United Arab Emirates, Uruguay, Uzbekistan, Yemen;USA, USA, USA, recycled/scrap</t>
  </si>
  <si>
    <t>Compliant, Compliant Conformant, Conformant, Conformant Smelter, Conformant Smelter - some material may be sourced from the covered countries, Conformant smelter according to RMI, audit valid until 2022, Conformant Smelter according to RMI, last cycle in 25.08.2019 with a cycle of 3 Years, Part or all material comes from Covered Country, RCOI confirmed as per RMAP, RCOI confirmed per RMI, RMAP certified Conflict Free. Some material sourced from the covered countries., RMAP Conformant, RMAP Conformant Smelter, RMAP Conformant Smelter / RCOI confirmed per RMI</t>
  </si>
  <si>
    <t>CID001943</t>
  </si>
  <si>
    <t>TONG LONG</t>
  </si>
  <si>
    <t>CID001946</t>
  </si>
  <si>
    <t>Tongding Group</t>
  </si>
  <si>
    <t>CID001954</t>
  </si>
  <si>
    <t>Top-Team Technology (Shenzhen) Ltd.</t>
  </si>
  <si>
    <t>CID001958</t>
  </si>
  <si>
    <t>Tosoh</t>
  </si>
  <si>
    <t>CID001962</t>
  </si>
  <si>
    <t>Triumph Northwest</t>
  </si>
  <si>
    <t>CID002036</t>
  </si>
  <si>
    <t>White Solder Metalurgica</t>
  </si>
  <si>
    <t>White Solder Metalurgia e Mineracao Ltda.</t>
  </si>
  <si>
    <t>Highway BR 421, KM 1,1 – Ariquemes – Rondonia - Brazil</t>
  </si>
  <si>
    <t>Mr. Marcelo Camargo, Mr. Vagner Torrente - President, Mr. Vagner Torrente - President
Paulo Amparo, NA, Paulo Amparo, Tin</t>
  </si>
  <si>
    <t>comex@whitesolder.com.br, dp@torparticipacoes.com.br, dp@torparticipacoes.com.br
gerentegeral.rp@whitesolder.com.br, gerentegeral.rp@whitesolder.com.br, NA, tor@torparticipacoes.com.br, White Solder Metalurgia e Mineracao Ltda.</t>
  </si>
  <si>
    <t>Conformant- Reaudit In Progress, Conformant-Reaudit In Progress, N.A. (CFS apporved Smelter), NA, no action need, No Action Required as company is RMAP conformant, None Required - CFSI certifed conflict free, None Required - RMI  certifed conflict free, None Required - RMI  certified conflict free, None, CFS Certified, Reaudit In Progress, RMAP Compliant Smelter, Supplier contacts: hyeju.lee@amkor.com; catherine.pelissonnier@st.com; oh-dongho@auk.co.kr; Infineon Customer Contact @infineon.com; nutthaphon@focuz-mfg.com; lisa.bjornson@sanmina.com; theodore.knudson@materion.com; yushin@harvatek.com; andreas.schwender@saxonia-tm.de; Emily_Hsieh@epistar.com; andre.dinther@possehlelectronics.nl; cindy.dodd@avx.com; t.gruber@ats.net; beate.ostermeier@deutsche-technoplast.com; zenglan.fei@wlcsp.com; s.rossi@varioprint.ch; Ravikumar.Ramachandran@fci.com; td40_0138@mail.tsujiden.co.jp; Mia_Moh@aseglobal.com, White Solder Metalurgia e Mineracao Ltda.</t>
  </si>
  <si>
    <t>0, Ariquemes, Rodovia, BRAZIL, From private Mines in the Ariquemes Rondonia region of Brazil, From Private Mines in the Ariquemes Rondonia region of Brazil | Ariquemes, Rodovia | RCOI confirmed per CFSI. | From Ariquemes, Rodovia | RCOI Confirmed as per CSFI | See Web Site &amp;amp; Conflcit freehttp://www.whitesolder.com.br/index.php/en | RCOI confirmed as per RMI | From Ariquemes, Rodovia | See Web Site &amp;amp; Conflcit freehttp://www.whitesolder.com.br/index.php/en | From Private Mines in the Ariquemes Rondonia region of Brazil | Ariquemes, Rodovia | RCOI confirmed as per CFSI | recycled + scrap sourced | Indonesian dome | Indonesia | Indonesian domestic mine | Private Mines in the Ariquemes Rondonia region of Brazil | Brazil | RCOI confirmed per RMI., L1, NA, No information, Private Mines In The Ariquemes Rondonia Region of Brazil, Private Mines in the Ariquemes Rondonia region of Brazil | RCOI confirmed as per RMI, Private Mines in the Ariquemes Rondonia region of Brazil | RCOI confirmed per RMI, RCOI confirmed as per CFSI, RCOI confirmed as per RMI, RCOI confirmed as per RMI., RCOI confirmed per RMI, Unspecified mines in the Ariquemes Rondonia region of Brazil</t>
  </si>
  <si>
    <t>0, Argentina, Austria, Belgium, Brazil, Cambodia, Canada, Chile, China, Ecuador, Ethiopia, Germany, Guyana, Hungary, India, Indonesia, Japan, Kazakhstan, Korea, Luxembourg, Malaysia, Mongolia, Myanmar, Namibia, Peru, Portugal, Recycled/Scrap, Thailand, Brazil , Brazil, China, Germany, Peru, Thailand, China, Brazil, Thailand, Peru, Germany, 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 CID002036, DRC, Burundi, Andorra, Argentina, Australia, Austria, Belgium, Benin, Bolivia, Brazil, Cambodia, Canada, Chile, China, Colombia, Czechia, Djibouti, Ecuador, Egypt, Eritrea, Estonia, Ethiopia, France, Germany, Ghana, Guinea, Guyana, Hungary, India, Indonesia, Ireland, Israel, Ivory Coast, Japan, Kazakhstan, Laos, Luxembourg, Madagascar, Malaysia, Mali, Mauritania, Mexico, Mongolia, Myanmar, Namibia, Netherlands, Nicaragua, Niger, Nigeria, Peru, Portugal, Republic of Korea, Russia, Sierra Leone, Slovakia, Spain, Suriname, Switzerland, Taiwan, Thailand, Togo, Turkey, USA, United Kingdom, Uzbekistan, Vietnam, Zimbabwe, Recycled/Scrap, Excludes Covered Countries, Excludes Covered Countries and CAHRA, Excludes Covered Countries and CAHRA | From Brazil | the DRC or an adjoining country(covered countries) | RCOI confirmed per RMI | Brazil, From Brazil, L1, L1 | RCOI confirmed as per RMI | China, Brazil, Thailand, Peru, Germany | the DRC or an adjoining country(covered countries) | Not Available | Highway BR 421, KM 1,1 – Ariquemes – Rondonia - Brazil | Excludes Covered Countries, L1, Ariquemes, Rodovia | Excludes Covered Countries | L1 | Brazil | China, Brazil, Thailand, Peru, Germany | RCOI Confirmed as per CSFI | RCOI confirmed as per RMI | Mineral sourcing L1, Brazil | L1, Ariquemes, Rodovia | L1 | Brazil | Excludes Covered Countries | RCOI confirmed as per CFSI | China, Brazil, Thailand, Peru, Germany | Indonesia | Mineral sourcing L1, Brazil | RCOI Confirmed as per CSFI | the DRC or an adjoining country(covered countr | the DRC or an adjoining country(covered countries) | Indonesia | Highway BR 421, KM 1,1 – Ariquemes – Rondonia - Brazil | No | Not Available, Mineral sourcing L1, from Brazil, NA, No information, RCOI confirmed as per RMI, RCOI confirmed as per RMI., RCOI confirmed per RMI, Recycled/Scrap, Brazil, China, Peru, Thailand, Germany, Myanmar, Malaysia, Mongolia, Portugal, Argentina, Namibia, Ethiopia, India, Austria, Chile, Ecuador, Japan, Belgium, Cambodia, Canada, Guyana, Hungary, Kazakhstan, Korea, Luxembourg, Indonesia, Australia, Ireland, Niger, Nigeria, United Kingdom, Colombia, Zimbabwe, France, Madagascar, Sierra Leone, Spain, United States, Burundi, Djibouti, Egypt, Estonia, Israel, Mexico, Netherlands, Slovakia, Suriname, Switzerland, the DRC or an adjoining country(covered countries), White Solder</t>
  </si>
  <si>
    <t>Compliant, COMPLIANT 09/22/2015, Compliant Conformant, Conformant, Conformant Smelter, Conformant smelter according to RMI, audit valid until 2021, reassessment in progress, Conformant Smelter according to RMI, last cycle in 20.03.2018 with a cycle of 3 Years, http://www.whitesolder.com.br/images/stories/ws_conflict_english.pdf, RCOI confirmed per RMI, RMAP Conformant, RMAP Conformant Smelter, RMAP Conformant Smelter / RCOI confirmed per RMI</t>
  </si>
  <si>
    <t>CID002057</t>
  </si>
  <si>
    <t>WUJIANG CITY LUXE TIN FACTORY</t>
  </si>
  <si>
    <t>Wujiang City Luxe Tin Factory</t>
  </si>
  <si>
    <t>CID002062</t>
  </si>
  <si>
    <t>WUXI YUNXI SANYE SOLDER FACTORY</t>
  </si>
  <si>
    <t>CID002070</t>
  </si>
  <si>
    <t>Xiamen Golden Egret Special Alloy Co. Ltd.</t>
  </si>
  <si>
    <t>CID002428</t>
  </si>
  <si>
    <t>Xiamen Honglu Tungsten Molybdenum Co., Ltd.</t>
  </si>
  <si>
    <t>CID002074</t>
  </si>
  <si>
    <t>CID002513</t>
  </si>
  <si>
    <t>Hunan Shizhuyuan Nonferrous Metals Co., Ltd. Chenzhou Tungsten Products Branch</t>
  </si>
  <si>
    <t>Chenzhou Diamond Tungsten Products Co., Ltd.</t>
  </si>
  <si>
    <t>Sizhuyuan, Suxian District, Chenzhou City, Hunan Province, China</t>
  </si>
  <si>
    <t xml:space="preserve">
Li Jun, Conflidential, He Yelu, Junhua Hu, Miss Qi Yin, NA, Qi Yin</t>
  </si>
  <si>
    <t>Confidential, cz601@126.com, heyl@chinacarbide.com, hujinhuacn@qq.com, NA, qiyin@minmetals.com</t>
  </si>
  <si>
    <t>-, Conformant, Conformant-Reaudit In Progress, NA, no action need, No Action Required as company is RMAP conformant, None, CFS Certified, Supplier contacts: hyeju.lee@amkor.com; siew.khim.og@ssmc.com; ehs@xfab.com; Infineon Customer Contact @infineon.com; joanne.ambat@nepeshayyim.com; cammmh@towersemi.com; lisa.bjornson@sanmina.com; theodore.knudson@materion.com; yushin@harvatek.com; Amber_cy_chang@umc.com, Validated by RMI until 05/23/2022</t>
  </si>
  <si>
    <t>0, Chenzhou Diamond Tungsten Products Co.,Ltd., INDONESIA | Some are recycled or scrap sourced but not all. | Some are recycled or scrap sourced but not all | Not disclosed by supplier | INDONESIA | Some are recycled or scrap sourced but not all | Some are recycled or scrap sourced but not all. | Recycled, Scrap and mines | Recycled, Scrap and mines | Recycled, Scrap and mines, not disclosed by supplier, NA, No information, Not disclosed per TI-CMC, RCOI confirmed as per RMI., RCOI confirmed per RMI, RCOI confirmed per RMI | Shizhuyuan Tungsten Mine, Hunan Province, RCOI confirmed per RMI | Shizhuyuan Tungsten Mine, Hunan Province | Chenzhou Diamond Tungsten Products Co.,Ltd. | Not disclosure, Recycled, Scrap and mines, Recycled, Scrap and mines | Some are recycled or scrap sourced but not all, Recycled, Scrap and mines not disclosed by supplier, Recycled/Scrap, Shizhuyuan Tungsten Mine, See aggregated data below for TI-CMC Sourcing, Shizhuyuan Tungsten Mine, Hunan Province,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</si>
  <si>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Ireland, Japan, Kazakhstan, Korea, Luxembourg, Malaysia, Mongolia, Myanmar, Namibia, Niger, Peru, Portugal, Recycled/Scrap, Taiwan, CHINA, 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From China, L1, R/S | Some are recycled or scrap sourced but not all | Myanmar, Cambodia, Malaysia, Kazakhstan, Portugal, Mongolia, Austria, Luxembourg, Guyana, Brazil, Korea, Republic of, Chile, Laos, Ecuador, Colombia, Argentina, Hungary, Japan, India, Canada, Belgium, Namibia, Taiwan, Peru, Germany, Ethiopia, Russian Fede | Sizhuyuan, Suxian District, Chenzhou City, Hunan Province, China | Excludes Covered Countries, LR, Mineral sourcing from China, Myanmar, Cambodia, Malaysia, Kazakhstan, Portugal, Austria, Mongolia, Luxembourg, Guyana, Brazil, Korea, Republic of, Chile, Laos, Ecuador, Colombia, Argentina, Hungary, Japan, India, Canada, Belgium, Namibia, Taiwan, Peru, Ethiopia, Germany, Russian Federation, Viet Nam, Singapore, United States, Egypt, Sierra Leone, Madagascar, Ivory Coast, Bolivia, Thailand, Netherlands, China, Ireland, Slovakia, Nigeria, France, United Kingdom, Switzerland, Spain, Djibouti, Czech Republic, Zimbabwe, Suriname, Israel, Australia, Indonesia, Estonia, Myanmar, Cambodia, Malaysia, Kazakhstan, Portugal, Austria, Mongolia, Luxembourg, Korea, Republic of, Brazil, Guyana, Chile, Laos, Colombia, Ecuador, Argentina, Hungary, Japan, India, Canada, Belgium, Namibia, Taiwan, Peru, Germany, Ethiopia, Russian Federation, Singapore, Viet Nam, United States, Egypt, Sierra Leone, Madagascar, Ivory Coast, Bolivia, Thailand, Netherlands, China, Ireland, Slovakia, Nigeria, France, United Kingdom, Switzerland, Spain, Djibouti, Czech Republic, Zimbabwe, Suriname, Israel, Australia, Indonesia, Estonia, Myanmar, Cambodia, Malaysia, Kazakhstan, Portugal, Austria, Mongolia, Luxembourg, Korea, Republic of, Guyana, Brazil, Chile, Laos, Colombia, Ecuador, Argentina, Hungary, Japan, India, Canada, Belgium, Namibia, Taiwan, Peru, Ethiopia, Germany, Russian Federation, Singapore, Viet Nam, United States, Egypt, Sierra Leone, Madagascar, Ivory Coast, Bolivia, Thailand, Netherlands, Ireland, China, Slovakia, France, Nigeria, United Kingdom, Switzerland, Spain, Djibouti, Czech Republic, Zimbabwe, Suriname, Israel, Australia, Indonesia, Estonia, Myanmar, Cambodia, Malaysia, Kazakhstan, Portugal, Mongolia, Austria, Luxembourg, Korea, Republic of, Brazil, Guyana, Chile, Laos, Colombia, Ecuador,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Indonesia, Estonia, NA, No information, Not disclosed | Excludes Covered Countries | L1, R/S | INDONESIA | Myanmar, Cambodia, Malaysia, Kazakhstan, Portugal, Austria, Mongolia, Luxembourg, Korea, Republic of, Guyana, Brazil, Chile, Laos, Ecuador, Colombia, Argentina, Hungary, Japan, India, Canada, Belgium, Namibia, Taiwan, Peru, Ethiopia, Germany, Russian Fede | Some are recycled or scrap sourced but not all | Mineral sourcing L1, R/S, Not disclosed by supplier | Not disclosed | L1, R/S | Excludes Covered Countries | INDONESIA | Some are recycled or scrap sourced but not all | Myanmar, Cambodia, Malaysia, Kazakhstan, Portugal, Austria, Mongolia, Luxembourg, Korea, Republic of, Guyana, Brazil, Chile, Laos, Ecuador, | China | Myanmar, Cambodia, Malaysia, Kazakhstan, Portugal, Austria, Mongolia, Luxembourg, Guyana, Brazil, Korea, Republic of, Chile, Laos, Colombia, Ecuador, Argentina, Hungary, Japan, India, Canada, Belgium, Namibia, Taiwan, Peru, Germany, Ethiopia, Russian Fede | Sizhuyuan, Suxian District, Chenzhou City, Hunan Province, China | Mineral sourcing L1,R/S, not disclosed by RMI, Not disclosed per TI-CMC, RCOI confirmed as per RMI., RCOI confirmed per RMI, RCOI confirmed per RMI | From China | China | Not disclosure, Recycled/Scrap, China, Austria, Brazil, Japan, Mongolia, Portugal, Canada, Namibia, India, Argentina, Cambodia, Chile, Ecuador, Guyana, Hungary, Kazakhstan, Korea, Luxembourg, Malaysia, Myanmar, Germany, Belgium, Ethiopia, Peru, Colombia, Ireland, Niger, Nigeria, Spain, United Kingdom, United States, Australia, Indonesia, Egypt, France, Israel, Madagascar, Netherlands, Sierra Leone, Slovakia, Suriname, Switzerland, Thailand, Zimbabwe, Djibouti, Singapore, Estonia, Taiwan, Russian Federation, Viet Nam, Unknown</t>
  </si>
  <si>
    <t>Compliant, Compliant Conformant, Conformant, Conformant Smelter, Conformant smelter according to RMI, audit valid until 2022, Conformant Smelter according to RMI, last cycle in 23.05.2019 with a cycle of 3 Years, Listed on CFSI Conflict Free Smelter List, RCOI confirmed per RMI / approved by TI-CMC, RMAP Conformant, RMAP Conformant Smelter, RMAP Conformant Smelter / RCOI confirmed per RMI, This smelter is CFS. http://www.responsiblemineralsinitiative.org/tungsten-conformant-smelters/, This smelter is CFS.
http://www.conflictfreesourcing.org/tungsten-conflict-free-smelters/, This smelter is RMI Conformant.
http://www.responsiblemineralsinitiative.org/tungsten-smelters-list/</t>
  </si>
  <si>
    <t>CID000766</t>
  </si>
  <si>
    <t>Hunan Chenzhou Mining Group Co., Ltd.</t>
  </si>
  <si>
    <t>Guanzhuang Town, Yuanling, Hunan, China</t>
  </si>
  <si>
    <t>Cici, Cici, Liu Xinyi, Kepulauan Bangka Belitung, Liu Xinyi, Liu Xinyi, Cici</t>
  </si>
  <si>
    <t>7231684@qq.com, 7231684@qq.com, zjzx@hncmi.com, zjzx@hncmi.com, zjzx@hncmi.com; 7231684@qq.com</t>
  </si>
  <si>
    <t>Conformant- Reaudit In Progress, Conformant-audited by RMI (members / partners)- valid until 10/15/2024, No Action Required as company is RMAP conformant, None, CFS certified, Reaudit In Progress, Supplier contacts: hyeju.lee@amkor.com; catherine.pelissonnier@st.com; ehs@xfab.com; Infineon Customer Contact @infineon.com; cammmh@towersemi.com; lisa.bjornson@sanmina.com; yushin@harvatek.com</t>
  </si>
  <si>
    <t>0, Excludes Covered Countries, LR, No information, Not disclosed by supplier, Not disclosed by supplier | RCOI confirmed as per RMI, RCOI confirmed as per RMI., RCOI confirmed per RMI, RUSSIAN FEDERATION | Not disclosed by supplier | RCOI confirmed as per RMI | RUSSIAN FEDERATION | RCOI confirmed as per CFSI | Not disclosed by supplier, Unknown, Unknown, but some recycled/scrap</t>
  </si>
  <si>
    <t>0,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Argentina, Australia, Austria, Belgium, Brazil, Cambodia, Canada, Chile, China, Colombia, Ecuador, Ethiopia, Germany, Guyana, Hungary, India, Japan, Kazakhstan, Korea, Luxembourg, Malaysia, Mongolia, Mozambique, Myanmar, Namibia, Peru, Portugal, Recycled/Scrap, Switzerland, Taiwan, 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 DRC,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Excludes Covered Countries, Excludes Covered Countries | - | RUSSIAN FEDERATION | Myanmar, Cambodia, Malaysia, Kazakhstan, Portugal, Mongolia, Austria, Luxembourg, Guyana, Brazil, Korea, Republic of, Chile, Laos, Ecuador, Colombia, Argentina, Hungary, Japan, India, Canada, Belgium, Namibia, Taiwan, Peru, Germany, Ethiopia, Russian Fede | L1 | RCOI confirmed as per RMI | Mineral sourcing L1, Not disclosed by supplier | Excludes Covered Countries | - | RUSSIAN FEDERATION | RCOI confirmed as per CFSI | Myanmar, Cambodia, Malaysia, Kazakhstan, Portugal, Mongolia, Austria, Luxembourg, Guyana, Brazil, Korea, Republic of, Chile, Laos, Ecuador, Colombia, Argentina, Hungary, Ja | Myanmar, Cambodia, Malaysia, Kazakhstan, Portugal, Austria, Mongolia, Luxembourg, Guyana, Brazil, Korea, Republic of, Chile, Laos, Colombia, Ecuador, Argentina, Hungary, Japan, India, Canada, Belgium, Namibia, Taiwan, Peru, Ethiopia, Germany, Russian Fede | Guanzhuang Town, Yuanling, Hunan, China | Mineral sourcing L1, not disclosed by supplier, Excludes Covered Countries and CAHRA, Excludes Covered Countries and CAHRA | Mineral sourcing LR based on RMAP-RMI's RCOI data, L1, L1 | RCOI confirmed as per RMI | Myanmar, Cambodia, Malaysia, Kazakhstan, Portugal, Austria, Mongolia, Luxembourg, Guyana, Brazil, Korea, Republic of, Chile, Laos, Colombia, Ecuador, Argentina, Hungary, Japan, India, Canada, Belgium, Namibia, Taiwan, Peru, Ethiopia, Germany, Russian Fede | Guanzhuang Town, Yuanling, Hunan, China | Excludes Covered Countries, Mineral sourcing LR based on RMAP-RMI's RCOI data, Myanmar, Cambodia, Malaysia, Kazakhstan, Portugal, Austria, Mongolia, Luxembourg, Guyana, Brazil, Korea, Republic of, Chile, Laos, Colombia, Ecuador, Argentina, Hungary, Japan, India, Canada, Belgium, Namibia, Taiwan, Peru, Germany, Ethiopia, Russian Federation, Singapore, Viet Nam, United States, Egypt, Sierra Leone, Madagascar, Ivory Coast, Thailand, Bolivia, Netherlands, China, Ireland, Slovakia, Nigeria, France, United Kingdom, Switzerland, Spain, Djibouti, Czech Republic, Zimbabwe, Suriname, Israel, Australia, Indonesia, Estonia, Myanmar, Cambodia, Malaysia, Kazakhstan, Portugal, Austria, Mongolia, Luxembourg, Guyana, Brazil, Korea, Republic of, Chile, Laos, Ecuador, Colombia, Argentina, Hungary, Japan, India, Canada, Belgium, Namibia, Taiwan, Peru, Ethiopia, Germany, Russian Federation, Viet Nam, Singapore, United States, Egypt, Madagascar, Sierra Leone, Ivory Coast, Thailand, Bolivia, Netherlands, China, Ireland, Slovakia, France, Nigeria, United Kingdom, Switzerland, Spain, Djibouti, Czech Republic, Zimbabwe, Suriname, Israel, Australia, Indonesia, Estonia, Myanmar, Cambodia, Malaysia, Kazakhstan, Portugal, Mongolia, Austria, Luxembourg, Guyana, Brazil, Korea, Republic of, Chile, Laos, Colombia, Ecuador, Argentina, Hungary, Japan, India, Canada, Belgium, Namibia, Taiwan, Peru, Ethiopia, Germany, Russian Federation, Viet Nam, Singapore, United States, Egypt, Madagascar, Sierra Leone, Ivory Coast, Bolivia, Thailand, Netherlands, China, Ireland, Slovakia, France, Nigeria, United Kingdom, Switzerland, Spain, Djibouti, Czech Republic, Zimbabwe, Suriname, Israel, Australia, Estonia, Indonesia, Myanmar, Cambodia, Malaysia, Kazakhstan, Portugal, Mongolia, Austria, Luxembourg, Guyana, Brazil, Korea, Republic of, Chile, Laos, Colombia, Ecuador, Argentina, Hungary, Japan, India, Canada, Belgium, Namibia, Taiwan, Peru, Germany, Ethiopia, Russian Federation, Singapore, Viet Nam, United States, Egypt, Sierra Leone, Madagascar, Ivory Coast, Thailand, Bolivia, Netherlands, China, Ireland, Slovakia, France, Nigeria, United Kingdom, Switzerland, Spain, Djibouti, Czech Republic, Zimbabwe, Suriname, Israel, Australia, Estonia, Indonesia, No information, RCOI confirmed per RMI, Recycled/Scrap, China, Brazil, Japan, Austria, Mongolia, Portugal, Canada, Colombia, Argentina, India, Malaysia, Guyana, Myanmar, Chile, Ecuador, Belgium, Cambodia, Hungary, Kazakhstan, Korea, Luxembourg, Namibia, Germany, Peru, Ethiopia, Australia, Switzerland, Niger, Nigeria, Spain, United States, Ireland, United Kingdom, Sierra Leone, Thailand, Zimbabwe, Indonesia, France, Madagascar, Egypt, Israel, Netherlands, Singapore, Slovakia, Suriname, Djibouti, Estonia, Mozambique, Taiwan, Russian Federation, Viet Nam</t>
  </si>
  <si>
    <t>Compliant, Compliant Conformant, Conformant, Conformant Smelter, Conformant smelter according to RMI, audit valid until 2020, reassessment in progress, Conformant Smelter according to RMI, last cycle in 13.12.2019 with a cycle of 1 Year, RCOI confirmed per RMI, RMAP Conformant</t>
  </si>
  <si>
    <t>Jiangxi Xinsheng Tungsten Industry Co., Ltd.</t>
  </si>
  <si>
    <t>CID002845</t>
  </si>
  <si>
    <t>Moliren Ltd.</t>
  </si>
  <si>
    <t>18 Kosyakova Street, 1140730 Roshal, Russian Federation</t>
  </si>
  <si>
    <t>Roshal</t>
  </si>
  <si>
    <t>German Veisman, Kepulauan Bangka Belitung</t>
  </si>
  <si>
    <t>german@nordmet.ch</t>
  </si>
  <si>
    <t>Conformant- Reaudit In Progress, No Action Required as company is RMAP conformant, Supplier contacts: hyeju.lee@amkor.com; catherine.pelissonnier@st.com; Infineon Customer Contact @infineon.com;  lisa.bjornson@sanmina.com; yushin@harvatek.com, Validated by RMI until 04/18/2022</t>
  </si>
  <si>
    <t>0, No information, Not disclosed by supplier, Not disclosed by supplier | RCOI confirmed as per RMI, Not disclosed per TI-CMC, RCOI confirmed as per RMI | not available | Not disclosed by supplier | Not disclosed by supplier, RCOI confirmed as per RMI., RCOI confirmed per RMI, See aggregated data below for TI-CMC Sourcing, Unknown, Unknown, but some recycled/scrap</t>
  </si>
  <si>
    <t>18 Kosyakova Street, 1140730 Roshal, Russian Federation | LR | RCOI confirmed as per RMI | L1 | No known country of origin | Excludes Covered Countries, 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Vietnam, Yemen, Zimbabwe, Recycled/Scrap, Australia, Austria, Bolivia (Plurinational State of), Brazil, Canada, Chile, China, Germany, Hong Kong, Jersey, Malaysia, Peru, Portugal, Recycled/Scrap, Russian Federation, Saudi Arabia, Switzerland, Turkey, United Arab Emirates, United States, Viet Nam, LR, Mineral sourcing not disclosed, No information, No known country of origin, No known country of origin | RCOI confirmed as per RMI | Russian Federation | No known country of origin | L1 | Does not source from DRC or covered countries | Russian Federation | Mineral sourcing L1, not disclosed by supplier | 18 Kosyakova Street, 1140730 Roshal, Russian Federation | LR | Mineral sourcing L1, not disclosed by RMI | Excludes Covered Countries | L1, Not disclosed per TI-CMC, RCOI confirmed as per RMI., RCOI confirmed per RMI, Russia, Russian Federation, Russian Federation, Recycled/Scrap, China, United States, Australia, Turkey, Chile, Germany, Hong Kong, Malaysia, Peru, Saudi Arabia, Switzerland, United Arab Emirates, Jersey, Portugal, Viet Nam, Austria, Bolivia (Plurinational State of), Brazil, Canada, Colombia, Ireland, Japan, Mexico, Mongolia, Niger, Nigeria, Spain, United Kingdom, Uzbekistan, Korea, Argentina, Armenia, Azerbaijan, Bahamas, Barbados, Belarus, Belgium, Benin, Bosnia and Herzegovina, Botswana, Bulgaria, Burkina Faso, Cambodia, Cameroon, Croatia, Cyprus, Denmark, Dominica, Dominican Republic, Ecuador, Egypt, El Salvador, Eritrea, Estonia, Ethiopia, Fiji, Finland, France, Gabon, Gambia, Georgia, Ghana, Greece, Guatemala, Guinea, Guyana, Honduras, Hungary, Iceland, India, Indonesia, Iran, Israel, Italy, Jordan, Kazakhstan, Kuwait, Kyrgyzstan, Latvia, Lebanon, Liberia, Libya, Liechtenstein, Lithuania, Luxembourg, Madagascar, Mali, Malta, Mauritania, Mauritius, Morocco, Myanmar, Namibia, Netherlands, New Caledonia, New Zealand, Nicaragua, Norway, Oman, Pakistan, Panama, Papua New Guinea, Philippines, Poland, Puerto Rico, Romania, San Marino, Senegal, Serbia, Sierra Leone, Singapore, Slovakia, Slovenia, Solomon Islands, Suriname, Sweden, Taiwan, Tajikistan, Thailand, Togo, Trinidad and Tobago, Tunisia, Ukraine, Uruguay, Yemen, Zimbabwe, Unknown</t>
  </si>
  <si>
    <t>Compliant Conformant, Conformant, Conformant Smelter, Conformant smelter according to RMI, audit valid until 2022, Conformant Smelter according to RMI, last cycle in 18.04.2019 with a cycle of 3 Years, Listed on CFSI Conflict Free Smelter List, RCOI confirmed per RMI, RMAP Conformant, RMAP Conformant Smelter/Refiner</t>
  </si>
  <si>
    <t>CID001228</t>
  </si>
  <si>
    <t>Nanchang Cemented Carbide Limited Liability Company</t>
  </si>
  <si>
    <t>CID002589</t>
  </si>
  <si>
    <t>Niagara Refining LLC</t>
  </si>
  <si>
    <t>PO Box 398, Depew, NY, USA 14043</t>
  </si>
  <si>
    <t>Depew</t>
  </si>
  <si>
    <t>Antwerpen, NA, Roger Showalter</t>
  </si>
  <si>
    <t>NA, roger@buffalotungsten.com, roger@buffalotungsten.com
roger@niagararefining.com, roger@buffalotungsten.com, roger@niagararefining.c, roger@buffalotungsten.com, roger@niagararefining.com, roger@niagararefining.com</t>
  </si>
  <si>
    <t>Conformant-audited by RMI (members / partners)- valid until 08/18/2022, Conformant-Reaudit In Progress, NA, no action need, No Action Required as company is RMAP conformant, None, CFS certified, RCOI validated by RMI Protocols , Supplier contacts: hyeju.lee@amkor.com; catherine.pelissonnier@st.com; ehs@xfab.com; Infineon Customer Contact @infineon.com; joanne.ambat@nepeshayyim.com;  cammmh@towersemi.com; lisa.bjornson@sanmina.com; theodore.knudson@materion.com; yushin@harvatek.com; kalentang@apt-hk.com; t.gruber@ats.net, Validated by RMI until 04/24/2021</t>
  </si>
  <si>
    <t>0, CHINA | Not disclosed by supplier | Some are recycled or scrap sourced but not all | CHINA | Some are recycled or scrap sourced but not all | Some are recycled or scrap sourced but not all. | Not disclosed by supplier | Recycled, Scrap and mines | Recycled, Scrap and mines | Recycled, Scrap and mines, not disclosed by supplier | Some are recycled, scrap or covered countries sourced but not all | Includes Covered Countries, NA, No information, Not disclosure | RCOI confirmed per RMI | Recycled and mining not disclosed by supplier, R/S, HR, CC, LR (See aggregated data below for TI-CMC Sourcing), RCOI confirmed per RMI, Recycled and mining not disclosed by supplier, Recycled, Scrap and mines, Recycled, Scrap and mines | Some are recycled, scrap or covered countries sourced but not all, Recycled, Scrap and mines not disclosed by supplier, Some are recycled or scrap sourced but not all, Some are recycled or scrap sourced but not all. | RCOI confirmed per RMI, Some are recyled/scrap, TI-CMC sourced but not all., Unknown, but some recycled/scrap</t>
  </si>
  <si>
    <t>Argentina, Austria, Belgium, Brazil, Cambodia, Canada, Chile, China, Colombia, Ecuador, Ethiopia, Germany, Guyana, Hungary, India, Japan, Kazakhstan, Korea, Luxembourg, Malaysia, Mongolia, Myanmar, Namibia, Peru, Portugal, Recycled/Scrap, Taiwan, United States, DRC, Burundi, Rwanda, Andorra, Argentina, Aruba, Australia, Austria, Belgium, Bolivia, Brazil, Cambodia, Canada, Chile, China, Colombia, Djibouti, Ecuador, Egypt, Eritrea, Estonia, Ethiopia, France, Germany, Guyana, Hong Kong, Hungary, India, Indonesia, Ireland, Israel, Italy, Ivory Coast, Japan, Kazakhstan, Laos, Luxembourg, Madagascar, Malaysia, Mexico, Mongolia, Mozambique, Myanmar, Namibia, Netherlands, Niger, Nigeria, Panama, Peru, Portugal, Republic of Korea, Russia, Sierra Leone, Singapore, Slovakia, Spain, Suriname, Switzerland, Taiwan, Thailand, USA, United Kingdom, Uzbekistan, Vietnam, Zimbabwe, Recycled/Scrap, Excludes Covered Countries | CHINA | Myanmar, Cambodia, Malaysia, Kazakhstan, Portugal, Austria, Mongolia, Luxembourg, Brazil, Guyana, Korea, Republic of, Chile, Laos, Colombia, Ecuador, Argentina, Hungary, Japan, India, Canada, Belgium, Namibia, Taiwan, Peru, Ethiopia, Germany, Russian Fede | L1, R/S | Some are recycled or scrap sourced but not all | Mineral sourcing L1,R/S, Not disclosed by supplier | Excludes Covered Countries | CHINA | Some are recycled or scrap sourced but not all | Myanmar, Cambodia, Malaysia, Kazakhstan, Portugal, Austria, Mongolia, Luxembourg, Brazil, Guyana, Korea, Republic of, Chile, Laos, Colombia, Ecuador, Argentina, Hungary, | Myanmar, Cambodia, Malaysia, Kazakhstan, Portugal, Mongolia, Austria, Luxembourg, Guyana, Korea, Republic of, Brazil, Chile, Laos, Colombia, Ecuador, Argentina, Hungary, Japan, India, Canada, Belgium, Namibia, Taiwan, Peru, Ethiopia, Germany, Russian Fede | PO Box 398, Depew, NY, USA 14043 | L1, CC, R/S | Mineral sourcing L1, CC, R/S, not disclosed by RMI | Includes Covered Countries | Some are recycled, scrap or covered countries sourced but not all, Includes Covered Countries and CAHRA, Includes Covered Countries and CAHRA | Not disclosure | RCOI confirmed per RMI | Mineral sourcing not disclosed by TI-CMC sourcing, L1, CC, R/S, L1, CC, R/S | Some are recycled, scrap or covered countries sourced but not all | Myanmar, Cambodia, Malaysia, Kazakhstan, Portugal, Mongolia, Austria, Luxembourg, Guyana, Brazil, Korea, Republic of, Chile, Laos, Colombia, Ecuador, Argentina, Hungary, Japan, India, Canada, Belgium, Namibia, Taiwan, Peru, Ethiopia, Germany, Russian Fede | PO Box 398, Depew, NY, USA 14043 | Includes Covered Countries, Mineral sourcing L1, Not disclosed by supplier, Mineral sourcing not disclosed by TI-CMC sourcing, Mineral sourcing R/S and Mined based on RMAP-RMI's RCOI data, Myanmar, Cambodia, Malaysia, Kazakhstan, Portugal, Austria, Mongolia, Luxembourg, Brazil, Guyana, Korea, Republic of,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Mexico, Zimbabwe, Suriname, Israel, Australia, Indonesia, Estonia, Myanmar, Cambodia, Malaysia, Kazakhstan, Portugal, Austria, Mongolia, Luxembourg, Brazil, Korea, Republic of, Guyana, Chile, Laos, Ecuador, Colombia, Argentina, Hungary, Japan, India, Canada, Belgium, Namibia, Taiwan, Peru, Germany, Ethiopia, Russian Federation, Viet Nam, Singapore, United States, Egypt, Madagascar, Sierra Leone, Ivory Coast, Thailand, Bolivia, Netherlands, China, Ireland, Slovakia, Nigeria, France, United Kingdom, Switzerland, Spain, Djibouti, Czech Republic, Zimbabwe, Mexico, Suriname, Israel, Australia, Indonesia, Estonia, Myanmar, Cambodia, Malaysia, Kazakhstan, Portugal, Austria, Mongolia, Luxembourg, Guyana, Brazil, Korea, Republic of, Chile, Laos, Colombia, Ecuador,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Mexico, Zimbabwe, Suriname, Israel, Australia, Estonia, Indonesia, Myanmar, Cambodia, Malaysia, Kazakhstan, Portugal, Austria, Mongolia, Luxembourg, Guyana, Brazil, Korea, Republic of, Chile, Laos, Ecuador, Colombia,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Mexico, Zimbabwe, Suriname, Israel, Australia, Estonia, Indonesia, 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 NA, No information, R/S, RCOI confirmed per RMI, Recycled/Scrap, United States, Brazil, Canada, Japan, Ethiopia, Germany, India, Namibia, Malaysia, Austria, Colombia, Mongolia, Portugal, Peru, Belgium, Myanmar, Luxembourg, Argentina, Cambodia, Chile, Ecuador, Guyana, Hungary, Kazakhstan, Korea, China, Australia, Sierra Leone, Zimbabwe, Niger, Nigeria, Mexico, Spain, Indonesia, Ireland, United Kingdom, Thailand, Djibouti, Egypt, France, Israel, Madagascar, Netherlands, Singapore, Slovakia, Suriname, Switzerland, Estonia, Taiwan, Russian Federation, Viet Nam, Some are recycled or scrap sourced but not all, Some are recyled/scrap, TI-CMC sourced but not all., Unknown, Unspecified covered country, Argentina, Australia, Austria, Belgium, Bolivia, Brazil, Cambodia, Canada, Chile, China, Colombia, Czech Republic, Djibouti, Ecuador, Egypt, Estonia, Ethiopia, France, Germany, Guyana, Hungary, India, Indonesia, Ireland, Israel, Ivory Coast, Japan, Kazakhstan, Laos, Luxembourg, Madagascar, Malaysia, Mexico, Mongolia, Myanmar, Namibia, Netherlands, Nigeria, Peru, Portugal, Republic of Korea, Russia, Sierra Leone, Singapore, Slovakia, Spain, Suriname, Switzerland, Thailand, United Kingdom, USA, Vietnam, Zimbabwe, recycled/scrap</t>
  </si>
  <si>
    <t>Compliant, Compliant Conformant, Conformant, Conformant Smelter, Conformant smelter according to RMI, audit valid until 2022, Conformant Smelter according to RMI, last cycle in 20.04.2018 with a cycle of 1 Year, Listed on CFSI Conflict Free Smelter List, Part or all material comes from Covered Country, RCOI confirmed per RMI / approved by TI-CMC, RMAP Conformant, RMAP Conformant Smelter, RMAP Conformant Smelter / RCOI confirmed per RMI</t>
  </si>
  <si>
    <t>CID000522</t>
  </si>
  <si>
    <t>Refinery of Seemine Gold Co., Ltd.</t>
  </si>
  <si>
    <t>Lanzhou</t>
  </si>
  <si>
    <t>Gansu Sheng</t>
  </si>
  <si>
    <t>Remondis Argentia B.V.</t>
  </si>
  <si>
    <t>CID001555</t>
  </si>
  <si>
    <t>Samduck Precious Metals</t>
  </si>
  <si>
    <t>19B-3L Namdong Industrial Complex, Nonhyeon-dong, Incheon, Korea (facility location).  43 Hambangmoe-ro 318beon-gil, Namdong-Gu, Incheon, Korea</t>
  </si>
  <si>
    <t>Namdong</t>
  </si>
  <si>
    <t>0, Gi-Hyun Kang (President), Gold, KeHyun Kwon, Mr. KeHyun Kwon, Saitama</t>
  </si>
  <si>
    <t>0, Kena01@hanmail.net, kwon0213@daum.net, Samdok Metal</t>
  </si>
  <si>
    <t>Conformant-audited by RMI (members / partners)- valid until 09/11/2022, no action need, No Action Required, No Action Required as company is RMAP conformant, Reaudit In Progress, Remove from supply chain, Samduck Precious Metals, Supplier contacts: hyeju.lee@amkor.com; Infineon Customer Contact @infineon.com;  lisa.bjornson@sanmina.com; yushin@harvatek.com</t>
  </si>
  <si>
    <t>0, KOREA, REPUBLIC OF, LR, R/S, No information, RCOI confirmed per RMI, Recycled and mining not disclosed by supplier, Recycled, Scrap, Recycled, Scrap | Recycled/Scrap | not available | Recycled, Scrap | Recycled/Scrap | Recycled, scrap | Recycled, scrap, Recyled/Scrap, Unknown, but some recycled/scrap</t>
  </si>
  <si>
    <t>Australia, Bolivia (Plurinational State of), Brazil, Canada, China, Eritrea, Ethiopia, Germany, India, Indonesia, Japan, Korea, Mozambique, Namibia, Recycled/Scrap, Rwanda, Sierra Leone, Spain, Sweden, Thailand, United States, Zimbabwe, CID001555, Excludes Covered Countries and CAHRA, Mineral sourcing LR, R/S based on RMAP-RMI's RCOI data, Mineral sourcing R/S based on RMAP-RMI's RCOI data, No information, not available | United States, Japan, Rwanda, Sierra Leone, Bolivia, Thailand, India, Canada, Mozambique, China, Namibia, Korea, Republic of, Brazil, Zimbabwe, Australia, Germany, Ethiopia, Not disclosed | R/S | United States, Japan, Rwanda, Sierra Leone, Bolivia, Thailand, India, Canada, Mozambique, China, Namibia, Brazil, Korea, Republic of, Zimbabwe, Australia, Ethiopia, Germany | Recycled, Scrap | Recycled/Scrap | Engaged in CFSP | Recycled/Scrap Only | Not disclosed | not available | R/S | Recycled/Scrap | United States, Japan, Rwanda, Sierra Leone, Bolivia, Thailand, India, Canada, Mozambique, China, Namibia, Brazil, Korea, Republic of, Zimbabwe, Australia, Ethiopia, Germany | Recycled, Scrap | Recycle | United States, Japan, Rwanda, Sierra Leone, Bolivia, Thailand, India, Canada, Mozambique, China, Namibia, Korea, Republic of, Brazil, Zimbabwe, Australia, Germany, Ethiopia | not available, R/S, RCOI confirmed per RMI, Recycled, Scrap, Recycled/Scrap Only, Recycled/Scrap, Korea, Canada, China, Japan, United States, Australia, Brazil, Ethiopia, Germany, India, Mozambique, Namibia, Rwanda, Sierra Leone, Thailand, Zimbabwe, Indonesia, Recycled/Scrap, Korea, Canada, China, Japan, United States, Australia, Brazil, Ethiopia, Germany, India, Mozambique, Namibia, Rwanda, Sierra Leone, Thailand, Zimbabwe, Indonesia, Bolivia (Plurinational State of), Eritrea, Spain, Sweden, Recyled/Scrap, Republic Of Korea, Recycled/Scrap, USA, Japan, Rwanda, Sierra Leone, Bolivia, Thailand, India, Canada, Mozambique, Namibia, China, Brazil, Zimbabwe, Australia, Germany, Ethiopia, Indonesia, Rwanda, Australia, Bolivia, Brazil, Canada, China, Eritrea, Ethiopia, Germany, India, Indonesia, Japan, Mozambique, Namibia, Republic of Korea, Sierra Leone, Spain, Sweden, Thailand, USA, Zimbabwe, Recycled/Scrap, Rwanda, Australia, Bolivia, Brazil, Canada, China, Ethiopia, Germany, India, Indonesia, Japan, Mozambique, Namibia, Republic of Korea, Sierra Leone, Thailand, USA, Zimbabwe, recycled/scrap, United States, Japan, Rwanda, Sierra Leone, Bolivia, Thailand, India, Canada, Mozambique, China, Namibia, Korea, Republic of, Brazil, Zimbabwe, Australia, Ethiopia, Germany, United States, Japan, Rwanda, Sierra Leone, Bolivia, Thailand, India, Canada, Mozambique, Namibia, China, Korea, Republic of, Brazil, Zimbabwe, Australia, Ethiopia, Germany, United States, Japan, Rwanda, Sierra Leone, Thailand, Bolivia, India, Canada, Mozambique, China, Namibia, Korea, Republic of, Brazil, Zimbabwe, Australia, Ethiopia, Germany, United States, Japan, Rwanda, Sierra Leone, Thailand, Bolivia, India, Canada, Mozambique, Namibia, China, Brazil, Korea, Republic of, Zimbabwe, Australia, Germany, Ethiopia, Unknown</t>
  </si>
  <si>
    <t>Compliant, Compliant Conformant, Conformant, Conformant Smelter, Conformant smelter according to RMI, audit valid until 2022, Conformant Smelter according to RMI, last cycle in 08.03.2016 with a cycle of 3 Years, RCOI confirmed per RMI, RMAP Conformant</t>
  </si>
  <si>
    <t>Changwon</t>
  </si>
  <si>
    <t>CID001562</t>
  </si>
  <si>
    <t>Samwon Metals Corp.</t>
  </si>
  <si>
    <t>20-12, PALYONG-DONG CHANGWON-CITY Gyeongsangnam-do Korea</t>
  </si>
  <si>
    <t>Gyeongsangnam-do</t>
  </si>
  <si>
    <t>Hee Kim, Hee Kim (CEO)</t>
  </si>
  <si>
    <t>samwon9200@nate.com</t>
  </si>
  <si>
    <t>Australia, Canada, China, Hong Kong, Indonesia, Korea, Recycled/Scrap, Sweden, Australia, Canada, China, Hong Kong, Indonesia, Republic of Korea, Sweden, Recycled/Scrap, Canada, Sweden, China, Republic Of Korea, Australia, Recycled/Scrap, Indonesia, Canada, Sweden, Hong Kong, China, Korea, Republic of, Australia, Recycled/Scrap, Korea, China, Canada, Australia, Sweden, Indonesia, Hong Kong, Recycled/Scrap, Korea, China, Canada, Australia, Sweden, Indonesia, Hong Kong, Japan, Unknown</t>
  </si>
  <si>
    <t>CID003529</t>
  </si>
  <si>
    <t>Sancus ZFS (L’Orfebre, SA)</t>
  </si>
  <si>
    <t>Barranquilla</t>
  </si>
  <si>
    <t>Atlántico</t>
  </si>
  <si>
    <t>CID000971</t>
  </si>
  <si>
    <t>KIHONG T &amp; G</t>
  </si>
  <si>
    <t>CID002659</t>
  </si>
  <si>
    <t>Tungsten Diversified Industries LLC</t>
  </si>
  <si>
    <t>WBH,Wolfram [Austria]</t>
  </si>
  <si>
    <t>CID001622</t>
  </si>
  <si>
    <t>Zhaoyuan Gold Group</t>
  </si>
  <si>
    <t>Shandong Zhaojin Gold &amp; Silver Refinery Co., Ltd.</t>
  </si>
  <si>
    <t>CID002750</t>
  </si>
  <si>
    <t>Shenzhen CuiLu Gold Co., Ltd.</t>
  </si>
  <si>
    <t>CID002527</t>
  </si>
  <si>
    <t>Shenzhen Zhonghenglong Real Industry Co., Ltd.</t>
  </si>
  <si>
    <t>CID000456</t>
  </si>
  <si>
    <t>CID002852</t>
  </si>
  <si>
    <t>GGC Gujrat Gold Centre Pvt. Ltd.</t>
  </si>
  <si>
    <t>GCC Gujrat Gold Centre Pvt. Ltd.</t>
  </si>
  <si>
    <t>Gujarat Hosiery Mill Compound, B/h. Vijay Petrol Pump, Raakhial Road, Ahmedabad - 380 021</t>
  </si>
  <si>
    <t>Ahmedabad</t>
  </si>
  <si>
    <t>Mr. Chirag</t>
  </si>
  <si>
    <t>admin@gujaratgoldcentre.com</t>
  </si>
  <si>
    <t>Argentina, Australia, Austria, Belgium, Bolivia, Brazil, Cambodia, Canada, Chile, China, Czech Republic, Djibouti, Ecuador, Egypt, Estonia, Ethiopia, France, Germany, Guyana, Hungary, India, Indonesia, Ireland, Israel, Japan, Kazakhstan, Laos, Luxembourg, Madagascar, Malaysia, Mongolia, Myanmar, Namibia, Netherlands, Nigeria, Peru, Portugal, Republic of Korea, Russia, Sierra Leone, Slovakia, Spain, Suriname, Switzerland, Thailand, United Kingdom, USA, Vietnam, Zimbabwe, recycled/scrap, Argentina, Australia, Austria, Belgium, Bolivia, Brazil, Cambodia, Canada, Chile, China, Djibouti, Ecuador, Egypt, Estonia, Ethiopia, France, Germany, Guyana, Hungary, India, Indonesia, Ireland, Israel, Italy, Japan, Kazakhstan, Laos, Luxembourg, Madagascar, Malaysia, Mongolia, Myanmar, Namibia, Netherlands, Niger, Nigeria, Peru, Portugal, Republic of Korea, Russia, Sierra Leone, Slovakia, Spain, Suriname, Switzerland, Thailand, USA, United Arab Emirates, United Kingdom, Vietnam, Zimbabwe, Recycled/Scrap, Argentina, Australia, Austria, Belgium, Brazil, Cambodia, Canada, Chile, China, Ecuador, Ethiopia, Germany, Guyana, Hungary, India, Japan, Kazakhstan, Korea, Luxembourg, Malaysia, Mongolia, Myanmar, Namibia, Peru, Portugal, Recycled/Scrap, United States, 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 No known country of origin, 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 Recycled/Scrap, India, Japan, China, Argentina, Austria, Belgium, Brazil, Cambodia, Canada, Chile, Ecuador, Ethiopia, Germany, Guyana, Hungary, Kazakhstan, Korea, Luxembourg, Malaysia, Mongolia, Myanmar, Namibia, Peru, Portugal, United States, Australia, Djibouti, Egypt, Estonia, France, Indonesia, Ireland, Israel, Madagascar, Netherlands, Niger, Nigeria, Sierra Leone, Slovakia, Spain, Suriname, Switzerland, Thailand, United Kingdom, Zimbabwe, Viet Nam, United Arab Emirates, Bolivia (Plurinational State of), Italy, Unknown</t>
  </si>
  <si>
    <t>0, Active, On RMAP Active List, RMAP Conformant Smelter</t>
  </si>
  <si>
    <t>CID002243</t>
  </si>
  <si>
    <t>Gold Refinery of Zijin Mining Group Co., Ltd.</t>
  </si>
  <si>
    <t>Shanghang</t>
  </si>
  <si>
    <t>The Great Wall Gold and Silver Refinery of China</t>
  </si>
  <si>
    <t>CID001909</t>
  </si>
  <si>
    <t>Great Wall Precious Metals Co., Ltd. of CBPM</t>
  </si>
  <si>
    <t>No. 191, Huangjin Road, Wenjiang District, Chengdu City, Sichuan Province 611131</t>
  </si>
  <si>
    <t>Chen Jie, Mr. Chen Jie (Deputy Manager)</t>
  </si>
  <si>
    <t>540cj@163.com</t>
  </si>
  <si>
    <t>China, China, Japan, Mexico, Russia, USA, recycled/scrap, China, Japan, Mexico, Recycled/Scrap, Russian Federation, United States, China, Japan, Mexico, Russia, USA, Recycled/Scrap, Recycled/Scrap, China, United States, Japan, Mexico, Russian Federation, Recycled/Scrap, China, United States, Japan, Mexico, Russian Federation, Canada, Indonesia, Switzerland, Australia, Belgium, Brazil, Chile, Malaysia, Singapore, United Kingdom, South Africa, Uzbekistan, Argentina, Austria, Cambodia, Colombia, Djibouti, Ecuador, Egypt, Estonia, Ethiopia, France, Germany, Guyana, Hungary, India, Ireland, Israel, Kazakhstan, Korea, Luxembourg, Madagascar, Mongolia, Myanmar, Namibia, Netherlands, Niger, Nigeria, Peru, Portugal, Sierra Leone, Slovakia, Spain, Suriname, Taiwan, Thailand, Viet Nam, Zimbabwe, Eritrea, Russia, China, Recycled/Scrap, USA, Japan, Mexico, China, Russian Federation, China, Unknown</t>
  </si>
  <si>
    <t>0, Compliant, Compliant Conformant, This smelter/refiner is included on the RMI's Standard Smelter list but is not Conformant to the RMAP. Intel has requested suppliers to remove this SOR from the supply chain.</t>
  </si>
  <si>
    <t>CID001152</t>
  </si>
  <si>
    <t>Metalor Technologies (Singapore) Pte., Ltd.</t>
  </si>
  <si>
    <t>South West</t>
  </si>
  <si>
    <t>CID001157</t>
  </si>
  <si>
    <t>Metalor USA Refining Corporation</t>
  </si>
  <si>
    <t>North Attleboro, Massachusetts, USA</t>
  </si>
  <si>
    <t>North Attleboro</t>
  </si>
  <si>
    <t>Andy Costa, Gold, John Lee, Larry Drummond, Minas Gerais, Nicolas Burgi, Samantha McCourt</t>
  </si>
  <si>
    <t>Andy.costa@metalor.com, John.Lee@metalor.com, larry.drummond@metalor.com, Metalor USA Refining Corporation, Nicolas.Burgi@metalor.com, Samantha.McCourt@metalor.com</t>
  </si>
  <si>
    <t>Conformant-audited by LBMA RG / RJC- valid until 03/27/2024, Conformant-audited by LBMA RG /RJC- valid until 10/02/2021, Metalor USA Refining Corporation, N/A, NA, no action need, No Action Required as company is RMAP conformant, None, CFS Certified, Recycled, Supplier contacts: hyeju.lee@amkor.com; catherine.pelissonnier@st.com; (Phiron) nancy.joy@materion.com; Infineon Customer Contact @infineon.com; os.materialdeclaration@jenoptik.com; nutthaphon@focuz-mfg.com; environment.zs@ShunSinTech.com; WendyWei@subtron.com.tw; (Hong Yuen) dcc_qa@pcb.com.cn; nadine.jahn@aim-micro-systems.de; lisa.bjornson@sanmina.com; theodore.knudson@materion.com; yushin@harvatek.com; Emily_Hsieh@epistar.com; andre.dinther@possehlelectronics.nl; beate.ostermeier@deutsche-technoplast.com; s.rossi@varioprint.ch; Ravikumar.Ramachandran@fci.com; rebecca.cc.lee@avaryholding.com; nalinnipay@lpn.hanabk.th.com; tangxb@scc.com.cn; shelly.ding@inari-amertron.com.cn, Valid until 2024/3/27, Validated by LBMA RG / RJC until 10/02/2022</t>
  </si>
  <si>
    <t>JAPAN | Recycled | Not disclosed per RJC | RCOI confirmed as per RMI but not disclosed by RJC | Some are recycled or scrap sourced but not all. | Recycled | JAPAN | RCOI confirmed as per CFSI but not disclosed by RJC | Mining recycled scrap sources | Not disclosed per RJC | Some are recycled or scrap sourced but not all. | Scrap | RCOI confirmed as per CFSI | Recycled, Scrap and mines | Recycled, Scrap and mines | Scrap | Recycled, Scrap and mines, not disclosed by supplier | RCOI confirmed as per RMI but not disclosed by LBMA, Mining, recycled and scrap sources, Mining, recycled and scrap sources not disclosed by supplier, No information, Not disclosed per RJC/LBMA, RCOI confirmed as per RMI., RCOI confirmed per RMI, Recycled, recycled and scrap, Recycled or scrap, and mining not disclosed by supplier, Recycled or scrap, and mining not disclosed by supplier | Sourced from Mines/Recyale/Scrap | RCOI confirmed per RMI | Mining, recycled and scrap sources | Scrap, Recycled, Scrap and mines, Recycled, Scrap and mines | RCOI confirmed as per RMI but not disclosed by LBMA, Scrap, UNITED STATES OF AMERICA, Unknown, but some recycled/scrap</t>
  </si>
  <si>
    <t>Argentina, Austria, Belgium, Brazil, Cambodia, Canada, China, Colombia, Ecuador, Eritrea, Ethiopia, Germany, Guyana, Hungary, India, Japan, Kazakhstan, Korea, Luxembourg, Malaysia, Mexico, Mongolia, Recycled/Scrap, Switzerland, Taiwan, United States, Bolivia, Brazil, Canada, China, Japan, Mexico, Switzerland, USA, recycled/scrap, Canada, United States, China, Mexico, Switzerland, Canada, USA, China, Mexico, Switzerland, Brazil, Recycled/Scrap, Japan, Boliva, Canada, USA, China, Mexico, Switzerland, Brazil, Recycled/Scrap, Japan, Bolivia, CID001157, DRC, Angola, Burundi, Central African Republic,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North Attleboro, Massachusetts, USA, LBMA Good Delivery Sourcing and RJC Sourcing not disclosed, Scrap &amp;amp; Recycled, Mineral sourcing not disclosed by LBMA and RJC, Mineral sourcing not disclosed by LBMA and RJC | Canada, USA, China, Mexico, Switzerland, Brazil, Recycled/Scrap, Japan, Bolivia | RCOI confirmed per RMI | Mining, recycled and scrap sources, Mining, recycled and scrap sources, No information, Not disclosed per RJC | Recycled | JAPAN | Not disclosed per RJC (Recycled) | Canada, United States, China, Mexico, Switzerland | Mineral sourcing not disclosed per RJC, Recycled | RCOI confirmed as per RMI but not disclosed by RJC | Excludes Covered Countries | Mineral sourcing L1,R/S, Not disclosed by supplier | Not disclosed per RJC | Not disclosed per LBMA | JAPAN | Not disclosed per RJC (Recycled) | RCOI confirmed as per CFSI but not disclosed by RJC | Canada, United States, China, Mexico, Switzerland | Mineral sourcing not disclosed per RJC, Recycled | US Rec | North Attleboro, Massachusetts, USA | RCOI confirmed as per RMI | Known Countries from which LBMA Good Delivery List Refiners Source - Mined  Material (Provided by LBMA) | Not disclosed per LBMA | RCOI confirmed as per RMI but not disclosed by LBMA, Not disclosed per RJC/LBMA, RCOI confirmed as per RMI., RCOI confirmed per RMI, recycled, Recycled/Scrap, United States, Canada, Switzerland, China, Mexico, Japan, Brazil, Recycled/Scrap, United States, Canada, Switzerland, China, Mexico, Japan, Brazil, Eritrea, Taiwan, Argentina, Austria, Belgium, Cambodia, Colombia, Ecuador, Ethiopia, Germany, Guyana, Hungary, India, Kazakhstan, Korea, Luxembourg, Malaysia, Mongolia, Myanmar, Namibia, Peru, Chile, Portugal, Bolivia (Plurinational State of), United Kingdom, Andorra, Australia, Egypt, Estonia, France, Indonesia, Ireland, Israel, Madagascar, Netherlands, Russian Federation, Sierra Leone, Singapore, Slovakia, Suriname, Zimbabwe, Djibouti, Viet Nam, Panama, Kyrgyzstan, Niger, Nigeria, Spain, Thailand, Angola, Burundi, Central African Republic, Congo, Democratic Republic of Congo, Kenya, Mozambique, South Africa, South Sudan, Sudan, Tanzania, Uganda, Zambia, Dominican Republic, Armenia, Azerbaijan, Bahamas, Barbados, Belarus, Benin, Bosnia and Herzegovina, Botswana, Bulgaria, Burkina Faso, Cameroon, Croatia, Cyprus, Denmark, Dominica, El Salvador, Fiji, Finland, Gabon, Gambia, Georgia, Ghana, Greece, Guatemala, Guinea, Honduras, Hong Kong, Iceland, Iran, Italy, Jordan, Kuwait, Latvia, Lebanon, Liberia, Libya, Liechtenstein, Lithuania, Mali, Malta, Mauritania, Mauritius, Morocco, New Caledonia, New Zealand, Nicaragua, Norway, Oman, Pakistan, Papua New Guinea, Philippines, Poland, Puerto Rico, Romania, San Marino, Saudi Arabia, Senegal, Serbia, Slovenia, Solomon Islands, Sweden, Tajikistan, Togo, Trinidad and Tobago, Tunisia, Turkey, Ukraine, United Arab Emirates, Uruguay, Uzbekistan, Yemen, Unknown</t>
  </si>
  <si>
    <t>AIM Solder, Compliant, COMPLIANT 09/22/2015, Compliant Conformant, Conformant, Conformant Smelter, Conformant smelter according to RMI, audit valid until 2024, Conformant Smelter according to RMI, last cycle in 02.10.2020 with a cycle of 1 Year, http://www.metalor.com/en/node_59/about-metalor/Supply-chain-due-diligence, None , RCOI confirmed as per RMAP (LBMA Good Delivery List Refiners Source - Mined  Material, LBMA Good Delivery List Refiners Source - Recycled Material, and/or RJC Refiners Source - Mined  Material), RCOI confirmed per RMI / RJC Sourcing / LBMA Good Delivery Sourcing, RMAP Conformant, RMAP Conformant Smelter, RMAP Conformant Smelter / RCOI confirmed per RMI, T, SC, L, CA</t>
  </si>
  <si>
    <t>CID001193</t>
  </si>
  <si>
    <t>Takehara, Hiroshima, Japan</t>
  </si>
  <si>
    <t>Takehara</t>
  </si>
  <si>
    <t>Hiroshima</t>
  </si>
  <si>
    <t>(+81)3-5437-8000, Conflidential, Fukushima, Gold, Mr. Tatsuyoshi Sakada, Tatsuyoshi Sakada</t>
  </si>
  <si>
    <t>Confidential, http://www.mitsui-kinzoku.co.jp/en/contact/index.html, Inqurities on the home page of the company, Mitsui Mining and Smelting Co., Ltd., sakada@mitsui-kinzoku.com</t>
  </si>
  <si>
    <t>CFS validated, Conformant, Conformant-audited by LBMA RG- valid until 10/21/2022, Mitsui Mining and Smelting Co., Ltd., N/A, no action need, No Action Required as company is RMAP conformant, None, CFS Certified, Supplier contacts: hyeju.lee@amkor.com; catherine.pelissonnier@st.com; (Phiron) nancy.joy@materion.com; Infineon Customer Contact @infineon.com; katsunori.hirata@jp.fujikura.com; zhengna@rohm.com.sg; nadine.jahn@aim-micro-systems.de; lisa.bjornson@sanmina.com; theodore.knudson@materion.com; yushin@harvatek.com; Demi_Lo@arimalasers.com; Emily_Hsieh@epistar.com; t.gruber@ats.net; higuchi.yasunobu.xhfos@showadenko.com; antony@elaser.com.tw, Validated by LBMA RG until 11/17/2022</t>
  </si>
  <si>
    <t>0, Because it is a Conflict-Free Gold Refiner, is no problem., Cadia Hill, Cadia Hill, Collahuasi, Los Pelambres, Escondida, and recycled/scrap, Collahuasi, Los Pelambres, Escondida, Collahuasi and Cadia Hill, Escondida Mine, Recycled/Scrap, Cadia Hill &amp;amp; Ridgeway Mines, Collahuasi Mine, Los Pelambres Mine, From Collahuasi, Los Pelambres, Escondida, Collahuasi, JAPAN, No information, Not disclosed per LBMA, RCOI confirmed as per RMI., RCOI confirmed per RMI, RCOI confirmed per RMI | Recycling and Los Pelambres Mine, Collahuasi Mine, Escondida Mine &amp;amp; Cadia Hill | (1) Los Pelambres Mine, Collahuasi Mine, Escondida Mine.
(2) Cadia Hill &amp;amp; Ridgeway Mines | Recycled | Cadia Hill | recycled, Recycled, Recycled, From Los Pelambres Mine, Collahuasi Mine, Escondida Mine, Cadia Hill &amp;amp; Ridgeway Mines, Recycled, From Los Pelambres Mine, Collahuasi Mine, Escondida Mine, Cadia Hill &amp;amp; Ridgeway Mines | RCOI confirmed as per RMI but not disclosed by LBMA, Recycling and Los Pelambres Mine, Collahuasi Mine, Escondida Mine &amp;amp; Cadia Hill , See aggregated data below for LBMA Good Delivery Sourcing, UNITED STATES OF AMERICA | Recycled, From Los Pelambres Mine, Collahuasi Mine, Escondida Mine, Cadia Hill &amp;amp; Ridgeway Mines | From Los Pelambres Mine Collahuasi Mine Escondida Mine Cadia Hill &amp;amp; Ridgeway Mines | Not disclosed per LBMA | Not Disclosed per LMBA | Not disclosed | Cadia Hill | RCOI confirmed as per RMI but not disclosed by LBMA | Some are recycled or scrap sourced but not all. | Recycled, From Los Pelambres Mine, Collahuasi Mine, Escondida Mine, Cadia Hill &amp;amp; Ridgeway Mines | From Cadia Hill
recycled | UNITED STATES OF AMERICA | RCOI confirmed as per CFSI but not disclosed by LBMA | Because it is a Conflict-Free Gold Refiner, is n | Recycled | Recycled, and mines, from Los Pelambres Mine
Collahuasi Mine
Escondida Mine
Cadia Hill &amp;amp; Ridgeway Mines | Australia
recycled</t>
  </si>
  <si>
    <t>Argentina, Australia, Austria, Belgium, Brazil, Cambodia, Canada, Chile, China, Colombia, Djibouti, Ecuador, Egypt, Eritrea, Estonia, Ethiopia, France, Germany, Hong Kong, Indonesia, Japan, Panama, Peru, Recycled/Scrap, Russian Federation, United States, Australia
recycled, Australia, Canada, Chile, China, Japan, recycled/scrap, Because it is a Conflict-Free Gold Refiner, is no problem., Canada recycled, Canada, China, Japan, Australia, Canada, Japan, China, Australia, Chile, Chile
Australia, CID001193, DRC, Burundi, Rwanda, Tanzania,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Jersey, Jordan, Kazakhstan, Kuwait, Kyrgyzstan,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Tonga, Trinidad and Tobago, Tunisia, Turkey, USA, Ukraine, United Arab Emirates, United Kingdom, Uruguay, Uzbekistan, Vietnam, Yemen, Zimbabwe, Recycled/Scrap, Excludes Covered Countries, From Chile and Australia, Known Countries from which LBMA Good Delivery List Refiners Source - Mined  Material (Provided by LBMA), Known Countries from which LBMA Good Delivery List Refiners Source - Mined  Material (Provided by LBMA) | RCOI confirmed as per RMI but not disclosed by LBMA | Canada, Japan, China, Australia | Takehara, Hiroshima, Japan, Mineral R/S and mining from Australia and Chile, No information, Not disclosed per LBMA, Not disclosed per LBMA | Australia
recycled | Australia
Recycled | UNITED STATES OF AMERICA | Not disclosed per LBMA (L1, Australia) | Canada, China, Japan, Australia | RCOI Confirmed as per CSFI | Not disclosed | RCOI confirmed as per RMI but not disclosed by LBMA | Mineral sourcing L1, Australia | Excludes Covered Countries | Mineral sourcing L1,R/S, Not disclosed by supplier | Not disclosed per LBMA | Mineral sourcing L1
Australia 
recycled | Australia
recycled | UNITED STATES OF AMERICA | Not disclosed per LBMA (L1, Australia) | RCOI confirmed as per CFSI but not disclosed by LBMA | Canada, China, Japan, Australia | Because it | Known Countries from which LBMA Good Delivery List Refiners Source - Mined  Material (Provided by LBMA) | Chile
Australia
recycled | Takehara, Hiroshima, Japan | RCOI confirmed as per RMI | Recycled | Mineral sourcing L1,R/S, Australia, Chile | Chile
Australia, recycled | No, RCOI confirmed as per RMI., RCOI confirmed per RMI, RCOI confirmed per RMI | Mineral R/S and mining from Australia and Chile | (1) Chile   
(2) Australia
Recycled/Scrap, Japan, Australia, Canada | Recycled | Australia
recycled | recycled, Recycled, Recycled/Scrap, Australia, Japan, Canada, China, Chile, Recycled/Scrap, Australia, Japan, Canada, China, Chile, Panama, United States, Hong Kong, Peru, Eritrea, Russian Federation, Belgium, Brazil, Indonesia, Argentina, Austria, Cambodia, Colombia, Djibouti, Ecuador, Egypt, Estonia, Ethiopia, France, Germany, Guyana, Hungary, India, Ireland, Israel, Kazakhstan, Korea, Luxembourg, Madagascar, Malaysia, Mongolia, Myanmar, Namibia, Netherlands, Niger, Nigeria, Portugal, Sierra Leone, Singapore, Slovakia, Spain, Suriname, Switzerland, Taiwan, Thailand, United Kingdom, Viet Nam, Zimbabwe, South Africa, Recycled/Scrap, Japan, Australia, Canada, Unknown</t>
  </si>
  <si>
    <t>Compliant, COMPLIANT 09/22/2015, Compliant Conformant, Conformant, Conformant Smelter, Conformant smelter according to RMI, audit valid until 2022, Conformant Smelter according to RMI, last cycle in 17.11.2020 with a cycle of 1 Year,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CFS.
http://www.conflictfreesmelter.org/CompliantGoldRefinerList.htm, This smelter is RMI Conformant.
http://www.responsiblemineralsinitiative.org/gold-refiners-list/</t>
  </si>
  <si>
    <t>CID002773</t>
  </si>
  <si>
    <t>Metallo-Chimique N.V.</t>
  </si>
  <si>
    <t>Metallo Belgium N.V.</t>
  </si>
  <si>
    <t>Nieuwe Dreef 33, Beerse, Belgium</t>
  </si>
  <si>
    <t>Beerse</t>
  </si>
  <si>
    <t>Bernard Rademakers, Conflidential, Inge Hofkens, Mark Van Loon, Inge Hofkens, Mr.Mark Van Loon, Mrs. Inge Hofkens, Ms Inga Hoffkins, Niels Keyaert / Vanessa Germonpre, Tin</t>
  </si>
  <si>
    <t>Bernard.Rademakers@metallo.com, Confidential, Inge.Hofkens@metallo.com, mark.vanloon@metallo.com, mark.vanloon@metallo.com, inge.hofkens@metallo.com, Metallo Belgium N.V., n.keyaert@aurubis.com / V.Germonpre@aurubis.com</t>
  </si>
  <si>
    <t>Conformant-Reaudit In Progress, Metallo Belgium N.V., N.A. (CFS apporved Smelter), no action need, No Action Required as company is RMAP conformant, None required, None Required - RMI  certifed conflict free, None Required - RMI  certified conflict free, None, CFS Certified, RMAP Compliant Smelter, RMAP Conformant, Supplier contacts: hyeju.lee@amkor.com; catherine.pelissonnier@st.com; oh-dongho@auk.co.kr; hikhor@carsem.com; Infineon Customer Contact @infineon.com;  nutthaphon@focuz-mfg.com; lisa.bjornson@sanmina.com; theodore.knudson@materion.com; yushin@harvatek.com; andreas.schwender@saxonia-tm.de; shelly.ding@inari-amertron.com.cn; Demi_Lo@arimalasers.com; Emily_Hsieh@epistar.com; andre.dinther@possehlelectronics.nl; waikhee.seetho@heraeus.com; cindy.dodd@avx.com; t.gruber@ats.net; beate.ostermeier@deutsche-technoplast.com; Chih-Hung.Chen@opto.com.tw; zenglan.fei@wlcsp.com; s.rossi@varioprint.ch; Ravikumar.Ramachandran@fci.com; Mia_Moh@aseglobal.com, Validated by RMI until 08/25/2022</t>
  </si>
  <si>
    <t>0, BELGIUM, Metallo-Chimique N.V., No information, RCOI confirmed as per RMI, RCOI confirmed per RMI, RCOI confirmed per RMI | Recycled or scrap, and mining not disclosed by supplier | Recycled scrap material | RCOI confirmed as per RMI, Recycled, recycled | Recycled | KOREA, REPUBLIC OF | Some are recycled, scrap, cover countries or DRC sourced but not all. | RCOI confirmed as per CFSI | Not disclosed by supplier | Direct Sourcing : Level 1 countries, Recycled / Scrap  Indirect Supplying Smelter Sourcing : Level 1 countries | Some are recycled or scrap sourced but not all | Direct Sourcing : Level 1 countries, Recycled / Scrap
Indirect Supplying Smelter Sourcing : Level 1 countries | RECYCLED | Recycled | recycled | KOREA, REPUBLIC OF | Some are recycled, scrap, cover countries or DRC sourced but not all. | Some are recycled or scrap sourced but not all | Not disclosed by supplier | RCOI confirmed as per CFSI | Direct Sourcing : Level 1 countrie | Scrap or recycled | Recycled, Scrap and mines | RCOI confirmed as per RMI | Recycled scrap material Copper Tin waste and by product from other European sources of this scrap, Recycled and scrap, and mines not disclosed by supplier, Recycled or scrap, and mining not disclosed by supplier, Recycled scrap material, Recycled, Scrap and mines, Recycled, Scrap and mines | Some are recycled or scrap sourced but not all | Recycled | scrap, Recycled/Scrap, Metallo-Chimique N.V., Some are recycled, scrap, cover countries or DRC sourced but not all. , Some are recycled, scrap, covered countries or DRC sourced but not all, Some are recyled/scrap sourced but not all., Unknown, but some recycled/scrap</t>
  </si>
  <si>
    <t>Argentina, Austria, Belgium, Brazil, Cambodia, Canada, Chile, China, Colombia, Democratic Republic of Congo, Ecuador, Ethiopia, Germany, Guyana, Hungary, India, Japan, Kazakhstan, Korea, Luxembourg, Malaysia, Mongolia, Myanmar, Namibia, Niger, Peru, Portugal, Recycled/Scrap, Spain, Taiwan, Belgium, 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 CID002773, DRC- Congo (Kinshasa), Myanmar, Cambodia, Malaysia, Kazakhstan, Portugal, Austria, Mongolia, Luxembourg, Brazil, Guyana, Korea, Republic of, Chile, Laos, Ecuador, Colombia, Argentina, Hungary, Japan, India, Canada, Belgium, Namibia, Taiwan, Peru, Ethiopia, Germany, Russian Federation, Singapore, Viet Nam, United States, Egypt, Madagascar, Sierra Leone, Ivory Coast, Thailand, Bolivia, Netherlands, China, Ireland, Slovakia, France, Nigeria, United Kingdom, Switzerland, Spain, Djibouti, Czech Republic, Zimbabwe, Suriname, Israel, Australia, Indonesia, Estonia, DRC- Congo (Kinshasa), Myanmar, Cambodia, Malaysia, Kazakhstan, Portugal, Austria, Mongolia, Luxembourg, Korea, Republic of, Guyana, Brazil,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Indonesia, Estonia, DRC- Congo (Kinshasa), Myanmar, Cambodia, Malaysia, Kazakhstan, Portugal, Mongolia, Austria, Luxembourg, Guyana, Brazil, Korea, Republic of, Chile, Laos, Ecuador, Colombia, Argentina, Hungary, Japan, India, Canada, Belgium, Namibia, Taiwan, Peru, Germany, Ethiopia, Russian Federation, Viet Nam, Singapore, United States, Egypt, Madagascar, Sierra Leone, Ivory Coast, Thailand, Bolivia, Netherlands, China, Ireland, Slovakia, France, Nigeria, United Kingdom, Switzerland, Spain, Djibouti, Czech Republic, Zimbabwe, Suriname, Israel, Australia, Estonia, Indonesia, DRC- Congo (Kinshasa), Myanmar, Cambodia, Malaysia, Kazakhstan, Portugal, Mongolia, Austria, Luxembourg, Guyana, Korea, Republic of, Brazil, Chile, Laos, Colombia, Ecuador, Argentina, Hungary, Japan, India, Canada, Belgium, Namibia, Taiwan, Peru, Ethiopia, Germany, Russian Federation, Viet Nam, Singapore, United States, Egypt, Madagascar, Sierra Leone, Ivory Coast, Bolivia, Thailand, Netherlands, Ireland, China, Slovakia, France, Nigeria, United Kingdom, Switzerland, Spain, Djibouti, Czech Republic, Zimbabwe, Suriname, Israel, Australia, Indonesia, Estonia, DRC- Congo (Kinshasa), Myanmar, Cambodia, Malaysia, Kazakhstan, Portugal, Mongolia, Austria, Luxembourg, Korea, Republic of, Guyana, Brazil, Chile, Laos, Colombia, Ecuador, Argentina, Hungary, Japan, India, Canada, Belgium, Namibia, Taiwan, Peru, Ethiopia, Germany, Russian Federation, Singapore, Viet Nam, United States, Egypt, Sierra Leone, Madagascar, Ivory Coast, Bolivia, Thailand, Netherlands, China, Ireland, Slovakia, Nigeria, France, United Kingdom, Switzerland, Spain, Djibouti, Czech Republic, Zimbabwe, Suriname, Israel, Australia, Indonesia, Estonia, DRC,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DRC, Argentina, Australia, Austria, Belgium, Bolivia, Brazil, Cambodia, Canada, Chile, China, Colombia, Djibouti, Ecuador, Egypt, Eritrea, Estonia, Ethiopia, France, Germany, Ghana, Guinea, Guyana, Hungary, India, Indonesia, Ireland, Israel, Ivory Coast, Japan, Kazakhstan, Laos, Lithuania, Luxembourg, Madagascar, Malaysia, Mexico, Mongolia, Mozambique, Myanmar, Namibia, Netherlands, Niger, Nigeria, Peru, Philippines, Portugal, Republic of Korea, Russia, Sierra Leone, Singapore, Slovakia, Spain, Suriname, Switzerland, Taiwan, Thailand, Turkey, USA, United Kingdom, Vietnam, Zimbabwe, Recycled/Scrap, Includes Covered Countries, Includes Covered Countries and CAHRA, Includes Covered Countries and CAHRA | the DRC or an adjoining country(covered countries) | RCOI confirmed per RMI | Mineral sourcing not disclosed | Recycled | RCOI confirmed as per RMI | Not coverd countries area | Recycled/Scrap, Belgium, Brazil, Japan, Peru, Malaysia, Myanmar, Argentina, Mongolia, Portugal, Colombia, Korea, Cambodia, Kazakhstan, Canada, India, Guyana, Austria, Chile, Ecuador, Hungary, Luxembourg, Spain, Namibia, Ethiopia, Germany, China, Niger, Ni, L1, CC, DRC, R/S, L1, CC, DRC, R/S | Some are recycled or scrap sourced but not all | Recycled | scrap | DRC- Congo (Kinshasa), Myanmar, Cambodia, Malaysia, Kazakhstan, Portugal, Mongolia, Austria, Luxembourg, Korea, Republic of, Guyana, Brazil, Chile, Laos, Colombia, Ecuador, Argentina, Hungary, Japan, India, Canada, Belgium, Namibia, Taiwan, Peru, Ethiopia | the DRC or an adjoining country(covered countries) | Not Available | Includes Covered Countries | Nieuwe Dreef 33, Beerse, Belgium, Mineral sourcing LR,R/S based on RMAP-RMI's RCOI data, Mineral sourcing not disclosed, No information, Not coverd countries area, RCOI confirmed as per RMI, RCOI confirmed as per RMI., RCOI confirmed per RMI, Recycled, recycled | Recycled | This column would be traced/certified by CFs program. | Includes Covered Countries | RCOI confirmed as per CFSI | L1, R/S | KOREA, REPUBLIC OF | L1, L3, DRC, R/S | DRC- Congo (Kinshasa), Myanmar, Cambodia, Malaysia, Kazakhstan, Portugal, Austria, Mongolia, Luxembourg, Guyana, Korea, Republic of, Brazil, Chile, Laos, Colombia, Ecuador, Argentina, Hungary, Japan, India, Canada, Belgium, Namibia, Taiwan, Peru, Germany, | BELGIUM | Some are recycled, scrap, cover countries or DRC sourced but not all. | Some are recycled or scrap sourced but not all | Mineral sourcing L1,R/S, Scrap or Recycled | RECYCLED | Recycled | This column would be traced/certified by CFs program. | recycled | L1, R/S | Includes Covered Countries | KOREA, REPUBLIC OF | L1, L3, DRC, R/S | Yes | Some are recycled or scrap sourced but not all | DRC- Congo (Kinshasa), Myanmar, Cambodia, M | the DRC or an adjoining country(covered countries) | Scrap or recycled | DRC- Congo (Kinshasa), Myanmar, Cambodia, Malaysia, Kazakhstan, Portugal, Mongolia, Austria, Luxembourg, Korea, Republic of, Guyana, Brazil, Chile, Laos, Colombia, Ecuador, Argentina, Hungary, Japan, India, Canada, Belgium, Namibia, Taiwan, Peru, Ethiopia | Nieuwe Dreef 33, Beerse, Belgium | RCOI confirmed as per RMI | Not coverd countries area | L1, CC, DRC, R/S | Mineral sourcing L1, R/S, not disclosed by RMI | No | Not Available, Recycled/Scrap, Belgium, Brazil, Japan, Peru, Malaysia, Myanmar, Argentina, Mongolia, Portugal, Colombia, Korea, Cambodia, Kazakhstan, Canada, India, Guyana, Austria, Chile, Ecuador, Hungary, Luxembourg, Spain, Namibia, Ethiopia, Germany, China, Niger, Nigeria, Thailand, Sierra Leone, United States, Ireland, United Kingdom, Indonesia, Australia, Zimbabwe, Netherlands, Djibouti, Egypt, France, Madagascar, Singapore, Slovakia, Switzerland, Estonia, Israel, Suriname, Democratic Republic of Congo, Taiwan, Russian Federation, Viet Nam, Some are recycled, scrap, covered countries or DRC sourced but not all, Some are recycled, scrap, covered countries or DRC sourced but not all. , Some are recyled/scrap sourced but not all., the DRC or an adjoining country(covered countries)</t>
  </si>
  <si>
    <t>Compliant, COMPLIANT 09/22/2015, Compliant Conformant, Conformant, Conformant Smelter, Conformant Smelter - some material may be sourced from the covered countries, Conformant smelter according to RMI, audit valid until 2022, Conformant Smelter according to RMI, last cycle in 25.08.2020 with a cycle of 1 Year, http://www.metallo.com/en/about-metallo/network-of-competencies.html , Part or all material comes from Covered Country, RCOI confirmed as per RMAP, RCOI confirmed per RMI, RMAP certified Conflict Free. Some material sourced from the covered countries., RMAP Conformant, RMAP Conformant Smelter, RMAP Conformant Smelter / RCOI confirmed per RMI, This smelter is CFS.
http://www.conflictfreesmelter.org/CompliantTinSmelterList.htm, This smelter is RMI Conformant.
http://www.responsiblemineralsinitiative.org/tin-smelters-list/</t>
  </si>
  <si>
    <t>CID002774</t>
  </si>
  <si>
    <t>Metallo Spain S.L.U.</t>
  </si>
  <si>
    <t>Barrio Arene, 20 - 48640 Berango Vizcaya, Spain</t>
  </si>
  <si>
    <t>Berango</t>
  </si>
  <si>
    <t>Bizkaia</t>
  </si>
  <si>
    <t>Inge Hofkens, Jiangxi, NA, Niels Keyaert / Vanessa Germonpre, Niels Keyaert
Vanessa Germonpre
Inge Hofkens, Tin</t>
  </si>
  <si>
    <t>Inge.Hofkens@metallo.com, Metallo Spain S.L.U., n.keyaert@aurubis.com / V.Germonpre@aurubis.com, n.keyaert@aurubis.com
V.Germonpre@aurubis.com
Inge.Hofkens@metallo.com, NA</t>
  </si>
  <si>
    <t>Conformant-Reaudit In Progress, Metallo Spain S.L.U., NA, no action need, No Action Required as company is RMAP conformant, None, CFS Certified, RMAP Compliant Smelter, Supplier contacts: hyeju.lee@amkor.com; catherine.pelissonnier@st.com; Infineon Customer Contact @infineon.com;  lisa.bjornson@sanmina.com; yushin@harvatek.com; Emily_Hsieh@epistar.com; cindy.dodd@avx.com, Validated by RMI until 09/01/2022</t>
  </si>
  <si>
    <t>0, NA, NETHERLANDS | Some are recycled or scrap sourced but not all. | Not disclosed by supplier | Some are recycled or scrap sourced but not all | Not disclosed by supplier | NETHERLANDS | Some are recycled or scrap sourced but not all. | Some are recycled or scrap sourced but not all | Recycled, Scrap and mines | Recycled, Scrap and mines, No information, RCOI confirmed per RMI, Recycled, Recycled and scrap, and mines not disclosed by supplier, Recycled or scrap, and mining not disclosed by supplier, Recycled or scrap, and mining not disclosed by supplier | RCOI confirmed per RMI, Recycled, Scrap and mines, Recycled, Scrap and mines | Some are recycled or scrap sourced but not all, Some are recycled or scrap sourced but not all, Some are recycled, scrap, covered countries or DRC sourced but not all. , Some are recycled, scrap, covered countries or DRC sourced but not all. | RCOI confirmed per RMI, Some are recyled/scrap sourced but not all., SPAIN, Unknown, but some recycled/scrap</t>
  </si>
  <si>
    <t>Angola, Argentina, Australia, Austria, Belgium, Brazil, Cambodia, Chile, China, Colombia, Ecuador, Germany, Guyana, Indonesia, Ireland, Kazakhstan, Korea, Luxembourg, Malaysia, Mongolia, Myanmar, Niger, Nigeria, Peru, Portugal, Recycled/Scrap, Spain, Thailand, Angola, Burundi, Central African Republic, Rwanda, South Sudan, Tanzania, Uganda, Zambia, Argentina, Australia, Austria, Belgium, Bolivia, Brazil, Cambodia, Canada, Chile, China, Colombia, Czech Republic, Djibouti, Ecuador, Egypt, Estonia, Ethiopia, France, Germany, Guyana, Hungary, India, Indonesia, Ireland, Israel, Japan, Kazakhstan, Laos, Luxembourg, Madagascar, Malaysia, Mongolia, Myanmar, Namibia, Netherlands, Nigeria, Peru, Portugal, Republic of Korea, Russia, Sierra Leone, Singapore, Slovakia, Spain, Suriname, Switzerland, Thailand, United Kingdom, USA, Vietnam, Zimbabwe, recycled/scrap, CID002774, DRC, Angola, Burundi, Central African Republic, Rwanda, South Sudan, Tanzania, Uganda, Zambia, 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Sudan, Suriname, Sweden, Switzerland, Taiwan, Tajikistan, Thailand, Togo, Trinidad and Tobago, Tunisia, Turkey, USA, Ukraine, United Arab Emirates, United Kingdom, Uruguay, Uzbekistan, Vietnam, Yemen, Zimbabwe, Recycled/Scrap, Excludes Covered Countries | R/S | NETHERLANDS | Some are recycled or scrap sourced but not all. | Spain | L1, R/S | Some are recycled or scrap sourced but not all | Includes Covered Countries | Mineral sourcing L1,R/S, Not disclosed by supplier | R/S | Excludes Covered Countries | NETHERLANDS | Some are recycled or scrap sourced but not all. | Some are recycled or scrap sourced but not all | Spain | Mineral sourcing L1,R/S, Not disclosed by supplier | L1, R/S | Does not source from DRC or covered | Barrio Arene, 20 - 48640 Berango Vizcaya, Spain | L1, CC, DRC, R/S | Mineral sourcing L1, R/S, not disclosed by RMI | Not Available, Excludes Covered Countries and CAHRA, Excludes Covered Countries and CAHRA | Mineral R/S and mineral sourcing not disclosed | RCOI confirmed per RMI, Includes Covered Countries, Includes Covered Countries and CAHRA, L1, CC, DRC, R/S, L1, CC, DRC, R/S | Some are recycled or scrap sourced but not all | Spain | Not Available | Barrio Arene, 20 - 48640 Berango Vizcaya, Spain | Includes Covered Countries, Mineral R/S and mineral sourcing not disclosed, Mineral sourcing LR,R/S based on RMAP-RMI's RCOI data, NA, No information, RCOI confirmed per RMI, Recycled, 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 Recycled/Scrap, Spain, Brazil, Argentina, Malaysia, Portugal, Mongolia, Colombia, Myanmar, Austria, Guyana, Belgium, Korea, Cambodia, Chile, Ecuador, Kazakhstan, Luxembourg, China, Germany, Peru, Thailand, Ireland, Indonesia, Niger, Nigeria, Australia, Zimbabwe, United Kingdom, Namibia, Ethiopia, Netherlands, Angola, India, Canada, Japan, Sierra Leone, United States, Egypt, Hungary, Madagascar, Singapore, South Sudan, Sudan, Estonia, France, Israel, Slovakia, Suriname, Switzerland, Djibouti, Burundi, Tanzania, Zambia, Central African Republic, Rwanda, Uganda, Viet Nam, Russian Federation, Bolivia (Plurinational State of), Andorra, Taiwan, Democratic Republic of Congo, Ghana, Guinea, Mexico, Mozambique, Finland, Italy, Philippines, Sweden, Turkey, Armenia, Azerbaijan, Bahamas, Barbados, Belarus, Benin, Bosnia and Herzegovina, Botswana, Bulgaria, Burkina Faso, Cameroon, Croatia, Cyprus, Denmark, Dominica, Dominican Republic, El Salvador, Eritrea, Fiji, Gabon, Gambia, Georgia, Greece, Guatemala, Honduras, Hong Kong, Iceland, Iran, Jordan, Kuwait, Kyrgyzstan, Latvia, Lebanon, Liberia, Libya, Liechtenstein, Lithuania, Mali, Malta, Mauritania, Mauritius, Morocco, New Caledonia, New Zealand, Nicaragua, Norway, Oman, Pakistan, Panama, Papua New Guinea, Poland, Puerto Rico, Romania, San Marino, Saudi Arabia, Senegal, Serbia, Slovenia, Solomon Islands, Tajikistan, Togo, Trinidad and Tobago, Tunisia, Ukraine, United Arab Emirates, Uruguay, Uzbekistan, Yemen;Spain, Belgium, Recycled/Scrap, Austria, DRC or an adjoining country (Covered Countries), Myanmar, Angola, Cambodia, Malaysia, Kazakhstan, Portugal, Mongolia, Luxembourg, Guyana, Brazil, Republic Of Korea, Chile, Laos, Colombia, Ecuador, Argentina, South, Some are recycled or scrap sourced but not all, Some are recycled, scrap, covered countries or DRC sourced but not all. , Some are recyled/scrap sourced but not all., Spain, 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 the DRC or an adjoining country(covered countries)</t>
  </si>
  <si>
    <t xml:space="preserve"> No, No, No information, RMI, Unknown</t>
  </si>
  <si>
    <t>Compliant, COMPLIANT 09/22/2015, Compliant Conformant, Conformant, Conformant Smelter, Conformant Smelter - some material may be sourced from the covered countries, Conformant smelter according to RMI, audit valid until 2022, Conformant Smelter according to RMI, last cycle in 01.09.2020 with a cycle of 1 Year, Part or all material comes from Covered Country, RCOI confirmed as per RMAP, RCOI confirmed per RMI, RMAP certified Conflict Free. Some material sourced from the covered countries., RMAP Conformant, RMAP Conformant Smelter, RMAP Conformant Smelter / RCOI confirmed per RMI</t>
  </si>
  <si>
    <t>CID002835</t>
  </si>
  <si>
    <t>Mentawak</t>
  </si>
  <si>
    <t>CID001453</t>
  </si>
  <si>
    <t>Komplek Industri dan Pelabuhan Air Kantung, Jelitik Kecamatan Sungailiat, Kabupaten Bangka, Propinsi Kepulauan Bangka Belitung</t>
  </si>
  <si>
    <t>Guangdong, Halal Mochtar, Mr. M. Fitriansyah, Mr. Muhammed Fitrian, Mr. Muhammed Fitriansyah, Mr. Nazar, Muhammed Fitriansyah, NA, Santosa Prasetija, Santosa Prasetija
Mr. Muhammed Fitriansyah, Tin, Ulfah</t>
  </si>
  <si>
    <t> sanpras1205@gmail.com,  sanpras1205@gmail.com
mfitriansyah@gmail.com, hilalmochtar@yahoo.com, mfitriansyah@gmail.com, NA, nazar@msptin.co.id, PT Mitra Stania Prima, sanpras1205@gmail.com, ulfah@arsari.co.id</t>
  </si>
  <si>
    <t>Conformant-audited by RMI (members / partners)- valid until 12/02/2022, Conformant-Reaudit In Progress, N.A. (CFS apporved Smelter), NA, no action need, No Action Required as company is RMAP conformant, None Required - RMI  certifed conflict free, None Required - RMI  certified conflict free, None, CFS Certified, PT Mitra Stania Prima, PT Mitra Stania Prima is on the CFSI active smelter list to become CFSI certified with in 2015, Reaudit In Progress, Recycled, RMAP Compliant Smelter, Supplier contacts: hyeju.lee@amkor.com; catherine.pelissonnier@st.com; oh-dongho@auk.co.kr; Infineon Customer Contact @infineon.com;  nutthaphon@focuz-mfg.com; lisa.bjornson@sanmina.com; theodore.knudson@materion.com; yushin@harvatek.com; andreas.schwender@saxonia-tm.de; Emily_Hsieh@epistar.com; waikhee.seetho@heraeus.com; cindy.dodd@avx.com; t.gruber@ats.net; zenglan.fei@wlcsp.com; Ajeannin@dymax.com; s.rossi@varioprint.ch; Ravikumar.Ramachandran@fci.com; oh-dongho@auk.co.kr</t>
  </si>
  <si>
    <t>0, Blok Bemban Utara, Blok Mapur-Cit, Blok Mapur-Cit, Blok Bemban Utara, Blok Kepuh Utara, Blok Mapur-Cit, Blok Bemban Utara, Blok Kepuh Utara | RCOI confirmed per RMI, Blok Mapur-Cit, Blok Bemban Utara, Blok Kepuh Utara, Kab. Bangka, Kab. Bangka Tengah, and recycled/scrap, CHINA | From Blok Mapur-Cit, Blok Bemban Utara, Blok Kepuh Utara | RCOI confirmed per CFSI. | Blok Mapur-Cit, Blok Bemban Utara, Blok Kepuh Utara | RCOI confirmed as per RMI | From Blok Mapur-Cit, Blok Bemban Utara, Blok Kepuh Utara | CHINA | RCOI confirmed as per CFSI | recycled | RCOI confirmed per CFSI. | INDONESIA | Blok Mapur-Cit, Blok Bemban Utara, Blok Kepuh Utara | recycled | Not disclosed by supplier, From Blok Mapur-Cit, Blok Bemban Utara, Blok Kepuh Utara, From Blok Mapur-Cit, Blok Bemban Utara, Blok Kepuh Utara | RCOI confirmed as per RMI, INDONESIA, LR, NA, No information, RCOI confirmed as per RMI., RCOI confirmed per RMI, Recycled</t>
  </si>
  <si>
    <t>0, Argentina, Australia, Austria, Belgium, Bolivia, Brazil, Cambodia, Canada, Chile, China, Colombia, Czech Republic, Djibouti, Ecuador, Egypt, Estonia, Ethiopia, France, Germany, Guyana, Hungary, India, Indonesia, Ireland, Israel, Ivory Coast, Japan, Kazakhstan, Kyrgyzstan, Laos, Luxembourg, Madagascar, Malaysia, Mexico, Mongolia, Myanmar, Namibia, Netherlands, Nigeria, Peru, Portugal, Republic of Korea, Russia, Sierra Leone, Singapore, Slovakia, Spain, Suriname, Switzerland, Thailand, United Kingdom, USA, Vietnam, Zimbabwe, recycled/scrap, Argentina, Austria, Belgium, Brazil, Cambodia, Canada, Chile, China, Colombia, Ecuador, Ethiopia, Germany, Guyana, Hungary, India, Indonesia, Japan, Kazakhstan, Korea, Luxembourg, Malaysia, Mexico, Mongolia, Myanmar, Namibia, Peru, Portugal, Recycled/Scrap, Taiwan, CID001453, DRC, Angola, Burundi, Central African Republic, Rwanda, South Sudan, Tanzania, Uganda, Zambia,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Ivory Coast, Japan, Jordan, Kazakhstan, Kenya, Kuwait, Kyrgyzstan, Laos, Latvia, Lebanon, Liberia, Libya, Liechtenstein, Lithuania, Luxembourg, Madagascar, Malaysia, Mali, Malta, Mauritania, Mauritius, Mexico, Mongolia, Morocco, Mozambique,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Sudan, Suriname, Sweden, Switzerland, Taiwan, Tajikistan, Thailand, Togo, Trinidad and Tobago, Tunisia, Turkey, USA, Ukraine, United Arab Emirates, United Kingdom, Uruguay, Uzbekistan, Vietnam, Yemen, Zimbabwe, Recycled/Scrap, Excludes Covered Countries, Excludes Covered Countries and CAHRA, Excludes Covered Countries and CAHRA | the DRC or an adjoining country(covered countries) | From Indonesia | Kab. Bangka, Indonesia/ Kab. Bangka Tengah, Indonesia | RCOI confirmed per RMI | INDONESIA, From Indonesia, Indonesia, 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 Kab. Bangka, Indonesia/ Kab. Bangka Tengah, Indonesia, L1, L1 | Excludes Covered Countries | Indonesia | CHINA | Myanmar, Cambodia, Malaysia, Kazakhstan, Portugal, Mongolia, Austria, Luxembourg, Guyana, Brazil, Korea, Republic of, Chile, Laos, Ecuador, Colombia, Argentina, Hungary, Japan, India, Canada, Belgium, Namibia, Taiwan, Peru, Ethiopia, Germany, Russian Fede | RCOI confirmed per CFSI. | Kab. Bangka, Indonesia/ Kab. Bangka Tengah, Indonesia | RCOI confirmed as per RMI | Mineral sourcing L1, Kab. Bangka, Indonesia/ Kab. Bangka Tengah, Indonesia | L1 | Excludes Covered Countries | CHINA | RCOI confirmed as per CFSI | Myanmar, Cambodia, Malaysia, Kazakhstan, Portugal, Mongolia, Austria, Luxembourg, Guyana, Brazil, Korea, Republic of, Chile, Laos, Ecuador, Colombia, Argentina, Hungary, Japan, India, | INDONESIA | Myanmar, Cambodia, Malaysia, Kazakhstan, Portugal, Mongolia, Austria, Luxembourg, Brazil, Guyana, Korea, Republic of, Chile, Laos, Colombia, Ecuador, Argentina, Hungary, Japan, India, Canada, Belgium, Namibia, Taiwan, Peru, Ethiopia, Germany, Russian Fede | Komplek Industri dan Pelabuhan Air Kantung, Jelitik Kecamatan Sungailiat, Kabupaten Bangka, Propinsi Kepulauan Bangka Belitung | Mineral sourcing L1, not disclosed by RMI | No | Not Available, L1 | RCOI confirmed as per RMI | Myanmar, Cambodia, Malaysia, Kazakhstan, Portugal, Mongolia, Austria, Luxembourg, Korea, Republic of, Brazil, Guyana, Chile, Laos, Colombia, Ecuador, Argentina, Hungary, Japan, India, Canada, Belgium, Namibia, Taiwan, Peru, Ethiopia, Germany, Russian Fede | Not Available | Excludes Covered Countries | Komplek Industri dan Pelabuhan Air Kantung, Jelitik Kecamatan Sungailiat, Kabupaten Bangka, Propinsi Kepulauan Bangka Belitung, Mineral sourcing LR from Kab. Bangka, Indonesia/ Kab. Bangka Tengah, Indonesia, Myanmar, Cambodia, Malaysia, Kazakhstan, Portugal, Austria, Mongolia, Luxembourg, Guyana, Korea, Republic of, Brazil, Chile, Laos, Colombia, Ecuador, Argentina, Hungary, Japan, India, Canada, Belgium, Namibia, Taiwan, Peru, Germany, Ethiopia, Russian Federation, Viet Nam, Singapore, United States, Egypt, Sierra Leone, Madagascar, Ivory Coast, Bolivia, Thailand, Netherlands, China, Ireland, Slovakia, France, Nigeria, Kyrgyzstan, United Kingdom, Switzerland, Spain, Djibouti, Czech Republic, Zimbabwe, Mexico, Suriname, Israel, Australia, Indonesia, Estonia, Myanmar, Cambodia, Malaysia, Kazakhstan, Portugal, Mongolia, Austria, Luxembourg, Brazil, Guyana, Korea, Republic of, Chile, Laos, Colombia, Ecuador, Argentina, Hungary, Japan, India, Canada, Belgium, Namibia, Taiwan, Peru, Ethiopia, Germany, Russian Federation, Singapore, Viet Nam, United States, Egypt, Sierra Leone, Madagascar, Ivory Coast, Bolivia, Thailand, Netherlands, Ireland, China, Slovakia, France, Nigeria, Kyrgyzstan, United Kingdom, Switzerland, Spain, Djibouti, Czech Republic, Zimbabwe, Mexico, Suriname, Israel, Australia, Estonia, Indonesia, Myanmar, Cambodia, Malaysia, Kazakhstan, Portugal, Mongolia, Austria, Luxembourg, Brazil, Guyana, Korea, Republic of, Chile, Laos, Colombia, Ecuador, Argentina, Hungary, Japan, India, Canada, Belgium, Namibia, Taiwan, Peru, Germany, Ethiopia, Russian Federation, Viet Nam, Singapore, United States, Egypt, Madagascar, Sierra Leone, Ivory Coast, Bolivia, Thailand, Netherlands, China, Ireland, Slovakia, France, Nigeria, Kyrgyzstan, United Kingdom, Switzerland, Spain, Djibouti, Czech Republic, Mexico, Zimbabwe, Suriname, Israel, Australia, Estonia, Indonesia, Myanmar, Cambodia, Malaysia, Kazakhstan, Portugal, Mongolia, Austria, Luxembourg, Brazil, Guyana, Korea, Republic of, Chile, Laos, Colombia, Ecuador, Argentina, Hungary, Japan, India, Canada, Belgium, Namibia, Taiwan, Peru, Germany, Ethiopia, Russian Federation, Viet Nam, Singapore, United States, Egypt, Madagascar, Sierra Leone, Ivory Coast, Thailand, Bolivia, Netherlands, Ireland, China, Slovakia, France, Nigeria, Kyrgyzstan, United Kingdom, Switzerland, Spain, Djibouti, Czech Republic, Zimbabwe, Mexico, Suriname, Israel, Australia, Indonesia, Estonia, Myanmar, Cambodia, Malaysia, Kazakhstan, Portugal, Mongolia, Austria, Luxembourg, Guyana, Brazil, Korea, Republic of, Chile, Laos, Ecuador, Colombia, Argentina, Hungary, Japan, India, Canada, Belgium, Namibia, Taiwan, Peru, Ethiopia, Germany, Russian Federation, Singapore, Viet Nam, United States, Egypt, Madagascar, Sierra Leone, Ivory Coast, Bolivia, Thailand, Netherlands, Ireland, China, Slovakia, France, Nigeria, Kyrgyzstan, United Kingdom, Switzerland, Spain, Djibouti, Czech Republic, Zimbabwe, Mexico, Suriname, Israel, Australia, Indonesia, Estonia, NA, No information, RCOI confirmed as per RMI, RCOI confirmed as per RMI., RCOI confirmed per RMI, Recycled, Recycled/Scrap, Indonesia, India, Chile, Argentina, Brazil, Malaysia, Mongolia, Portugal, Colombia, Myanmar, Japan, Austria, Guyana, Cambodia, Ecuador, Hungary, Kazakhstan, Korea, Luxembourg, Peru, Canada, Belgium, Germany, Namibia, Ethiopia, Mexico, China, Australia, Niger, Nigeria, Thailand, Ireland, United Kingdom, Zimbabwe, Switzerland, United States, Sierra Leone, Spain, Egypt, France, Madagascar, Netherlands, Singapore, Slovakia, Djibouti, Kyrgyzstan, Estonia, Israel, Suriname, Taiwan, Russian Federation, Viet Nam, the DRC or an adjoining country(covered countries)</t>
  </si>
  <si>
    <t>NO, No information, RMI, Unknown, yes</t>
  </si>
  <si>
    <t>Compliant, COMPLIANT 09/22/2015, Compliant Conformant, Conformant, Conformant Smelter, Conformant smelter according to RMI, audit valid until 2022, Conformant Smelter according to RMI, last cycle in 21.04.2016 with a cycle of 3 Years, None, RCOI confirmed per RMI, RMAP Conformant, RMAP Conformant Smelter, RMAP Conformant Smelter / RCOI confirmed per RMI</t>
  </si>
  <si>
    <t>CID003449</t>
  </si>
  <si>
    <t>PT Mitra Sukses Globalindo</t>
  </si>
  <si>
    <t>Jl. Ketapang Rt 01 Rw 01 Kelurahan Temberan Kecamatan Bukit Intan Kota Pangkalpinang</t>
  </si>
  <si>
    <t>0, Tin</t>
  </si>
  <si>
    <t>0, PT Mitra Sukses Globalindo</t>
  </si>
  <si>
    <t>Conformant-Reaudit In Progress, PT Mitra Sukses Globalindo</t>
  </si>
  <si>
    <t>0, INDONESIA, No information, Not disclosed by supplier, Unknown</t>
  </si>
  <si>
    <t>China, India, Indonesia, Liechtenstein, CID003449, Due diligence results pending, Excludes Covered Countries and CAHRA, India, Indonesia, Mineral sourcing not disclosed, No information, No known country of origin, Unknown</t>
  </si>
  <si>
    <t>0, Active, Compliant, Compliant Conformant, RMAP Conformant Smelter</t>
  </si>
  <si>
    <t>CID003381</t>
  </si>
  <si>
    <t>PT Rajawali Rimba Perkasa</t>
  </si>
  <si>
    <t>Tukak Sadai</t>
  </si>
  <si>
    <t>CID0001460</t>
  </si>
  <si>
    <t>CID001463</t>
  </si>
  <si>
    <t>CID002476</t>
  </si>
  <si>
    <t>PT Singkep Times Utama</t>
  </si>
  <si>
    <t>CID001459</t>
  </si>
  <si>
    <t>CID001468</t>
  </si>
  <si>
    <t>CID001891</t>
  </si>
  <si>
    <t>Telex Metals</t>
  </si>
  <si>
    <t>Telex Metals LLC, 105/115 Phyllis Drive, Croyden, PA 19021 USA</t>
  </si>
  <si>
    <t>Croydon</t>
  </si>
  <si>
    <t>Customer Care, Jim Maguire, Matt Danish, Mr. Jim Maguire, Mr. Jim Maguire (General Manager), NA</t>
  </si>
  <si>
    <t>buv.orders@us.bosch.com, info@telexmetals.com, jim@telexmetals.com, NA</t>
  </si>
  <si>
    <t>Conformant-audited by RMI (members / partners)- valid until 09/17/2022, Conformant-Reaudit In Progress, NA, No Action Required as company is RMAP conformant, None, CFS Certified, Supplier contacts: Infineon Customer Contact @infineon.com; yushin@harvatek.com, Validated by RMI until 09/22/2022</t>
  </si>
  <si>
    <t>0, LR, R/S, NA, No information, RCOI confirmed per RMI, Recycled and mining not disclosed by supplier, Recycled and mining not disclosed by supplier | Some are recycled or scrap sourced but not all., Recycled and scrap, and mines not disclosed by supplier, Recycled materials, raw materials, Recycled, Scrap and mines, Recycled, Scrap and mines | Some are recycled or scrap sourced but not all, Some are recycled, scrap, cover countries or DRC sourced but not all. | Some are recycled or scrap sourced but not all | Some are recycled or scrap sourced but not all | Some are recycled, scrap, cover countries or DRC sourced but not all. | Recycled, Scrap and mines | Recycled, Scrap and mines | Recycled, Scrap and mines, not disclosed by supplier, Some are recycled, scrap, covered countries or DRC sourced but not all, Some are recycled, scrap, covered countries or DRC sourced but not all. | RCOI confirmed per RMI, Some are recyled/scrap sourced but not all.,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</si>
  <si>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Argentina, Austria, Belgium, Brazil, Cambodia, Canada, Chile, China, Colombia, Ecuador, Ethiopia, Germany, Guyana, Hungary, India, Japan, Kazakhstan, Korea, Luxembourg, Malaysia, Mongolia, Myanmar, Namibia, Peru, Portugal, Recycled/Scrap, Taiwan, United States, DRC, Burundi, Rwanda, Argentina, Australia, Austria, Belgium, Bolivia, Brazil, Cambodia, Canada, Chile, China, Colombia, Djibouti, Ecuador, Egypt, Eritrea, Estonia, Ethiopia, France, Germany, Ghana, Guinea, Guyana, Hong Kong, Hungary, India, Indonesia, Ireland, Israel, Italy, Ivory Coast, Japan, Kazakhstan, Laos, Luxembourg, Madagascar, Malaysia, Mexico, Mongolia, Mozambique, Myanmar, Namibia, Netherlands, Niger, Nigeria, Panama, Peru, Portugal, Republic of Korea, Russia, Sierra Leone, Singapore, Slovakia, Spain, Suriname, Sweden, Switzerland, Taiwan, Thailand, USA, United Kingdom, Vietnam, Zimbabwe, Recycled/Scrap, Excludes Covered Countries, Includes Covered Countries, Includes Covered Countries and CAHRA, Includes Covered Countries and CAHRA | Mineral sourcing LR, R/S based on RMAP-RMI's RCOI data | Myanmar, Cambodia, Malaysia, Kazakhstan, Portugal, Mongolia, Austria, Luxembourg, Republic Of Korea, Brazil, Guyana, Chile, Laos, Colombia, Ecuador, Argentina, Hungary, Japan, India, Canada, Belgium, Namibia, China, Peru, Germany, Ethiopia, Russia, Vietna, L1, L2, CC, DRC, R/S | LR, R/S | Some are recycled or scrap sourced but not all | Myanmar, Cambodia, Malaysia, Kazakhstan, Portugal, Mongolia, Austria, Luxembourg, Brazil, Korea, Republic of, Guyana, Chile, Laos, Ecuador, Colombia, Argentina, Hungary, Japan, India, Canada, Belgium, Namibia, Taiwan, Peru, Germany, Ethiopia, Russian Fede | the DRC or an adjoining country(covered countries) | Telex Metals LLC, 105/115 Phyllis Drive, Croyden, PA 19021 USA | Excludes Covered Countries, L1, R/S | Includes Covered Countries | L1, L3, R/S | Myanmar, Cambodia, Malaysia, Kazakhstan, Portugal, Austria, Mongolia, Luxembourg, Brazil, Guyana, Korea, Republic of, Chile, Laos, Colombia, Ecuador, Argentina, Hungary, Japan, India, Canada, Belgium, Namibia, Taiwan, Peru, Ethiopia, Germany, Russian Fede | L1, L2, L3, DRC, R/S | Some are recycled or scrap sourced but not all | Mineral sourcing L1, R/S | L1, R/S | Includes Covered Countries | L1, L3, R/S | Some are recycled or scrap sourced but not all | Myanmar, Cambodia, Malaysia, Kazakhstan, Portugal, Austria, Mongolia, Luxembourg, Brazil, Guyana, Korea, Republic of, Chile, Laos, Colombia, Ecuador, Arg | the DRC or an adjoining country(covered countries) | Myanmar, Cambodia, Malaysia, Kazakhstan, Portugal, Mongolia, Austria, Luxembourg, Korea, Republic of, Brazil, Guyana, Chile, Laos, Colombia, Ecuador, Argentina, Hungary, Japan, India, Canada, Belgium, Namibia, Taiwan, Peru, Germany, Ethiopia, Russian Fede | Telex Metals LLC, 105/115 Phyllis Drive, Croyden, PA 19021 USA | LR, R/S | Mineral sourcing LR,R/S, not disclosed by RMI | Excludes Covered Countries | L1, L2, CC, DRC, R/S, LR, R/S, Mineral sourcing LR, R/S based on RMAP-RMI's RCOI data, Mineral sourcing LR,R/S based on RMAP-RMI's RCOI data, Myanmar, Cambodia, Malaysia, Kazakhstan, Portugal, Austria, Mongolia, Luxembourg, Korea, Republic of, Brazil, Guyana, Chile, Laos, Ecuador, Colombia, Argentina, Hungary, Japan, India, Canada, Belgium, Namibia, Taiwan, Peru, Germany, Ethiopia, Russian Federation, Viet Nam, Singapore, United States, Egypt, Madagascar, Sierra Leone, Ivory Coast, Thailand, Bolivia, Netherlands, China, Ireland, Slovakia, France, Nigeria, Recycle/Scrap, United Kingdom, Switzerland, Spain, Djibouti, Czech Republic, Zimbabwe, Suriname, Israel, Australia, Indonesia, Estonia, Myanmar, Cambodia, Malaysia, Kazakhstan, Portugal, Mongolia, Austria, Luxembourg, Brazil, Korea, Republic of, Guyana, Chile, Laos, Colombia, Ecuador, Argentina, Hungary, Japan, India, Canada, Belgium, Namibia, Taiwan, Peru, Ethiopia, Germany, Russian Federation, Viet Nam, Singapore, United States, Egypt, Sierra Leone, Madagascar, Ivory Coast, Bolivia, Thailand, Netherlands, China, Ireland, Slovakia, Nigeria, France, Recycle/Scrap, United Kingdom, Switzerland, Spain, Djibouti, Czech Republic, Zimbabwe, Suriname, Israel, Australia, Estonia, Indonesia, Myanmar, Cambodia, Malaysia, Kazakhstan, Portugal, Mongolia, Austria, Luxembourg, Guyana, Korea, Republic of, Brazil, Chile, Laos, Ecuador, Colombia, Argentina, Hungary, Japan, India, Canada, Belgium, Namibia, Taiwan, Peru, Ethiopia, Germany, Russian Federation, Singapore, Viet Nam, United States, Egypt, Madagascar, Sierra Leone, Ivory Coast, Thailand, Bolivia, Netherlands, Ireland, China, Slovakia, Nigeria, France, Recycle/Scrap, United Kingdom, Switzerland, Spain, Djibouti, Czech Republic, Zimbabwe, Suriname, Israel, Australia, Estonia, Indonesia, Myanmar, Cambodia, Malaysia, Kazakhstan, Portugal, Mongolia, Austria, Luxembourg, Korea, Republic of, Brazil, Guyana, Chile, Laos, Colombia, Ecuador, Argentina, Hungary, Japan, India, Canada, Belgium, Namibia, Taiwan, Peru, Ethiopia, Germany, Russian Federation, Viet Nam, Singapore, United States, Egypt, Madagascar, Sierra Leone, Ivory Coast, Bolivia, Thailand, Netherlands, Ireland, China, Slovakia, Nigeria, France, Recycle/Scrap, United Kingdom, Switzerland, Spain, Djibouti, Czech Republic, Zimbabwe, Suriname, Israel, Australia, Indonesia, Estonia, 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 NA, No information, R/S, RCOI confirmed per RMI, Recycled/Scrap, United States, Brazil, Guyana, India, Malaysia, Namibia, Ethiopia, Japan, Canada, Korea, Argentina, Austria, Mongolia, Portugal, Kazakhstan, Belgium, Cambodia, Chile, Colombia, Ecuador, Hungary, Luxembourg, Myanmar, Germany, Peru, China, Australia, Niger, Nigeria, Thailand, Zimbabwe, Sierra Leone, France, Madagascar, Spain, Indonesia, Djibouti, Egypt, Ireland, Israel, Netherlands, Singapore, Slovakia, Suriname, Switzerland, United Kingdom, Estonia, Mozambique, Rwanda, Taiwan, Russian Federation, Viet Nam, Some are recycled, scrap, covered countries or DRC sourced but not all, Some are recyled/scrap sourced but not all.</t>
  </si>
  <si>
    <t>Compliant, COMPLIANT 09/22/2015, Compliant Conformant, Conformant, Conformant Smelter, Conformant smelter according to RMI, audit valid until 2022, Conformant Smelter according to RMI, last cycle in 22.09.2020 with a cycle of 1 Year, Listed on CFSI Conflict Free Smelter List, RCOI confirmed as per RMAP, RCOI confirmed per RMI, RMAP Conformant, RMAP Conformant Smelter</t>
  </si>
  <si>
    <t>CID002571</t>
  </si>
  <si>
    <t>Tranzact, Inc.</t>
  </si>
  <si>
    <t>350 N. Marshall Street</t>
  </si>
  <si>
    <t>Lancaster</t>
  </si>
  <si>
    <t>info@tranzactinc.com, info@tranzactinc.com;info@tranzactinc.com;info@tranzactinc.com</t>
  </si>
  <si>
    <t>CID003524</t>
  </si>
  <si>
    <t>CRM Synergies</t>
  </si>
  <si>
    <t>Toledo</t>
  </si>
  <si>
    <t>CID000438</t>
  </si>
  <si>
    <t>ENAF</t>
  </si>
  <si>
    <t>CID001742</t>
  </si>
  <si>
    <t>Sincemat Co, Ltd.</t>
  </si>
  <si>
    <t>CID000942</t>
  </si>
  <si>
    <t>Gejiu Kai Meng Industry and Trade LLC</t>
  </si>
  <si>
    <t>CID001908</t>
  </si>
  <si>
    <t>YunNan Gejiu Yunxin Electrolyze Limited</t>
  </si>
  <si>
    <t>Gejiu Yunxin Nonferrous Electrolysis Co., Ltd.</t>
  </si>
  <si>
    <t>云南省个旧市中山路73-1号2幢301室, 301, Building 2, 73-1, Zhongshan Road, Gejiu, Yunnan, China</t>
  </si>
  <si>
    <t>Mr. Chen, Mrs. Yang Yanlan, Skopje, Tin</t>
  </si>
  <si>
    <t>291982607@qq.com, Gejiu Yunxin Nonferrous Electrolysis Co., Ltd., gjyxys@126.com</t>
  </si>
  <si>
    <t>Conformant- Reaudit In Progress, Gejiu Yunxin Nonferrous Electrolysis Co., Ltd., NA, no action need, No Action Required as company is RMAP conformant, Reaudit In Progress</t>
  </si>
  <si>
    <t>0, CHINA, CHINA | Some are recycled or scrap sourced but not all | CHINA | Some are recycled or scrap sourced but not all | From YUNNAN TIN GROUP | Recycled, Scrap and mines | From YUNNAN TIN GROUP | Recycled, Scrap and mines, L1, R/S, RCOI confirmed per RMI, Recycled and scrap, and mines not disclosed by supplier, Recycled, Scrap and mines, Recycled, Scrap and mines | Some are recycled or scrap sourced but not all, Some are recycled or scrap sourced but not all. , Some are recycled or scrap sourced but not all. | RCOI confirmed per RMI, Some are recycled/scrap sourced but not all., Unknown, but some recycled/scrap</t>
  </si>
  <si>
    <t>Andorra, Argentina, Armenia, Australia, Austria, Azerbaijan, Bahamas, Barbados, Belarus, Belgium, Benin, Bolivia, Bosnia and Herzegovina, Botswana, Brazil, Bulgaria, Burkina Faso, Cambodia, Cameroon, Canada, Chile, China, Colombia, Croatia, Cyprus, Denmark, Djibouti,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South Africa, Spain, Suriname, Sweden, Switzerland, Taiwan, Tajikistan, Thailand, Togo, Trinidad and Tobago, Tunisia, Turkey, USA, Ukraine, United Arab Emirates, United Kingdom, Uruguay, Uzbekistan, Vietnam, Yemen, Zimbabwe, Recycled/Scrap, Australia, Belgium, Bolivia (Plurinational State of), Brazil, Canada, Chile, China, Germany, Indonesia, Japan, Malaysia, Mexico, Peru, Recycled/Scrap, Saudi Arabia, Singapore, South Africa, Switzerland, Taiwan, United Kingdom, United States, Uzbekistan, Australia, Belgium, Bolivia, Canada, Chile, China, Indonesia, Japan, Malaysia, Mexico, Peru, Singapore, South Africa, Switzerland, United Kingdom, USA, Uzbekistan, recycled/scrap, China, CHINA | China | Some are recycled or scrap sourced but not all | Excludes Covered Countries | CHINA | Some are recycled or scrap sourced but not all | China | L1, R/S | No reason to believe sources from DRC or covered countries | Mineral sourcing L1,R/S, Not disclosed by supplier | L1, R/S | 云南省个旧市中山路73-1号2幢301室, 301, Building 2, 73-1, Zhongshan Road, Gejiu, Yunnan, China | Mineral sourcing L1,R/S, Not disclosed by RMI | Not Available, CID001908, Excludes Covered Countries, Excludes Covered Countries and CAHRA, L1, R/S, L1, R/S | Some are recycled or scrap sourced but not all | Not Available | Excludes Covered Countries | 云南省个旧市中山路73-1号2幢301室, 301, Building 2, 73-1, Zhongshan Road, Gejiu, Yunnan, China, Mineral sourcing L1, R/S based on RMAP-RMI's RCOI data, RCOI confirmed per RMI, Recycled/Scrap, China, Indonesia, United Kingdom, Chile, Peru, Australia, United States, Japan, Malaysia, Mexico, Canada, Uzbekistan, Belgium, Singapore, Switzerland, South Africa, Singapore, China, USA, Japan, Uzbekistan, United Kingdom, Malaysia, Bolivia, Switzerland, Canada, Belgium, South Africa, Mexico, Australia, Chile, Indonesia, Recycled/Scrap, Peru, Singapore, China, USA, Japan, Uzbekistan, United Kingdom, Malaysia, Bolivia, Switzerland, Canada, Belgium, South Africa, Mexico, Australia, Chile, Indonesia, Recycled/Scrap, Peru | Some are recycled or scrap sourced but not all. | RCOI confirmed per RMI | Russia, China, Recycled/Scrap, USA, Japan, Mexico, China | Excludes Covered Countries and CAHRA, Some are recycled or scrap sourced but not all. , Some are recycled/scrap sourced but not all., Unknown</t>
  </si>
  <si>
    <t>Compliant, Compliant Conformant, Conformant, Conformant Smelter, Conformant smelter according to RMI, audit valid until 2019, reassessment in progress, Conformant Smelter according to RMI, last cycle in 21.12.2018 with a cycle of 1 Year, RCOI confirmed as per RMAP, RCOI confirmed per RMI, RMAP Conformant, This smelter/refiner is included on the RMI's Standard Smelter list but was removed from the RMAP Conformant Smelter list on July 29, 2022 for not resolving identified nonconformant findings. Our Supplier Intel has requested suppliers to remove this SOR from the supply chain.</t>
  </si>
  <si>
    <t>Gejiu Zi-Li</t>
  </si>
  <si>
    <t>CID000981</t>
  </si>
  <si>
    <t>Kojima Chemicals Co., Ltd.</t>
  </si>
  <si>
    <t>337-26 Kashiwabara, Sayama City, Saitama Prefecture, 350-1335 Japan</t>
  </si>
  <si>
    <t>Sayama</t>
  </si>
  <si>
    <t>Gold, Maiko Kobayashi, Tatsuya Watanabe, Ms. Maiko Kobayashi, NA</t>
  </si>
  <si>
    <t>Kojima Chemicals Co., Ltd., maiko.kobayashi@kojima-c.co.jp, maiko.kobayashi@kojima-c.co.jp, t.watanabe@kojima-c.co.jp, NA</t>
  </si>
  <si>
    <t>Conformant-audited by RMI (members / partners)- valid until 09/10/2023, Kojima Chemicals Co., Ltd., NA, no action need, No Action Required as company is RMAP conformant, None, CFS Certified, Reaudit In Progress, Supplier contacts: hyeju.lee@amkor.com; catherine.pelissonnier@st.com; (Phiron) nancy.joy@materion.com; Infineon Customer Contact @infineon.com; lisa.bjornson@sanmina.com; theodore.knudson@materion.com; yushin@harvatek.com; Emily_Hsieh@epistar.com; t.gruber@ats.net</t>
  </si>
  <si>
    <t>0, JAPAN, LR, R/S, NA, No information, RCOI confirmed per RMI, RCOI confirmed per RMI | Recycled or scrap, and mining not disclosed by supplier | Sourced from Mines/Recyale/Scrap | Recycled, Recycled, Recycled and scrap, and mines not disclosed by supplier, Recycled or scrap, and mining not disclosed by supplier, Recycled, Scrap and mines, Recycled, Scrap and mines | Some are recycled or scrap sourced but not all, Some are recycled or scrap sourced but not all, Some are recycled or scrap sourced but not all. , Some are recycled/scrap sourced but not all., TURKEY | Recycled and from Hishikari Mine, 3844, Hishikari-Maeme, Isa, Kagoshima 895-2701, Japan | Some are recycled or scrap sourced but not all. | From Hishikari Mine, 3844, Hishikari-Maeme, Isa, Kagoshima 895-2701, Japan | Not disclosed | Some are recycled or scrap sourced but not all | Not disclosed by supplier | TURKEY | Recycled and from Hishikari Mine, 3844, Hishikari-Maeme, Isa, Kagoshima 895-2701, Japan | Some are recycled or scrap sourced but not all | Some are recycled or scrap sourced but not all. | Recycled | From Hishikari Min | Recycled | Recycled, Scrap and mines | recycled | Recycled, Scrap and mines, not disclosed by supplier,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</si>
  <si>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Argentina, Australia, Austria, Belgium, Brazil, Cambodia, Canada, Chile, China, Colombia, Ecuador, Ethiopia, Germany, Guyana, Hungary, India, Japan, Kazakhstan, Korea, Luxembourg, Malaysia, Mongolia, Myanmar, Namibia, Peru, Portugal, Recycled/Scrap, Taiwan, United States, Australia recycled, CAHRA, Rwanda, Andorra, Argentina, Australia, Austria, Belgium, Benin, Bolivia, Brazil, Burkina Faso, Cambodia, Canada, Chile, China, Colombia, Djibouti, Ecuador, Egypt, Eritrea, Estonia, Ethiopia, France, Germany, Ghana, Guatemala, Guinea, Guyana, Honduras, Hungary, India, Indonesia, Ireland, Israel, Ivory Coast, Japan, Kazakhstan, Kyrgyzstan, Laos, Luxembourg, Madagascar, Malaysia, Mali, Mauritania, Mongolia, Myanmar, Namibia, Netherlands, Nicaragua, Niger, Nigeria, Panama, Peru, Poland, Portugal, Republic of Korea, Russia, Senegal, Sierra Leone, Singapore, Slovakia, South Africa, Spain, Suriname, Switzerland, Taiwan, Thailand, Togo, Turkey, USA, United Kingdom, Uzbekistan, Vietnam, Zimbabwe, Recycled/Scrap, CID000981, Excludes Covered Countries, Excludes Covered Countries and CAHRA, Includes CAHRA, Includes CAHRA | RCOI confirmed per RMI | Mineral sourcing LR, R/S based on RMAP-RMI's RCOI data | Myanmar, Cambodia, Malaysia, Kazakhstan, Portugal, Mongolia, Austria, Luxembourg, Republic Of Korea, Brazil, Guyana, Chile, Laos, Ecuador, Colombia, Argentina, Hungary, Japan, India, Canada, Belgium, Namibia, China, Peru, Germany, Ethiopia, Russia, Vietna | Recycled or Scrap | recycled | Recycled, 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 Japan, Canada, Peru, Chile, Colombia, Ecuador, Guyana, Brazil, Malaysia, Mongolia, Myanmar, Portugal, Argentina, Austria, India, Cambodia, Hungary, Kazakhstan, Korea, Luxembourg, Ethiopia, Belgium, Germany, Namibia, China, United States, Australia, Thailand, France, Ireland, Madagascar, Niger, Nigeria, Sierra Leone, Spain, United Kingdom, Indonesia, Djibouti, Egypt, Netherlands, Singapore, Slovakia, Suriname, Switzerland, Zimbabwe, Israel, Estonia, Recycled/Scrap, Taiwan, Russian Federation, Viet Nam, Panama, Poland, Turkey, Mali, Ghana, Bolivia (Plurinational State of), Benin, Eritrea, Guinea, Nicaragua, Togo, Burkina Faso, Guatemala, Honduras, Senegal, Rwanda, South Africa, Andorra, Uzbekistan, Kyrgyzstan, Mauritania, L1, R/S, L1, R/S | Recycled/Scrap Only | recycled | Recycled | TURKEY | Myanmar, Cambodia, Malaysia, Kazakhstan, Portugal, Austria, Mongolia, Luxembourg, Guyana, Korea, Republic of, Brazil, Chile, Laos, Colombia, Ecuador, Argentina, Hungary, Japan, India, Canada, Belgium, Namibia, Taiwan, Peru, Ethiopia, Germany, Russian Fede | Saitama | Some are recycled or scrap sourced but not all. | Some are recycled or scrap sourced but not all | Mineral sourcing  R/S, L1 Japan | Excludes Covered Countries | Mineral sourcing L1,R/S, Not disclosed by supplier | L1, R/S | Recycled/Scrap Only | recycled | TURKEY | Some are recycled or scrap sourced but not all | Myanmar, Cambodia, Malaysia, Kazakhstan, Portugal, Austria, Mongolia, Luxembourg, Guyana, Korea, Republic of, Brazil, Chile, Laos, Colombia, Ecuador, Arge | recycle | Myanmar, Cambodia, Malaysia, Kazakhstan, Portugal, Austria, Mongolia, Luxembourg, Brazil, Korea, Republic of, Guyana, Chile, Laos, Colombia, Ecuador, Argentina, Hungary, Japan, India, Canada, Belgium, Namibia, Taiwan, Peru, Ethiopia, Germany, Russian Fede | 337-26 Kashiwabara, Sayama City, Saitama Prefecture, 350-1335 Japan | RCOI confirmed as per RMI | Mineral sourcing L1, R/S, not disclosed by supplier | Yes, L1, R/S | Some are recycled or scrap sourced but not all | 337-26 Kashiwabara, Sayama City, Saitama Prefecture, 350-1335 Japan | Excludes Covered Countries, Mineral sourcing L1,R/S based on RMAP-RMI's RCOI data, Mineral sourcing LR, R/S based on RMAP-RMI's RCOI data, Myanmar, Cambodia, Malaysia, Kazakhstan, Portugal, Austria, Mongolia, Luxembourg, Guyana, Brazil, Korea, Republic of, Chile, Laos, Ecuador, Colombia, Argentina, Hungary, Japan, India, Canada, Belgium, Namibia, Taiwan, Peru, Ethiopia, Germany, Russian Federation, Viet Nam, Singapore, United States, Egypt, Sierra Leone, Madagascar, Ivory Coast, Thailand, Bolivia, Netherlands, China, Ireland, Slovakia, Nigeria, France, United Kingdom, Switzerland, Spain, Djibouti, Czech Republic, Zimbabwe, Suriname, Israel, Australia, Estonia, Indonesia, Myanmar, Cambodia, Malaysia, Kazakhstan, Portugal, Mongolia, Austria, Luxembourg, Brazil, Korea, Republic of, Guyana, Chile, Laos, Ecuador, Colombia, Argentina, Hungary, Japan, India, Canada, Belgium, Namibia, Taiwan, Peru, Ethiopia, Germany, Russian Federation, Viet Nam, Singapore, United States, Egypt, Sierra Leone, Madagascar, Ivory Coast, Thailand, Bolivia, Netherlands, Ireland, China, Slovakia, France, Nigeria, United Kingdom, Switzerland, Spain, Djibouti, Czech Republic, Zimbabwe, Suriname, Israel, Australia, Estonia, Indonesia, Myanmar, Cambodia, Malaysia, Kazakhstan, Portugal, Mongolia, Austria, Luxembourg, Guyana, Brazil, Korea, Republic of, Chile, Laos, Ecuador, Colombia, Argentina, Hungary, Japan, India, Canada, Belgium, Namibia, Taiwan, Peru, Ethiopia, Germany, Russian Federation, Viet Nam, Singapore, United States, Egypt, Madagascar, Sierra Leone, Ivory Coast, Thailand, Bolivia, Netherlands, Ireland, China, Slovakia, France, Nigeria, United Kingdom, Switzerland, Spain, Djibouti, Czech Republic, Zimbabwe, Suriname, Israel, Australia, Indonesia, Estonia, Myanmar, Cambodia, Malaysia, Kazakhstan, Portugal, Mongolia, Austria, Luxembourg, Guyana, Brazil, Korea, Republic of, Chile, Laos, Ecuador, Colombia, Argentina, Hungary, Japan, India, Canada, Belgium, Namibia, Taiwan, Peru, Ethiopia, Germany, Russian Federation, Viet Nam, Singapore, United States, Egypt, Sierra Leone, Madagascar, Ivory Coast, Bolivia, Thailand, Netherlands, China, Ireland, Slovakia, France, Nigeria, United Kingdom, Switzerland, Spain, Djibouti, Czech Republic, Zimbabwe, Suriname, Israel, Australia, Indonesia, Estonia,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NA, No information, RCOI confirmed as per RMI., RCOI confirmed per RMI, Recycled, Some are recycled or scrap sourced but not all, Some are recycled or scrap sourced but not all. , Some are recycled/scrap sourced but not all.</t>
  </si>
  <si>
    <t>Compliant, COMPLIANT 09/22/2015, Compliant Conformant, Conformant, Conformant Smelter, Conformant smelter according to RMI, audit valid until 2023, Conformant Smelter according to RMI, last cycle in 29.06.2017 with a cycle of 3 Years, on "CFS Compliant Smelter List"
jointed "LBMA", RCOI confirmed as per RMAP (LBMA Good Delivery List Refiners Source - Mined  Material, LBMA Good Delivery List Refiners Source - Recycled Material, and/or RJC Refiners Source - Mined  Material), RCOI confirmed per RMI / LBMA Good Delivery Sourcing, RMAP Conformant, RMAP Conformant Smelter, RMAP Conformant Smelter / RCOI confirmed per RMI, SC, This smelter is RMI Conformant.
http://www.responsiblemineralsinitiative.org/gold-refiners-list/</t>
  </si>
  <si>
    <t>Korea Metal Co. Ltd</t>
  </si>
  <si>
    <t>CID000988</t>
  </si>
  <si>
    <t>Korea Metal Co., Ltd.</t>
  </si>
  <si>
    <t>CID002605</t>
  </si>
  <si>
    <t>Korea Zinc Co., Ltd.</t>
  </si>
  <si>
    <t>Young Poong B/D 142 Nonhyeon-dong, Gangnam-gu, Seoul</t>
  </si>
  <si>
    <t>Gangnam</t>
  </si>
  <si>
    <t>Seoul-teukbyeolsi</t>
  </si>
  <si>
    <t>Gold, Koohoi Kim, Moskva</t>
  </si>
  <si>
    <t>khoikim@koreazinc.co.kr, Korea Zinc Co., Ltd.</t>
  </si>
  <si>
    <t>Conformant-audited by RMI (members / partners)- valid until 11/12/2022, Conformant-Reaudit In Progress, Korea Zinc Co., Ltd., no action need, No Action Required as company is RMAP conformant, Reaudit In Progress, Supplier contacts: hyeju.lee@amkor.com; Infineon Customer Contact @infineon.com; lisa.bjornson@sanmina.com; yushin@harvatek.com</t>
  </si>
  <si>
    <t>0, Excludes Covered Countries, KOREA, REPUBLIC OF, LR, R/S, No information, Not disclosed by supplier, Not disclosure | Recycled and mining not disclosed by supplier, RCOI confirmed as per RMI | Not disclosed by supplier, RCOI confirmed as per RMI., RCOI confirmed per RMI, Recycled and mining not disclosed by supplier, Some are recycled or scrap sourced but not all, Unknown, Unknown, but some recycled/scrap, UZBEKISTAN | RCOI confirmed as per RMI | UZBEKISTAN | RCOI confirmed as per CFSI | not available | Not disclosed by supplier | not available | Not disclosed by supplier</t>
  </si>
  <si>
    <t>Australia, Benin, Bolivia (Plurinational State of), Burkina Faso, Canada, Chile, China, Colombia, Ecuador, Eritrea, Ghana, Guatemala, Guinea, Guyana, Honduras, Japan, Korea, Mali, Nicaragua, Panama, Peru, Russian Federation, Thailand, United States, Australia, Benin, Bolivia, Brazil, Burkina Faso, Canada, Chile, China, Colombia, Ecuador, Eritrea, Ethiopia, France, Ghana, Guatemala, Guinea, Guyana, Honduras, Indonesia, Ireland, Japan, Madagascar, Malaysia, Mali, Mongolia, Myanmar, Nicaragua, Niger, Nigeria, Panama, Peru, Portugal, Republic of Korea, Russia, Senegal, Sierra Leone, Spain, Taiwan, Thailand, Togo, Turkey, USA, United Kingdom, Uzbekistan, Recycled/Scrap, Australia, Japan, Republic of Korea, CID002605, Excludes Covered Countries, Excludes Covered Countries and CAHRA, Excludes Covered Countries and CAHRA | Japan, Australia, Republic Of Korea | Mineral sourcing LR, R/S based on RMAP-RMI's RCOI data, Japan, Australia, Republic Of Korea, Korea, Japan, Australia, Korea, Japan, Australia, United States, Peru, China, Thailand, Panama, Colombia, Ghana, Mali, Russian Federation, Benin, Bolivia (Plurinational State of), Burkina Faso, Canada, Chile, Ecuador, Eritrea, Guatemala, Guinea, Guyana, Honduras, Nicaragua, Senegal, Togo, Uzbekistan, Recycled/Scrap, Brazil, Indonesia, Ethiopia, France, Ireland, Madagascar, Malaysia, Mongolia, Myanmar, Niger, Nigeria, Portugal, Sierra Leone, Spain, Taiwan, United Kingdom, Turkey, L1, Mineral sourcing L1 based on RMAP-RMI's RCOI data, Mineral sourcing LR, R/S based on RMAP-RMI's RCOI data, No information, No known country of origin, RCOI confirmed as per RMI., RCOI confirmed per RMI, Some are recycled or scrap sourced but not all, UZBEKISTAN | No known country of origin | RCOI confirmed as per RMI | Excludes Covered Countries | UZBEKISTAN | RCOI confirmed as per CFSI | No known country of origin | L1 | Excludes Covered Countries | No reason to believe sources from DRC or covered countries | Mineral sourcing L1, not disclosed by supplier | L1 | Young Poong B/D 142 Nonhyeon-dong, Gangnam-gu, Seoul | Mineral sourcing L1, not disclosed by RMI, Young Poong B/D 142 Nonhyeon-dong, Gangnam-gu, Seoul | RCOI confirmed as per RMI | L1 | No known country of origin | Excludes Covered Countries</t>
  </si>
  <si>
    <t>Compliant, Compliant Conformant, Conformant, Conformant Smelter, Conformant smelter according to RMI, audit valid until 2022, Conformant Smelter according to RMI, last cycle in 14.10.2016 with a cycle of 3 Years, RCOI confirmed per RMI, RMAP Conformant</t>
  </si>
  <si>
    <t>Kosak Seiren</t>
  </si>
  <si>
    <t>CID001932</t>
  </si>
  <si>
    <t>TIN PLATING GEJIU</t>
  </si>
  <si>
    <t>Tin Plating Gejiu</t>
  </si>
  <si>
    <t>CID001029</t>
  </si>
  <si>
    <t>195, Abdymomunova Str., Bishkek city, Postal code: 720040, The Kyrgyz Republic (KYRGYZSTAN)</t>
  </si>
  <si>
    <t>Chüy</t>
  </si>
  <si>
    <t>Aliya Sultanova</t>
  </si>
  <si>
    <t>sultanova@kyrgyzaltyn.kg</t>
  </si>
  <si>
    <t>No Action Required as company is RMAP conformant, Validated by LBMA RG until 12/09/2022</t>
  </si>
  <si>
    <t>0, Combine Makmalzoloto;The Salton-Sary mine;The Terexay mine; Refinery ;, Combine Makmalzoloto;The Salton-Sary mine;The Terexay mine; Refinery ; | RCOI confirmed as per RMI but not disclosed by LBMA, JAPAN | Combine Makmalzoloto;The Salton-Sary mine;The Terexay mine; Refinery ; | Not disclosed per LBMA | RCOI confirmed as per RMI but not disclosed by LBMA | JAPAN | Combine Makmalzoloto;The Salton-Sary mine;The Terexay mine; Refinery ; | RCOI confirmed as per CFSI but not disclosed by LBMA | Not disclosed per LBMA | Not disclosed by supplier | Not disclosed by supplier, Not disclosed by supplier, Not disclosed per LBMA, RCOI confirmed as per RMI., RCOI confirmed per RMI, Unknown, but some recycled/scrap</t>
  </si>
  <si>
    <t>Australia, Brazil, Japan, Korea, Kyrgyzstan, Panama, Recycled/Scrap, Australia, Brazil, Japan, Kyrgyzstan, Panama, Republic of Korea, Recycled/Scrap, Australia, Brazil, Japan, Kyrgyzstan, Republic of Korea, recycled/scrap, Brazil, Australia, Kyrgyzstan, Brazil, Australia, Kyrgyzstan, Republic Of Korea, Recycled/Scrap, Japan, Excludes Covered Countries, Known Countries from which LBMA Good Delivery List Refiners Source - Mined  Material (Provided by LBMA), Known Countries from which LBMA Good Delivery List Refiners Source - Mined  Material (Provided by LBMA) | RCOI confirmed as per RMI but not disclosed by LBMA | Brazil, Australia, Kyrgyzstan | 195, Abdymomunova Str., Bishkek city, Postal code: 720040, The Kyrgyz Republic (KYRGYZSTAN), LBMA Good Delivery Sourcing based on RMAP-RMI's RCOI data, Not disclosed | JAPAN | Not disclosed per LBMA (Kyrgyz Republic) | Brazil, Australia, Kyrgyzstan | Not disclosed per LBMA | RCOI confirmed as per RMI but not disclosed by LBMA | Excludes Covered Countries | Not disclosed | JAPAN | Not disclosed per LBMA (Kyrgyz Republic) | RCOI confirmed as per CFSI but not disclosed by LBMA | Brazil, Australia, Kyrgyzstan | Not disclosed per LBMA | Known Countries from which LBMA Good Delivery List Refiners Source - Mined | Known Countries from which LBMA Good Delivery List Refiners Source - Mined  Material (Provided by LBMA) | 195, Abdymomunova Str., Bishkek city, Postal code: 720040, The Kyrgyz Republic (KYRGYZSTAN), Not disclosed per LBMA, RCOI confirmed as per RMI., RCOI confirmed per RMI, Recycled/Scrap, Kyrgyzstan, Australia, Brazil, Japan, Korea, Recycled/Scrap, Kyrgyzstan, Australia, Brazil, Japan, Korea, China, United States, Panama, Russian Federation, Uzbekistan, Chile, Unknown</t>
  </si>
  <si>
    <t>0, Compliant, Compliant Conformant, Conformant, Conformant Smelter, Conformant Smelter according to RMI, last cycle in 09.12.2020 with a cycle of 1 Year, RCOI confirmed per RMI / LBMA Good Delivery Sourcing, RMAP Conformant, this smelter is only used in product WPM-FISM</t>
  </si>
  <si>
    <t>CID002865</t>
  </si>
  <si>
    <t>Kyshtym Copper-Electrolytic Plant ZAO</t>
  </si>
  <si>
    <t>Chelyabinskaya Obl., Kyshtym, Ul., Celjabinsk Celjabinskaja, Russia, 95519</t>
  </si>
  <si>
    <t>Kyshtym</t>
  </si>
  <si>
    <t>Chelyabinskaya oblast'</t>
  </si>
  <si>
    <t>Lyubov Kirillova, Mrs. Lyubov Kirillova</t>
  </si>
  <si>
    <t>Kirillova_Lyubov@kmez.rcc-group.ru</t>
  </si>
  <si>
    <t>No known country of origin, Recycled/Scrap, Saudi Arabia, Russia, Saudi Arabia, Russia, Saudi Arabia, Recycled/Scrap, Saudi Arabia, Saudi Arabia, Russian Federation, Recycled/Scrap, India, Indonesia, United Arab Emirates, Canada, Germany, Unknown</t>
  </si>
  <si>
    <t>CID001056</t>
  </si>
  <si>
    <t>Lingbao Gold Company Limited</t>
  </si>
  <si>
    <t>Lingbao Gold Co., Ltd.</t>
  </si>
  <si>
    <t>MassMutual Tower, 19th Floor, Room 1902, 38 Gloucester Road, Wanchai, Hong Kong</t>
  </si>
  <si>
    <t>Lingbao</t>
  </si>
  <si>
    <t>Mr. Peng</t>
  </si>
  <si>
    <t>13939009815@139.com</t>
  </si>
  <si>
    <t>China, China, Recycled/Scrap, Saudi Arabia, China, Saudi Arabia, Recycled/Scrap, Recycled/Scrap, China, Saudi Arabia, Recycled/Scrap, China, Saudi Arabia, China, Recycled/Scrap, China, Saudi Arabia, Mongolia, Argentina, Australia, Austria, Belgium, Brazil, Cambodia, Canada, Chile, Colombia, Djibouti, Ecuador, Egypt, Estonia, Ethiopia, France, Germany, Guyana, Hungary, India, Indonesia, Ireland, Israel, Japan, Kazakhstan, Korea, Luxembourg, Madagascar, Malaysia, Myanmar, Namibia, Netherlands, Niger, Nigeria, Peru, Portugal, Sierra Leone, Singapore, Slovakia, Spain, Suriname, Switzerland, Thailand, United Kingdom, United States, Zimbabwe, Mozambique, Rwanda, Kyrgyzstan, Unknown</t>
  </si>
  <si>
    <t>CID001058</t>
  </si>
  <si>
    <t>Lingbao Jinyuan Tonghui Refinery Co., Ltd.</t>
  </si>
  <si>
    <t>CID002762</t>
  </si>
  <si>
    <t>L'Orfebre S.A.</t>
  </si>
  <si>
    <t>Andorra</t>
  </si>
  <si>
    <t>C/ Prat de la creu 59-65 Esc. A 3º AD500, Andorra la Vella</t>
  </si>
  <si>
    <t>Andorra la Vella</t>
  </si>
  <si>
    <t>Eduardo Sotilla, Eduardo Sotilla
Elisabet Perez, Elisabet Perez, Gold</t>
  </si>
  <si>
    <t>eperez@lorfebre.com, ESotilla@lorfebre.com, ESotilla@lorfebre.com
eperez@lorfebre.com, L'Orfebre S.A.</t>
  </si>
  <si>
    <t>Conformant, Conformant- Reaudit In Progress, L'Orfebre S.A., no action need, No Action Required as company is RMAP conformant, Reaudit In Progress, Supplier contacts: hyeju.lee@amkor.com; Infineon Customer Contact @infineon.com;  lisa.bjornson@sanmina.com; yushin@harvatek.com; t.gruber@ats.net</t>
  </si>
  <si>
    <t>0, ANDORRA, HR, CC, R/S, No information, RCOI confirmed per RMI, Recycled and mining not disclosed by supplier, Recycled and mining not disclosed by supplier | Sourced from Mines/Recyale/Scrap, Some are recycled, scrap or cover countries sourced but not all. | Some are recycled, scrap or covered countries sourced but not all, Some are recycled, scrap or covered countries sourced but not all, Some are recycled, scrap or covered countries sourced but not all. , Some are recycled/ scrap, high risk countries, covered countries sourced but not all, Unknown, but some recycled/scrap</t>
  </si>
  <si>
    <t>Argentina, Austria, Belgium, Brazil, Cambodia, Canada, Chile, China, Colombia, Ecuador, Ethiopia, France, Germany, Guyana, Hungary, India, Ireland, Japan, Kazakhstan, Korea, Luxembourg, Madagascar, Malaysia, Mongolia, Myanmar, Namibia, Peru, Portugal, Recycled/Scrap, Tanzania, 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 Brazil, Colombia, Malaysia, Mongolia, Myanmar, Portugal, Japan, Canada, Argentina, Austria, Chile, Ecuador, India, Belgium, Cambodia, Guyana, Hungary, Kazakhstan, Korea, Luxembourg, Namibia, China, Ethiopia, Peru, Germany, France, Ireland, Madagascar, Niger, Nigeria, Sierra Leone, Spain, Thailand, United Kingdom, United States, Australia, Indonesia, Djibouti, Egypt, Israel, Netherlands, Singapore, Slovakia, Suriname, Switzerland, Zimbabwe, Estonia, Uzbekistan, Mexico, Recycled/Scrap, Tanzania, Andorra, Taiwan, Democratic Republic of Congo, Mozambique, Burundi, Russian Federation, Rwanda, Viet Nam, Mali, Uganda, Zambia, Ghana, Bolivia (Plurinational State of), Benin, Eritrea, Guinea, Mauritania, Nicaragua, Togo, 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 CID002762, DRC, Burundi, Rwanda, Tanzania, Uganda, Zambia, Andorra, Argentina, Australia, Austria, Belgium, Benin, Bolivia, Brazil, Cambodia, Canada, Chile, China, Colombia, Djibouti, Ecuador, Egypt, Eritrea, Estonia, Ethiopia, France, Germany, Ghana, Guinea, Guyana, Hungary, India, Indonesia, Ireland, Israel, Ivory Coast, Japan, Kazakhstan, Laos, Luxembourg, Madagascar, Malaysia, Mali, Mauritania, Mexico, Mongolia, Mozambique, Myanmar, Namibia, Netherlands, Nicaragua, Niger, Nigeria, Peru, Portugal, Republic of Korea, Russia, Sierra Leone, Singapore, Slovakia, Spain, Suriname, Switzerland, Taiwan, Thailand, Togo, USA, United Kingdom, Uzbekistan, Vietnam, Zimbabwe, Recycled/Scrap, Includes CAHRA, Includes Covered Countries, Includes Covered Countries and CAHRA, Includes Covered Countries and CAHRA | Mineral sourcing HR, CC, R/S, based on RMAP-RMI's RCOI data | China, Myanmar, Cambodia, Malaysia, Kazakhstan, Portugal, Austria, Mongolia, Luxembourg, Guyana, Brazil, Republic Of Korea, Chile, Laos, Colombia, Ecuador, Argentina, Hungary, Japan, India, Canada, Belgium, Namibia, Peru, Germany, Ethiopia, Russia, Singap | Tanzania, L1, CC, R/S | Some are recycled, scrap or covered countries sourced but not all | Includes Covered Countries, Mineral sourcing from Tanzania, Mineral sourcing HR, CC, R/S, based on RMAP-RMI's RCOI data , No information, No known country of origin, No known country of origin | No known country of origin | Does not source from DRC or covered countries | L1, CC, R/S | Includes Covered Countries | Some are recycled, scrap or covered countries sourced but not all, RCOI confirmed per RMI, Some are recycled, scrap or covered countries sourced but not all, Some are recycled, scrap or covered countries sourced but not all. , Some are recycled/ scrap, high risk countries, covered countries sourced but not all, Tanzania, Tanzania, Argentina, Australia, Austria, Belgium, Bolivia, Brazil, Cambodia, Canada, Chile, China, Colombia, Czech Republic, Djibouti, Ecuador, Egypt, Estonia, Ethiopia, France, Germany, Guyana, Hungary, India, Indonesia, Ireland, Israel, Ivory Coast, Japan, Kazakhstan, Laos, Luxembourg, Madagascar, Malaysia, Mexico, Mongolia, Myanmar, Namibia, Netherlands, Nigeria, Peru, Portugal, Republic of Korea, Russia, Sierra Leone, Singapore, Slovakia, Spain, Suriname, Switzerland, Thailand, United Kingdom, USA, Uzbekistan, Vietnam, Zimbabwe, recycled/scrap, the DRC or an adjoining country(covered countries)</t>
  </si>
  <si>
    <t>Compliant, Compliant Conformant, Conformant, Conformant Smelter, Conformant Smelter - some material may be sourced from the covered countries, Conformant smelter according to RMI, audit valid until 2020, reassessment in progress, Conformant Smelter according to RMI, last cycle in 02.08.2019 with a cycle of 1 Year, Part or all material comes from Covered Country, RCOI confirmed per RMI, RMAP certified Conflict Free. Some material sourced from the covered countries., RMAP Conformant, This smelter is RMI Conformant.
http://www.responsiblemineralsinitiative.org/gold-refiners-list/</t>
  </si>
  <si>
    <t>CID001078</t>
  </si>
  <si>
    <t>LS-NIKKO Copper Inc.</t>
  </si>
  <si>
    <t>Onsan, Republic of Korea</t>
  </si>
  <si>
    <t>Onsan-eup</t>
  </si>
  <si>
    <t>Ulsan-gwangyeoksi</t>
  </si>
  <si>
    <t>0, Gold, Jeong Hoon Shin, JUNG. Jin.Won., soon-yul, hong, SY Hong;
JinWon Jung;
BH Choi</t>
  </si>
  <si>
    <t>0, gogilra11@lsnikko.com, jhshin@lsnikko.com, LS-NIKKO Copper Inc., syhong@lsnikko.com, syhong@lsnikko.com;
gogilra11@lsnikko.com;
eun85710@nate.com</t>
  </si>
  <si>
    <t>Conformant-audited by LBMA RG- valid until 05/19/2023, Conformant-audited by LBMA RG- valid until 10/29/2022, It already pass audit., LS-NIKKO Copper Inc., no action need, No Action Required as company is RMAP conformant, None, CFS Certified, RMAP Compliant Smelter, Supplier contacts: hyeju.lee@amkor.com; catherine.pelissonnier@st.com; (Phiron) nancy.joy@materion.com; Infineon Customer Contact @infineon.com; soralee@asekr.com; nadine.jahn@aim-micro-systems.de; lisa.bjornson@sanmina.com; theodore.knudson@materion.com; yushin@harvatek.com; Emily_Hsieh@epistar.com; kalentang@apt-hk.com; t.gruber@ats.net; nalinnipay@lpn.hanabk.th.com; soralee@asekr.com, Validated by LBMA RG until 06/04/2022</t>
  </si>
  <si>
    <t>0, Escondida,Andia,Cuquicamata and Vale, From Escondida, Andia, Cuquicamata,Vale, From Escondida, Andia, Cuquicamata,Vale | RCOI confirmed as per RMI but not disclosed by LBMA, From Vale,Escondida, Andia, Cuquicamata, KOREA, REPUBLIC OF, No information, Not disclosed per LBMA, RCOI confirmed as per RMI., RCOI confirmed per RMI, Recycled, Recycled/Scrap, Cuquicamata, Vale, Codelco, Escondida, Minera Escondida Limitada, See aggregated data below for LBMA Good Delivery Sourcing, UNITED STATES OF AMERICA | From Escondida, Andia, Cuquicamata, Vale | From Escondida, Andia, Cuquicamata,Vale | Not disclosed per LBMA | Not Disclosed per LBMA | Vale | RCOI confirmed as per RMI but not disclosed by LBMA | Some are recycled or scrap sourced but not all. | From Escondida, Andia, Cuquicamata, Vale | From Escondida, Andia, Cuquicamata | UNITED STATES OF AMERICA | RCOI confirmed as per CFSI but not disclosed by LBMA | Not disclosed per LBMA | Recycled | Some are recycled or scrap sourced but not all. | From Es | Recycled | Recycled, Scrap and mines, from Escondida, Andia, Cuquicamata,Vale, Vale, Vale | (1) Vale
(2) MINERA ESCONDIDA LIMITADA
(3) Republic Of Korea, Brazil, Chile, Recycled/Scrap, Singapore, China, USA, Japan, Kazakhstan, India, Mexico, South Africa, Australia, Peru, Indonesia, DRC or an adjoining country (Covered Countries), Thailand | RCOI confirmed per RMI | Recycled, Vale, Escondida, Andia, Cuquicamata, and recycled/scrap</t>
  </si>
  <si>
    <t>Argentina, Australia, Austria, Belgium, Brazil, Cambodia, Canada, Chile, China, Colombia, Ecuador, Guyana, Hong Kong, Hungary, India, Indonesia, Japan, Kazakhstan, Korea, Mexico, Peru, Recycled/Scrap, Singapore, South Africa, Thailand, United States, Australia, Brazil, Chile, China, Hong Kong, India, Indonesia, Japan, Kazakhstan, Mexico, Peru, Republic of Korea, Singapore, South Africa, Thailand, USA, recycled/scrap, Brazil, Chile, Chille,Codelco, CID001078, DRC, Argentina, Australia, Austria, Belgium, Brazil, Cambodia, Canada, Chile, China, Colombia, Djibouti, Ecuador, Egypt, Eritrea, Estonia, Ethiopia, France, Germany, Guyana, Hong Kong, Hungary, India, Indonesia, Ireland, Israel, Japan, Jersey, Kazakhstan, Kenya, Luxembourg, Madagascar, Malaysia, Mexico, Mongolia, Mozambique, Myanmar, Namibia, Netherlands, Niger, Nigeria, Panama, Peru, Portugal, Republic of Korea, Russia, Sierra Leone, Singapore, Slovakia, South Africa, Spain, Suriname, Switzerland, Taiwan, Thailand, USA, United Kingdom, Vietnam, Zimbabwe, Recycled/Scrap, From Brazil and Chile, Known Countries from which LBMA Good Delivery List Refiners Source - Mined  Material (Provided by LBMA), Known Countries from which LBMA Good Delivery List Refiners Source - Mined  Material (Provided by LBMA) | RCOI confirmed as per RMI but not disclosed by LBMA | Singapore, Hong Kong, United States, Japan, Kazakhstan, India, China, Korea, Republic of, Brazil, South Africa, Mexico, Chile, Australia, Peru, Indonesia | Onsan, Republic of Korea, Mineral R/S and mining from Brazil, Mineral R/S and mining from Brazil | Argentina, Australia, Austria, Belgium, Brazil, Cambodia, Canada, Chile, China, Colombia, Ecuador, Guyana, Hong Kong, Hungary, India, Indonesia, Japan, Kazakhstan, Korea, Mexico, Peru, Recycled/Scrap, Singapore, South Africa, Thailand, United States | (1) Brazil
(2) Chile
(3) Republic Of Korea, Brazil, Chile, Recycled/Scrap, Singapore, China, USA, Japan, Kazakhstan, India, Mexico, South Africa, Australia, Peru, Indonesia, DRC or an adjoining country (Covered Countries), Thailand | RCOI confirmed per RMI | Brazil | Recycled/Scrap, Brazil, Korea, Chile, India, Kazakhstan, Japan, South Africa, Australia, Indonesia, China, United States, Peru, Singapore, Mexico, Thailand, Hong Kong | Recycled etc., No information, Not disclosed per LBMA, Not disclosed per LBMA | UNITED STATES OF AMERICA | Not disclosed per LBMA (Chile) | Singapore, Hong Kong, United States, Japan, Kazakhstan, India, China, Korea, Republic of, Brazil, Mexico, South Africa, Australia, Chile, Peru, Indonesia | Mineral sourcing not disclosed per LBMA, Chile, Brazil | RCOI Confirmed as per CSFI | Brazil | RCOI confirmed as per RMI but not disclosed by LBMA | Mineral sourcing not disclosed per LBMA, Chile | Mineral sourcing L1,R/S, Not disclosed by supplier | Not disclosed per LBMA | Chile, Brazil, Vales | UNITED STATES OF AMERICA | Not disclosed per LBMA (Chile) | RCOI confirmed as per CFSI but not disclosed by LBMA | Singapore, Hong Kong, United States, Japan, Kazakhstan, India, China, Korea, Republic of, Br | Known Countries from which LBMA Good Delivery List Refiners Source - Mined  Material (Provided by LBMA) | Partially scrap and using LSNC gold basically | Recycled | Onsan, Republic of Korea | Recycled etc. | Mineral sourcing L1, R/S, from Chile, Brazil, RCOI confirmed as per RMI., RCOI confirmed per RMI, Recycled etc., Recycled/Scrap, Brazil, Korea, Chile, India, Kazakhstan, Japan, South Africa, Australia, Indonesia, China, United States, Peru, Singapore, Mexico, Thailand, Hong Kong, Recycled/Scrap, Brazil, Korea, Chile, India, Kazakhstan, Japan, South Africa, Australia, Indonesia, China, United States, Peru, Singapore, Mexico, Thailand, Hong Kong, Argentina, Austria, Belgium, Cambodia, Canada, Colombia, Ecuador, Guyana, Hungary, Luxembourg, Malaysia, Mongolia, Myanmar, Namibia, Portugal, Jersey, Mozambique, Taiwan, Germany, Djibouti, Egypt, Estonia, Ethiopia, France, Ireland, Israel, Madagascar, Netherlands, Niger, Nigeria, Sierra Leone, Slovakia, Spain, Suriname, Switzerland, United Kingdom, Zimbabwe, Eritrea, Kenya, Russian Federation, Viet Nam, Panama, Republic Of Korea, Brazil, Chile, Recycled/Scrap, Singapore, China, USA, Japan, Kazakhstan, India, Mexico, South Africa, Australia, Peru, Indonesia, DRC or an adjoining country (Covered Countries), Thailand, Singapore, Hong Kong, United States, Japan, Kazakhstan, India, China, Brazil, Korea, Republic of, Mexico, South Africa, Australia, Chile, Peru, Indonesia, Singapore, Hong Kong, United States, Japan, Kazakhstan, India, China, Brazil, Korea, Republic of, South Africa, Mexico, Australia, Chile, Peru, Indonesia, Singapore, Hong Kong, United States, Japan, Kazakhstan, India, China, Brazil, Korea, Republic of, South Africa, Mexico, Chile, Australia, Peru, Indonesia, Unknown</t>
  </si>
  <si>
    <t>Compliant, Compliant Conformant, Conformant, Conformant Smelter, Conformant smelter according to RMI, audit valid until 2022, Conformant Smelter according to RMI, last cycle in 04.06.2020 with a cycle of 1 Year,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This smelter is RMI Conformant.
http://www.responsiblemineralsinitiative.org/gold-refiners-list/</t>
  </si>
  <si>
    <t>CID003575</t>
  </si>
  <si>
    <t>Metal Concentrators SA (Pty) Ltd.</t>
  </si>
  <si>
    <t>CID003557</t>
  </si>
  <si>
    <t>Metallix Refining Inc.</t>
  </si>
  <si>
    <t>Greenville</t>
  </si>
  <si>
    <t>Metalor Switzerland</t>
  </si>
  <si>
    <t>Marin</t>
  </si>
  <si>
    <t>CID002509</t>
  </si>
  <si>
    <t>MMTC-PAMP India Pvt., Ltd.</t>
  </si>
  <si>
    <t>Mewat, Haryana, India</t>
  </si>
  <si>
    <t>Mewat</t>
  </si>
  <si>
    <t>Haryana</t>
  </si>
  <si>
    <t>Gold, Hong Kong, Rajesh Khosla</t>
  </si>
  <si>
    <t>MMTC-PAMP India Pvt., Ltd., rajesh.khosla@mmtcpamp.com</t>
  </si>
  <si>
    <t>Conformant, Conformant-audited by LBMA RG- valid until 07/24/2023, MMTC-PAMP India Pvt., Ltd., no action need, No Action Required as company is RMAP conformant, None, CFSP Certified, Supplier contacts: hyeju.lee@amkor.com; Infineon Customer Contact @infineon.com; lisa.bjornson@sanmina.com; yushin@harvatek.com, Validated by LBMA RG until 11/11/2022</t>
  </si>
  <si>
    <t>0, AUSTRALIA | Iron Ore Mine at Koira in the districts of Sundergarh and Koenjhar | Not disclosed per LBMA | RCOI confirmed as per RMI but not disclosed by LBMA | AUSTRALIA | Iron Ore Mine at Koira in the districts of Sundergarh and Koenjhar | RCOI confirmed as per CFSI but not disclosed by LBMA | Not disclosed per LBMA | Not disclosed by supplier | Not disclosed by supplier, INDIA, Iron Ore Mine at Koira in the districts of Sunderg and recycled/scrap, Iron Ore Mine at Koira in the districts of Sundergarh and Koenjhar, Iron Ore Mine at Koira in the districts of Sundergarh and Koenjhar | RCOI confirmed as per RMI but not disclosed by LBMA, No information, Not disclosed by supplier, Not disclosed per LBMA, RCOI confirmed as per RMI., RCOI confirmed per RMI, See aggregated data below for LBMA Good Delivery Sourcing, Sourced from Mines/Recyale/Scrap | Not disclosed by supplier, Unknown, but some recycled/scrap</t>
  </si>
  <si>
    <t>Andorra, Argentina, Armenia, Aruba, Australia, Austria, Azerbaijan, Bahamas, Barbados, Belarus, Belgium, Benin, Brazil, China, Eritrea, India, Japan, Kenya, Panama, Recycled/Scrap, Russian Federation, Switzerland, Tanzania, United States, Zambia, Zimbabwe, AUSTRALIA | Not disclosed per LBMA (Brazil, Zambia, Kenya, Zimbabwe and Russia) | United States, India | Not disclosed per LBMA | RCOI confirmed as per RMI but not disclosed by LBMA | CFSP Compliant | AUSTRALIA | Not disclosed per LBMA (Brazil, Zambia, Kenya, Zimbabwe and Russia) | RCOI confirmed as per CFSI but not disclosed by LBMA | United States, India | Not disclosed per LBMA | Known Countries from which LBMA Good Delivery List Refiners Source - M | Known Countries from which LBMA Good Delivery List Refiners Source - Mined  Material (Provided by LBMA) | Mewat, Haryana, India, CID002509, DRC, Tanzania, Zambia, Andorra, Argentina, Armenia, Aruba,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Kenya,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Known Countries from which LBMA Good Delivery List Refiners Source - Mined  Material (Provided by LBMA), Known Countries from which LBMA Good Delivery List Refiners Source - Mined  Material (Provided by LBMA) | RCOI confirmed as per RMI but not disclosed by LBMA | Mewat, Haryana, India, LBMA Good Delivery Sourcing based on RMAP-RMI's RCOI data, Mineral sourcing not disclosed by LBMA, No information, Not disclosed per LBMA, RCOI confirmed as per RMI., RCOI confirmed per RMI, Recycled/Scrap, India, United States, Brazil, Zimbabwe, Kenya, Japan, Zambia, Australia, China, Recycled/Scrap, India, United States, Brazil, Zimbabwe, Kenya, Japan, Zambia, Australia, China, Panama, Eritrea, Russian Federation, Aruba, Switzerland, Andorra, Tanzania, Argentina, Armenia, Austria, Azerbaijan, Bahamas, Barbados, Belarus, Belgium, Benin, Bolivia (Plurinational State of), Bosnia and Herzegovina, Botswana, Bulgaria, Burkina Faso, Cambodia, Cameroon, Canada, Chile, Colombia, Croatia, Cyprus, Denmark, Dominica, Dominican Republic, Ecuador, Egypt, El Salvador, Estonia, Ethiopia, Fiji, Finland, France, Gabon, Gambia, Georgia, Germany, Ghana, Greece, Guatemala, Guinea, Guyana, Honduras, Hong Kong, Hungary, Iceland, Indonesia, Iran, Ireland, Israel, Italy, Jordan, Kazakhstan, Korea, Kuwait, Kyrgyzstan, Latvia, Lebanon, Liberia, Libya, Liechtenstein, Lithuania, Luxembourg, Madagascar, Malaysia, Mali, Malta, Mauritania, Mauritius, Mexico, Mongolia, Morocco, Myanmar, Namibia, Netherlands, New Caledonia, New Zealand, Nicaragua, Niger, Nigeria, Norway, Oman, Pakistan, Papua New Guinea, Peru, Philippines, Poland, Portugal, Puerto Rico, Romania, San Marino, Saudi Arabia, Senegal, Serbia, Sierra Leone, Singapore, Slovakia, Slovenia, Solomon Islands, Spain, Suriname, Sweden, Taiwan, Tajikistan, Thailand, Togo, Trinidad and Tobago, Tunisia, Turkey, Ukraine, United Arab Emirates, United Kingdom, Uruguay, Uzbekistan, Yemen, United States, India, Unknown, USA, India, Australia, Brazil, Zambia, Kenya, Zimbabwe, DRC or an adjoining country (Covered Countries), China, Japan, Recycled/Scrap, Zimbabwe Russia, USA, India, Australia, Brazil, Zambia, Kenya, Zimbabwe, DRC or an adjoining country (Covered Countries), China, Japan, Recycled/Scrap, Zimbabwe Russia | Mineral sourcing not disclosed by LBMA, Zambia, Australia, Brazil, China, India, Japan, Kenya, Russia, USA, Zimbabwe, recycled/scrap</t>
  </si>
  <si>
    <t>Compliant, Compliant Conformant, Conformant, Conformant Smelter, Conformant smelter according to RMI, audit valid until 2022, Conformant Smelter according to RMI, last cycle in 11.11.2020 with a cycle of 1 Year, RCOI confirmed per RMI, RMAP Conformant</t>
  </si>
  <si>
    <t>CID001153</t>
  </si>
  <si>
    <t>Metalor Technologies S.A.</t>
  </si>
  <si>
    <t>CID001188</t>
  </si>
  <si>
    <t>(+81)3-5252-5200, Conflidential, Gold, Hyogo, Mr. Tadakazu Kagami, Not disclosed, Tadakazu Kagami</t>
  </si>
  <si>
    <t>Confidential, Inquiries on the website, Inqurities on the home page of the company, Mitsubishi Materials Corporation, Not disclosed, tkagami@mmc.co.jp</t>
  </si>
  <si>
    <t>CFS validated, Conformant, Conformant-audited by LBMA RG- valid until 08/17/2022, Mitsubishi Materials Corporation, no action need, No Action Required as company is RMAP conformant, None, CFS Certified, RCOI validated by RMI Protocols , RMAP Compliant Smelter, Supplier contacts: hyeju.lee@amkor.com; catherine.pelissonnier@st.com; (Phiron) nancy.joy@materion.com; Infineon Customer Contact @infineon.com; katsunori.hirata@jp.fujikura.com; asaharah@dowa.co.jp; zhengna@rohm.com.sg; nadine.jahn@aim-micro-systems.de; lisa.bjornson@sanmina.com; theodore.knudson@materion.com; Demi_Lo@arimalasers.com; Emily_Hsieh@epistar.com; t.gruber@ats.net; higuchi.yasunobu.xhfos@showadenko.com; antony@elaser.com.tw; Ravikumar.Ramachandran@fci.com; soralee@asekr.com, Validated by LBMA RG until 09/29/2022</t>
  </si>
  <si>
    <t>0, BRAZIL | Recycled, From Huckleberry Mine Copper Mountain Mine Escondida Mine Los Pelambres Mine Batu Hijau Mine | Recycled, From Huckleberry Mine, Copper Mountain Mine, Escondida Mine, Los Pelambres Mine, Batu Hijau Mine | Recycled | Not disclosed per LBMA | Not Disclosed per LMBA | Huckleberry | RCOI confirmed as per RMI but not disclosed by LBMA | Some are recycled or scrap sourced but not all. | Recycled, From Huckleberry Mine, Copper Mountain Mine, Escondida Mine, Los Pelambres Mine, Batu Hijau Mine | Tanaka purchase gold metal with ONLY the good delivery brand, which London Bullion Market 
Association (LBMA) approved as, from our supplier. | BR | V and from Huckleberry Mine Copper Mountain Mine Escondida Mine Los Pelambres Mine Batu Hijau Mine | Not disclosed | Recycled, Scrap and mines, from Huckleberry Mine
Copper Mountain Mine
Escondida Mine
Los Pelambres Mine
Batu Hijau Mine | Nondisclosure | Canada
recycled, Copper Mountain, Escondida, Los Pelambres and Huckleberry, Huckleberry, Huckleberry, Copper Mountain, Escondida, Los Pelambres, Batu Hijau Mine, Cadia Hill, and recycled/scrap, JAPAN, Mining, recycled and scrap sources, from Copper Mountain, Escondida, Los Pelambres, No information, Not disclosed per LBMA, O.M. Manufacturing Philippines, Recycled/Scrap, Huckleberry Mine, Copper Mountain Mine, Los Pelambres Mine, Bangaka Tin, Batu Hijau Mine, Escondida Mine, Pt.Timah, Please refer to the right comments., RCOI confirmed as per RMI., RCOI confirmed per RMI, Recycled, Recycling and Huckleberry Mine, Copper Mountain Mine, Escondida Mine, Los Pelambres Mine, Recycling and Huckleberry Mine, Copper Mountain Mine, Escondida Mine, Los Pelambres Mine | (1) Huckleberry Mine, Copper Mountain Mine.
(2) Escondida Mine, Los Pelambres Mine.
(3) Batu Hijau Mine. | RCOI confirmed per RMI | Recycled | Huckleberry | recycled, scrap, See aggregated data below for LBMA Good Delivery Sourcing, V and from Huckleberry Mine Copper Mountain Mine Escondida Mine Los Pelambres Mine Batu Hijau Mine, V and from Huckleberry Mine Copper Mountain Mine Escondida Mine Los Pelambres Mine Batu Hijau Mine | RCOI confirmed as per RMI but not disclosed by LBMA</t>
  </si>
  <si>
    <t>Argentina, Australia, Austria, Brazil, Canada, Chile, China, Congo, Eritrea, Guinea, Hong Kong, India, Indonesia, Japan, Korea, Mexico, Mongolia, Mozambique, Panama, Papua New Guinea, Peru, Recycled/Scrap, Russian Federation, United Kingdom, United States, Australia, Peru, Russia, United Kingdom, Japan, Canada, Recycled/Scrap, Mexico, China, Papua New Guinea, Indonesia, Mongolia, Austria, Mozambique, DRC or an adjoining country (Covered Countries), Chile, Canada
Chile
Indonesia, Canada
recycled, Canada
recycled | Canada
Chile | Not disclosed per LBMA | BRAZIL | Not disclosed per LBMA (Canada, recycled) | Canada, Mongolia, Papua New Guinea, Austria, Mozambique, Hong Kong, Japan, United Kingdom, Congo (Brazzaville), Chile | RCOI Confirmed as per CSFI | RCOI confirmed as per RMI but not disclosed by LBMA | Mineral sourcing L1,R/S, Not disclosed by supplier | Not disclosed per LBMA | Tanaka purchase gold metal with ONLY the good delivery brand, which London Bullion Market 
Association (LBMA) approved as, from our supplier. | Canada
recycled | BRAZIL | Not disclosed per LBMA (Canada, recycled) | RCOI confirmed | Known Countries from which LBMA Good Delivery List Refiners Source - Mined  Material (Provided by LBMA) | Canada
Chile
recycled | Canada, Papua New Guinea, Austria, Mongolia, Mozambique, Hong Kong, Japan, United Kingdom, Congo (Brazzaville), Chile | Naoshima, Kagaya, Japan | RCOI confirmed as per RMI | Recycled | Not disclosed | Canada,Chile,Indonesia | Canada
Chile
Indonesia
recycled | Nondisclosure | No, Canada, Austria, Mongolia, Papua New Guinea, Mozambique, Hong Kong, Japan, United Kingdom, Congo (Brazzaville), Chile, Canada, Chile, Canada, Mongolia, Austria, Papua New Guinea, Mozambique, Hong Kong, Japan, United Kingdom, Congo (Brazzaville), Chile, Canada, Mongolia, Papua New Guinea, Austria, Mozambique, Hong Kong, Japan, United Kingdom, Congo (Brazzaville), Chile, Canada, Papua New Guinea, Austria, Mongolia, Mozambique, Hong Kong, Japan, United Kingdom, Congo (Brazzaville), Chile, CID001188, Congo Republic, Australia, Austria, Canada, Chile, China, Hong Kong, Indonesia, Japan, Mexico, Mongolia, Mozambique, Papua New Guinea, Peru, Russia, United Kingdom, recycled/scrap, DRC, Angola, Burundi, Central African Republic, Rwanda, South Sudan, Tanzania, Uganda, Zambia, Aland Islands, Argentina, Australia, Austria, Belgium, Brazil, Cambodia, Canada, Chile, China, Colombia, Djibouti, Ecuador, Egypt, Eritrea, Estonia, Ethiopia, France, Germany, Guinea, Guyana, Hong Kong, Hungary, India, Indonesia, Ireland, Israel, Japan, Kazakhstan, Luxembourg, Madagascar, Malaysia, Mexico, Mongolia, Morocco, Mozambique, Myanmar, Namibia, Netherlands, Niger, Nigeria, Panama, Papua New Guinea, Peru, Philippines, Poland, Portugal, Republic of Korea, Russia, Sierra Leone, Singapore, Slovakia, Spain, Sudan, Suriname, Switzerland, Taiwan, Thailand, USA, United Kingdom, Vietnam, Zimbabwe, Recycled/Scrap, From Canada, Chile, Japan, Known Countries from which LBMA Good Delivery List Refiners Source - Mined  Material (Provided by LBMA), Known Countries from which LBMA Good Delivery List Refiners Source - Mined  Material (Provided by LBMA) | RCOI confirmed as per RMI but not disclosed by LBMA | Canada, Austria, Mongolia, Papua New Guinea, Mozambique, Hong Kong, Japan, United Kingdom, Congo (Brazzaville), Chile | Naoshima, Kagaya, Japan, Mineral R/S and mining from Canada, Chile, Mineral R/S and mining from Canada, Chile | (1) Canada
(2) Chile
(3) Indonesia
Australia, Peru, Russia, United Kingdom, Japan, Canada, Recycled/Scrap, Mexico, China, Papua New Guinea, Indonesia, Mongolia, Austria, Mozambique, DRC or an adjoining country (Covered Countries), Chile | RCOI confirmed per RMI | Recycled | Canada
recycled | recycled, No information, Not disclosed per LBMA, Please refer to the right comments., RCOI confirmed as per RMI., RCOI confirmed per RMI, Recycled, Recycled / Canada, recycled and scrap, Recycled/Scrap, Canada, Japan, Chile, Guinea, Papua New Guinea, Austria, Mongolia, Mozambique, United Kingdom, Indonesia, Australia, Peru, Mexico, China, Hong Kong, Congo, Recycled/Scrap, Canada, Japan, Chile, Guinea, Papua New Guinea, Austria, Mongolia, Mozambique, United Kingdom, Indonesia, Australia, Peru, Mexico, China, Hong Kong, Congo, Panama, Argentina, United States, Brazil, Russian Federation, Eritrea, India, Korea, Burundi, Rwanda, Åland Islands, Malaysia, Unknown</t>
  </si>
  <si>
    <t>Compliant, COMPLIANT 09/22/2015, Compliant Conformant, Conformant, Conformant Smelter, Conformant smelter according to RMI, audit valid until 2022, Conformant Smelter according to RMI, last cycle in 29.09.2020 with a cycle of 1 Year, http://www.mmc.co.jp/corporate/en/csr/index.html, on "CFS Compliant Smelter List"
jointed "LBMA", RCOI confirmed as per RMAP (LBMA Good Delivery List Refiners Source - Mined  Material, LBMA Good Delivery List Refiners Source - Recycled Material, and/or RJC Refiners Source - Mined  Material), RCOI confirmed per RMI / LBMA approved, RMAP Conformant, RMAP Conformant Smelter, RMAP Conformant Smelter / RCOI confirmed per RMI, SC, Selling Agency 1 : Osaka Asahi
Smelting house : MITSUBISHI MATERIALS, NAOSHIMA (Kagawa in Japan)
*MITSUBISHI MATERIALS, SANDA Factory (Hyogo in Japan) reported in writing that mineral obtained in DRC or neighborhood was never used.
*Since MITSUBISHI MATERIALS gets gold as subproduct of cupper smelting, it is hard to specify the name of mine(s). And it is not possible for MITSUBISHI MATERIALS to disclose all the name of cupper mine(s).
CFS Compliant Gold Smelter &amp;amp; Refiner
Valid until June 27,2014
Audited by LBMA, This smelter is CFS.
http://www.conflictfreesmelter.org/CompliantGoldRefinerList.htm, This smelter is RMI Conformant.
http://www.responsiblemineralsinitiative.org/gold-refiners-list/</t>
  </si>
  <si>
    <t>CID001200</t>
  </si>
  <si>
    <t>NPM Silmet AS</t>
  </si>
  <si>
    <t>Sillamäe</t>
  </si>
  <si>
    <t>Ida-Virumaa</t>
  </si>
  <si>
    <t>CID001460</t>
  </si>
  <si>
    <t>Brand RBT</t>
  </si>
  <si>
    <t>Andy Antofat, ANTON SALIM, hmoeis@rbt.co.id, opermana@rbt.co.id, anggreini@rbt.co.id, suharsono@rbt.co.id, Meily Tanoto, Mr Andy Antofat, Ms. Meily Tanoto, Ms.Cindi, NA, Tin</t>
  </si>
  <si>
    <t>andy.antofat@dominiontin.com, anton2028@yahoo.com, cindi.mariska@gmail.com, hmoeis@rbt.co.id, opermana@rbt.co.id, anggreini@rbt.co.id, suharsono@rbt.co.id, Meily Tanoto &amp;lt;meily.tanoto@gmail.com&amp;gt;, meily.tanoto@gmail.com, NA, PT Refined Bangka Tin, trading@rbt.co.id</t>
  </si>
  <si>
    <t>CFS validated, Conformant- Reaudit In Progress, Conformant-audited by RMI (members / partners)- valid until 08/06/2024, Monitoring CFSI certifications., N.A. (CFS apporved Smelter), NA, no action need, No Action Required as company is RMAP conformant, None, None Required - RMI  certified conflict free, None, CFS Certified, PT Refined Bangka Tin, RMAP Compliant Smelter, Supplier contacts: hyeju.lee@amkor.com; catherine.pelissonnier@st.com; oh-dongho@auk.co.kr; Infineon Customer Contact @infineon.com;  nutthaphon@focuz-mfg.com; hwwang@viseratech.com; lisa.bjornson@sanmina.com; theodore.knudson@materion.com; yushin@harvatek.com; andreas.schwender@saxonia-tm.de; shelly.ding@inari-amertron.com.cn; Demi_Lo@arimalasers.com; Emily_Hsieh@epistar.com; cindy.dodd@avx.com; t.gruber@ats.net; Chih-Hung.Chen@opto.com.tw; zenglan.fei@wlcsp.com; Ajeannin@dymax.com; s.rossi@varioprint.ch; Ravikumar.Ramachandran@fci.com; td40_0138@mail.tsujiden.co.jp; oh-dongho@auk.co.kr, Validated by RMI until 08/31/2021</t>
  </si>
  <si>
    <t>0, Bangaka Tin, unspecified tin mine in Indonesia, and recycled/scrap, Bangaka, Sungailiat, Belitung, Bangka&amp;amp; Belitung Island mine, From Bangaka Tin, INDONESIA, LR, NA, No information, Not disclosed by supplier, Not disclosed by supplier | RCOI confirmed as per RMI, PT Refined Bangka Tin, Pt. Refined Bangka Tin, RCOI confirmed as per RMI., RCOI confirmed per RMI, RCOI confirmed per RMI | Bangka&amp;amp; Belitung Island mine | PT Refined Bangka Tin | Bangka&amp;amp; Belitung  Island | Pt. Refined Bangka Tin, Sungailiat, Bangka, Belitung, Tin Mine in Indonesia(No Name of Tin Mine), VIET NAM | Not disclosed by supplier | Tin Mine in Indonesia(No Name of Tin Mine) | RCOI confirmed per CFSI. | Not disclosed | RCOI confirmed as per RMI | Indonesia  ore (No mine name) | Not disclosed by supplier | VIET NAM | RCOI confirmed as per CFSI | recycled + scrap sourced | RCOI confirmed per CFSI. | INDONESIA | Not disclosed | Tin Mine in Indonesia(No Name of Tin Mine) | Indonesia  ore (No mine name) | Nondisclosure | Bangaka Tin | From BANGAKA TIN | Nondisclosure</t>
  </si>
  <si>
    <t>0, 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Philippines, Poland, Portugal, Republic of Korea, Russia, Sierra Leone, Singapore, Slovakia, Spain, Suriname, Switzerland, Thailand, United Kingdom, USA, Vietnam, Zimbabwe, recycled/scrap, Argentina, Austria, Belgium, Brazil, Cambodia, Canada, Chile, China, Colombia, Ecuador, Ethiopia, Germany, Guyana, Hungary, India, Indonesia, Japan, Kazakhstan, Korea, Luxembourg, Malaysia, Mongolia, Myanmar, Namibia, Niger, Peru, Portugal, Recycled/Scrap, Taiwan, CID001460, Excludes Covered Countries, Excludes Covered Countries and CAHRA, Excludes Covered Countries and CAHRA | the DRC or an adjoining country(covered countries) | RCOI confirmed per RMI | From Indonesia | Bangka, Indonesia | Indonesia | INDONESIA | Recycled/Scrap, Indonesia, India, Malaysia, Brazil, Portugal, Peru, Argentina, Mongolia, Colombia, Myanmar, Chile, Canada, Japan, Germany, Namibia, Austria, Guyana, Cambodia, Ecuador, Kazakhstan, Korea, Luxembourg, Belgium, Hungary, Ethiopia, China, Niger, From Indonesia, Indonesia, INDONESIA | L1 | Excludes Covered Countries | Indonesia | VIET NAM | Myanmar, Cambodia, Malaysia, Kazakhstan, Portugal, Mongolia, Austria, Luxembourg, Brazil, Guyana, Korea, Republic of, Chile, Laos, Ecuador, Colombia, Argentina, Hungary, Japan, India, Canada, Belgium, Namibia, Taiwan, Peru, Ethiopia, Germany, Russian Fede | Not disclosed | RCOI confirmed as per RMI | Mineral sourcing L1, Indonesia | INDONESIA | L1 | Excludes Covered Countries | VIET NAM | RCOI confirmed as per CFSI | Myanmar, Cambodia, Malaysia, Kazakhstan, Portugal, Mongolia, Austria, Luxembourg, Brazil, Guyana, Korea, Republic of, Chile, Laos, Ecuador, Colombia, Argentina, Hungary, | Myanmar, Cambodia, Malaysia, Kazakhstan, Portugal, Austria, Mongolia, Luxembourg, Brazil, Korea, Republic of, Guyana, Chile, Laos, Colombia, Ecuador, Argentina, Hungary, Japan, India, Canada, Belgium, Namibia, Taiwan, Peru, Ethiopia, Germany, Russian Fede | Jl. Kawasan Industri Jelitik, Kec. Sungailiat, Kab., Bangka, Provinsi Kepulauan, Kepulauan Bangka Belitung , Indonesia | No | Not Available, 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 L1, L1 | RCOI confirmed as per RMI | Myanmar, Cambodia, Malaysia, Kazakhstan, Portugal, Mongolia, Austria, Luxembourg, Korea, Republic of, Guyana, Brazil, Chile, Laos, Ecuador, Colombia, Argentina, Hungary, Japan, India, Canada, Belgium, Namibia, Taiwan, Peru, Germany, Ethiopia, Russian Fede | Not Available | Jl. Kawasan Industri Jelitik, Kec. Sungailiat, Kab., Bangka, Provinsi Kepulauan, Kepulauan Bangka Belitung , Indonesia | Excludes Covered Countries, Mineral sourcing LR, from Indonesia, Myanmar, Cambodia, Malaysia, Kazakhstan, Portugal, Austria, Mongolia, Luxembourg, Brazil, Guyana, Korea, Republic of, Chile, Laos, Colombia, Ecuador, Argentina, Hungary, Japan, India, Canada, Belgium, Namibia, Taiwan, Peru, Germany, Ethiopia, Russian Federation, Singapore, Viet Nam, United States, Egypt, Madagascar, Sierra Leone, Ivory Coast, Thailand, Bolivia, Netherlands, China, Ireland, Slovakia, Nigeria, France, Philippines, United Kingdom, Switzerland, Spain, Djibouti, Czech Republic, Zimbabwe, Suriname, Israel, Australia, Indonesia, Estonia, Myanmar, Cambodia, Malaysia, Kazakhstan, Portugal, Mongolia, Austria, Luxembourg, Brazil, Guyana, Korea, Republic of, Chile, Laos, Colombia, Ecuador, Argentina, Hungary, Japan, India, Canada, Belgium, Namibia, Taiwan, Peru, Germany, Ethiopia, Russian Federation, Viet Nam, Singapore, United States, Egypt, Madagascar, Sierra Leone, Ivory Coast, Bolivia, Thailand, Netherlands, China, Ireland, Slovakia, Nigeria, France, Philippines, United Kingdom, Switzerland, Spain, Djibouti, Czech Republic, Zimbabwe, Suriname, Israel, Australia, Indonesia, Estonia, Myanmar, Cambodia, Malaysia, Kazakhstan, Portugal, Mongolia, Austria, Luxembourg, Brazil, Guyana, Korea, Republic of, Chile, Laos, Ecuador, Colombia, Argentina, Hungary, Japan, India, Canada, Belgium, Namibia, Taiwan, Peru, Ethiopia, Germany, Russian Federation, Viet Nam, Singapore, United States, Egypt, Madagascar, Sierra Leone, Ivory Coast, Bolivia, Thailand, Netherlands, Ireland, China, Slovakia, Nigeria, France, Philippines, United Kingdom, Switzerland, Spain, Djibouti, Czech Republic, Zimbabwe, Suriname, Israel, Australia, Indonesia, Estonia, Myanmar, Cambodia, Malaysia, Kazakhstan, Portugal, Mongolia, Austria, Luxembourg, Guyana, Brazil, Korea, Republic of, Chile, Laos, Colombia, Ecuador, Argentina, Hungary, Japan, India, Canada, Belgium, Namibia, Taiwan, Peru, Germany, Ethiopia, Russian Federation, Singapore, Viet Nam, United States, Egypt, Madagascar, Sierra Leone, Ivory Coast, Bolivia, Thailand, Netherlands, China, Ireland, Slovakia, Nigeria, France, Philippines, United Kingdom, Switzerland, Spain, Djibouti, Czech Republic, Zimbabwe, Suriname, Israel, Australia, Estonia, Indonesia, No information, Pulau Bangka, Bangka Belitung Islands, Pulau Bangka, Bangka Belitung Islands, Indonesia, RCOI confirmed as per RMI, RCOI confirmed as per RMI., RCOI confirmed per RMI, Recycled/Scrap, Indonesia, India, Malaysia, Brazil, Portugal, Peru, Argentina, Mongolia, Colombia, Myanmar, Chile, Canada, Japan, Germany, Namibia, Austria, Guyana, Cambodia, Ecuador, Kazakhstan, Korea, Luxembourg, Belgium, Hungary, Ethiopia, China, Nigeria, Niger, Thailand, Australia, United Kingdom, Ireland, Switzerland, Spain, Zimbabwe, United States, Singapore, Sierra Leone, Djibouti, Egypt, France, Madagascar, Netherlands, Philippines, Slovakia, Estonia, Israel, Suriname, Poland, Taiwan, Viet Nam, Russian Federation, Rwanda, Argentina, Australia, Austria, Belgium, Bolivia, Brazil, Cambodia, Canada, Chile, China, Colombia, Djibouti, Ecuador, Egypt, Estonia, Ethiopia, France, Germany, Ghana, Guinea, Guyana, Hong Kong, Hungary, India, Indonesia, Ireland, Israel, Ivory Coast, Japan, Kazakhstan, Laos, Luxembourg, Madagascar, Malaysia, Mexico, Mongolia, Mozambique, Myanmar, Namibia, Netherlands, Niger, Nigeria, Peru, Philippines, Poland, Portugal, Republic of Korea, Russia, Sierra Leone, Singapore, Slovakia, South Africa, Spain, Suriname, Switzerland, Taiwan, Thailand, USA, United Kingdom, Uzbekistan, Vietnam, Zimbabwe, Recycled/Scrap, the DRC or an adjoining country(covered countries)</t>
  </si>
  <si>
    <t>Compliant, COMPLIANT 09/22/2015, Compliant Conformant, Conformant, Conformant Smelter, Conformant smelter according to RMI, audit valid until 2021, reassessment in progress, Conformant Smelter according to RMI, last cycle in 31.08.2018 with a cycle of 3 Years, Nathan Trotter, RCOI confirmed per RMI, RMAP Conformant, RMAP Conformant Smelter, RMAP Conformant Smelter / RCOI confirmed per RMI, This smelter is RMI Conformant.
http://www.responsiblemineralsinitiative.org/tin-smelters-list/</t>
  </si>
  <si>
    <t>CID000228</t>
  </si>
  <si>
    <t>Chenzhou Yunxiang Mining and Metallurgy Co., Ltd.</t>
  </si>
  <si>
    <t>CID003190</t>
  </si>
  <si>
    <t>Chifeng Dajingzi Tin Industry Co., Ltd.</t>
  </si>
  <si>
    <t>Smelting Chemical Industry Park, Jinding Industry Park, Linxi county, Chifeng city, Inner Mongolia</t>
  </si>
  <si>
    <t>Chifeng</t>
  </si>
  <si>
    <t>Mr. Liu (General Man, Mr. Liu (General Manager), Mr. Zhao Lizhi , Mr. Zhao Lizhi (Sale Director), Tin, Zhao Lizhi</t>
  </si>
  <si>
    <t>235741904@qq.com, 406815194@qq.com, 406815194@qq.com
dizxy@163.com, 406815194@qq.com; 15248671457@djzxy.com, Chifeng Dajingzi Tin Industry Co., Ltd., dizxy@163.com</t>
  </si>
  <si>
    <t>Chifeng Dajingzi Tin Industry Co., Ltd., Conformant, Conformant-Reaudit In Progress, no action need, No Action Required as company is RMAP conformant, None Required - RMI  certifed conflict free, None Required - RMI  certified conflict free, None; conformant to RMAP protocol, Supplier contacts: hyeju.lee@amkor.com; catherine.pelissonnier@st.com; Infineon Customer Contact @infineon.com;  lisa.bjornson@sanmina.com; theodore.knudson@materion.com; yushin@harvatek.com; chencq@lettall.com; Emily_Hsieh@epistar.com, Validated by RMI until 12/12/2021</t>
  </si>
  <si>
    <t>0, Anding Road, Beijing, Recycled/Scrap, Chaoyang District, CNMC Building, CHINA, L1, R/S, No information, RCOI confirmed per RMI, Recycled and scrap, and mines not disclosed by supplier, Recycled or scrap, and mining not disclosed by supplier, Recycled or scrap, and mining not disclosed by supplier | Sourced from Mines/Recyale/Scrap | RCOI confirmed per RMI, Recycled, Scrap and mines, Recycled, Scrap and mines | Some are recycled or scrap sourced but not all, Some are recycled or scrap sourced but not all, Some are recycled or scrap sourced but not all | Recycled, Scrap and mines | Recycled, Scrap and mines, not disclosed by supplier, Some are recycled or scrap sourced but not all. , Some are recycled or scrap sourced but not all. | RCOI confirmed per RMI, Some are recycled/scrap sourced but not all., Unknown, but some recycled/scrap</t>
  </si>
  <si>
    <t>Argentina, Armenia, Australia, Austria, Azerbaijan, Bahamas, Barbados, Belarus, Belgium, Benin, Bolivia, Bosnia and Herzegovina, Botswana, Brazil, Bulgaria, Burkina Faso, Cambodia, Cameroon, Canada, Chile, China, Colombia, Croatia, Cyprus, Denmark, Dominica, Dominican Republic, Ecuador, Egypt, El Salvador, Eritrea, Estonia, Ethiopia, Fiji, Finland, France, Gabon, Georgia, Germany, Ghana, Greece, Guatemala, Guinea, Guyana, Honduras, Hong Kong, Hungary, Iceland, India, Indonesia, Iran, Ireland, Israel, Italy, Japan, Jordan, Kazakhstan, Kuwait, Kyrgyzstan, Latvia, Lebanon, Liberia, Libya, Liechtenstein, Lithuania, Luxembourg, Madagascar, Malaysia, Mali, Malta, Mauritania, Mauritius, Mexico, Mongolia, Morocco, Myanmar, Namibia, Netherlands, New Caledonia, New Zealand, Nicaragua, Niger, Nigeria, Norway, Oman, Pakistan, Panama, Papua New Guinea, Peru, Philippines, Poland, Portugal, Puerto Rico, Republic of Korea, Romania, Russia, San Marino, Saudi Arabia, Senegal, Serbia, Sierra Leone, Singapore, Slovakia, Slovenia, Solomon Islands, Spain, Suriname, Sweden, Switzerland, Taiwan, Tajikistan, Thailand, Togo, Trinidad and Tobago, Tunisia, Turkey, USA, Ukraine, United Arab Emirates, United Kingdom, Uruguay, Uzbekistan, Yemen, Zimbabwe, Recycled/Scrap, Australia, Brazil, China, Colombia, Ethiopia, France, Indonesia, Ireland, Korea, Madagascar, Malaysia, Mali, Mongolia, Myanmar, Niger, Nigeria, Peru, Portugal, Recycled/Scrap, Russian Federation, Sierra Leone, Spain, Taiwan, Thailand, United Kingdom, China, Recycled/Scrap, China, Recycled/Scrap;Recycled/Scrap, China, Mongolia, Korea, Brazil, Niger, Nigeria, Sierra Leone, Thailand, Australia, Colombia, Ethiopia, France, Indonesia, Ireland, Madagascar, Malaysia, Mali, Myanmar, Peru, Portugal, Russian Federation, Spain, Taiwan, United Kingdom, United States, Uzbekistan, Ghana, Japan, Germany, Philippines, Argentina, Austria, Benin, Bolivia (Plurinational State of), Chile, Ecuador, Eritrea, Guinea, India, Mauritania, Nicaragua, Togo, Armenia, Azerbaijan, Bahamas, Barbados, Belarus, Belgium, Bosnia and Herzegovina, Botswana, Bulgaria, Burkina Faso, Cambodia, Cameroon, Canada, Croatia, Cyprus, Denmark, Dominica, Dominican Republic, Egypt, El Salvador, Estonia, Fiji, Finland, Gabon, Gambia, Georgia, Greece, Guatemala, Guyana, Honduras, Hong Kong, Hungary, Iceland, Iran, Israel, Italy, Jordan, Kazakhstan, Kuwait, Kyrgyzstan, Latvia, Lebanon, Liberia, Libya, Liechtenstein, Lithuania, Luxembourg, Malta, Mauritius, Mexico, Morocco, Namibia, Netherlands, New Caledonia, New Zealand, Norway, Oman, Pakistan, Panama, Papua New Guinea, Poland, Puerto Rico, Romania, San Marino, Saudi Arabia, Senegal, Serbia, Singapore, Slovakia, Slovenia, Solomon Islands, Suriname, Sweden, Switzerland, Tajikistan, Trinidad and Tobago, Tunisia, Turkey, Ukraine, United Arab Emirates, Uruguay, Yemen, Zimbabwe, CID003190, Excludes Covered Countries, Excludes Covered Countries and CAHRA, Excludes Covered Countries and CAHRA | Mineral sourcing R/S, L1 from Inner Mongolia | China, Recycled/Scrap
Inner Mongolia | RCOI confirmed per RMI | Inner Mongolia, Inner Mongolia, L1, R/S, L1, R/S | Some are recycled or scrap sourced but not all | Not Available | Excludes Covered Countries | Smelting Chemical Industry Park, Jinding Industry Park, Linxi county, Chifeng city, Inner Mongolia, Mineral sourcing L1, R/S based from Inner Mongolia, Mineral sourcing R/S, L1 from Inner Mongolia, No information, No known country of origin, RCOI confirmed per RMI, Recycled/Scrap, China, Some are recycled or scrap sourced but not all, Some are recycled or scrap sourced but not all | Excludes Covered Countries | Mineral sourcing L1, R/S, not disclosed by supplier | No known country of origin | Smelting Chemical Industry Park, Jinding Industry Park, Linxi county, Chifeng city, Inner Mongolia | L1, R/S | Mineral sourcing L1, R/S, not disclosed by RMI | Not Available, Some are recycled or scrap sourced but not all. , Some are recycled/scrap sourced but not all.</t>
  </si>
  <si>
    <t>Compliant, Compliant Conformant, Conformant, Conformant Smelter, Conformant smelter according to RMI, audit valid until 2021, reassessment in progress, Conformant Smelter according to RMI, last cycle in 12.12.2018 with a cycle of 3 Years, djzxy.cnmc.com.cn, RCOI confirmed as per RMAP, RCOI confirmed per RMI, RMAP Conformant</t>
  </si>
  <si>
    <t>CID003486</t>
  </si>
  <si>
    <t>CRM Fundicao De Metais E Comercio De Equipamentos Eletronicos Do Brasil Ltda</t>
  </si>
  <si>
    <t>São José</t>
  </si>
  <si>
    <t>CID002772</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</si>
  <si>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</si>
  <si>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</si>
  <si>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</si>
  <si>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</si>
  <si>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</si>
  <si>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</si>
  <si>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</si>
  <si>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</si>
  <si>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</si>
  <si>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</si>
  <si>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</si>
  <si>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</si>
  <si>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</si>
  <si>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</si>
  <si>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</si>
  <si>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ITALY</t>
  </si>
  <si>
    <t>Marrickville</t>
  </si>
  <si>
    <t>New South Wales</t>
  </si>
  <si>
    <t>UNITED STATES OF AMERICA</t>
  </si>
  <si>
    <t>UGANDA</t>
  </si>
  <si>
    <t>Agosi AG</t>
  </si>
  <si>
    <t>GERMANY</t>
  </si>
  <si>
    <t>AGR (Perth Mint Australia)</t>
  </si>
  <si>
    <t>Western Australian Mint (T/a The Perth Mint)</t>
  </si>
  <si>
    <t>JAPAN</t>
  </si>
  <si>
    <t>AKITA Seiren</t>
  </si>
  <si>
    <t>Al Etihad Gold LLC</t>
  </si>
  <si>
    <t>UNITED ARAB EMIRATES</t>
  </si>
  <si>
    <t>PORTUGAL</t>
  </si>
  <si>
    <t>UZBEKISTAN</t>
  </si>
  <si>
    <t>Amagasaki Factory, Hyogo Prefecture, Japan</t>
  </si>
  <si>
    <t>AngloGold Ashanti Brazil</t>
  </si>
  <si>
    <t>BRAZIL</t>
  </si>
  <si>
    <t>AngloGold Ashanti Córrego do Sítio Mineração</t>
  </si>
  <si>
    <t>Anhui Tongling Nonferrous Metal Mining Co., Ltd.</t>
  </si>
  <si>
    <t>ANZ (Perth Mint 4N)</t>
  </si>
  <si>
    <t>ANZ Bank</t>
  </si>
  <si>
    <t>SWITZERLAND</t>
  </si>
  <si>
    <t>CANADA</t>
  </si>
  <si>
    <t>Asahi Refining USA Inc.</t>
  </si>
  <si>
    <t>TURKEY</t>
  </si>
  <si>
    <t>SOUTH AFRICA</t>
  </si>
  <si>
    <t>INDIA</t>
  </si>
  <si>
    <t>Mahārāshtra</t>
  </si>
  <si>
    <t>BALORE REFINERSGA</t>
  </si>
  <si>
    <t>PHILIPPINES</t>
  </si>
  <si>
    <t>SWEDEN</t>
  </si>
  <si>
    <t>COLOMBIA</t>
  </si>
  <si>
    <t>MEXICO</t>
  </si>
  <si>
    <t>CCR</t>
  </si>
  <si>
    <t>Cendres + M?taux SA</t>
  </si>
  <si>
    <t>Cendres + Métaux S.A.</t>
  </si>
  <si>
    <t>CHALCO Yunnan Copper Co. Ltd.</t>
  </si>
  <si>
    <t>Chemmanur Gold Refinery</t>
  </si>
  <si>
    <t>China Henan Zhongyuan Gold Smelter</t>
  </si>
  <si>
    <t>China's Shandong Gold Mining Co., Ltd</t>
  </si>
  <si>
    <t>DEGUSSA</t>
  </si>
  <si>
    <t>KOREA, REPUBLIC OF</t>
  </si>
  <si>
    <t>Doduco</t>
  </si>
  <si>
    <t>Dosung metal</t>
  </si>
  <si>
    <t>Dowa Kogyo k.k.</t>
  </si>
  <si>
    <t>Dowa Metalmine Co. Ltd</t>
  </si>
  <si>
    <t>Ekaterinburg</t>
  </si>
  <si>
    <t>RUSSIAN FEDERATION</t>
  </si>
  <si>
    <t>Federal State Unitary Enterprise Moscow Special Processing Plant (FSUE MZSS)</t>
  </si>
  <si>
    <t>ZIMBABWE</t>
  </si>
  <si>
    <t>Fujhara Refinery</t>
  </si>
  <si>
    <t>Fujian Zijin mining stock company gold smelter</t>
  </si>
  <si>
    <t>GHANA</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</si>
  <si>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</si>
  <si>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</si>
  <si>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</si>
  <si>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</si>
  <si>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</si>
  <si>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</si>
  <si>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</si>
  <si>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</si>
  <si>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Hunan Chenzhou Mining Industry Co. Ltd.</t>
  </si>
  <si>
    <t>Hunan Yu Teng Non-Ferrous Metals Co., Ltd.</t>
  </si>
  <si>
    <t>BELGIUM</t>
  </si>
  <si>
    <t>Johnson Matthey Inc.</t>
  </si>
  <si>
    <t>NORWAY</t>
  </si>
  <si>
    <t>KAZAKHSTAN</t>
  </si>
  <si>
    <t>KGHM Polska Miedz Spolka Akcyjna</t>
  </si>
  <si>
    <t>POLAND</t>
  </si>
  <si>
    <t>Kojima Kagaku Yakuhin Co., Ltd</t>
  </si>
  <si>
    <t>Kombinat Gorniczo Hutniczy Miedz Polska Miedz S.A.</t>
  </si>
  <si>
    <t>KUC</t>
  </si>
  <si>
    <t>KYRGYZSTAN</t>
  </si>
  <si>
    <t>La Caridad</t>
  </si>
  <si>
    <t>LAIZHOU SHANDONG</t>
  </si>
  <si>
    <t>SAUDI ARABIA</t>
  </si>
  <si>
    <t>LinBao Gold Mining</t>
  </si>
  <si>
    <t>ANDORRA</t>
  </si>
  <si>
    <t>Luoyang Zijin Yinhui Gold Smelting</t>
  </si>
  <si>
    <t>MEM(Sumitomo Group)</t>
  </si>
  <si>
    <t>Kempton Park</t>
  </si>
  <si>
    <t>Metal?rgica Met-Mex Pe?oles, S.A. de C.V</t>
  </si>
  <si>
    <t>Metallurgie Hoboken Overpelt</t>
  </si>
  <si>
    <t>SINGAPORE</t>
  </si>
  <si>
    <t>Metalúrgica Met-Mex Peñoles S.A. De C.V.</t>
  </si>
  <si>
    <t>Met-Mex Pe?oles, S.A.</t>
  </si>
  <si>
    <t>Mitsui Kinzoku Co., Ltd.</t>
  </si>
  <si>
    <t>MALAYSIA</t>
  </si>
  <si>
    <t>NEW ZEALAND</t>
  </si>
  <si>
    <t>AUSTRIA</t>
  </si>
  <si>
    <t>OJSC Krastsvetmet</t>
  </si>
  <si>
    <t>Perth Mint</t>
  </si>
  <si>
    <t>Perth Mint (ANZ)</t>
  </si>
  <si>
    <t>CHILE</t>
  </si>
  <si>
    <t>Produits Artistiques de Métaux</t>
  </si>
  <si>
    <t>PX Précinox S.A.</t>
  </si>
  <si>
    <t>Refinery LS-Nikko Copper Inc.</t>
  </si>
  <si>
    <t>NETHERLANDS</t>
  </si>
  <si>
    <t>FRANCE</t>
  </si>
  <si>
    <t>CZECHIA</t>
  </si>
  <si>
    <t>Saganoseki Smelter &amp; Refinery</t>
  </si>
  <si>
    <t>Samdok Metal</t>
  </si>
  <si>
    <t>SD (Samdok) Metal</t>
  </si>
  <si>
    <t>MAURITANIA</t>
  </si>
  <si>
    <t>SPAIN</t>
  </si>
  <si>
    <t>SEMPSA Joyería Platería S.A.</t>
  </si>
  <si>
    <t>Sempsa JP (Cookson Sempsa)</t>
  </si>
  <si>
    <t>Shandong Gold Mine(Laizhou) Smelter Co., Ltd.</t>
  </si>
  <si>
    <t>shandong huangjin</t>
  </si>
  <si>
    <t>Shandong middlings JinYe group Co., LTD</t>
  </si>
  <si>
    <t>Shandong Tarzan Bio-Gold Industry Co., Ltd.</t>
  </si>
  <si>
    <t>Shangdong Gold (Laizhou)</t>
  </si>
  <si>
    <t>Shonan Plant Tanaka Kikinzoku</t>
  </si>
  <si>
    <t>Singapore Tanaka</t>
  </si>
  <si>
    <t>TAIWAN, PROVINCE OF CHINA</t>
  </si>
  <si>
    <t>SMM</t>
  </si>
  <si>
    <t>SOLAR CHEMICALAPPLIED MATERIALS TECHNOLOGY (KUN SHAN)</t>
  </si>
  <si>
    <t>Solartech</t>
  </si>
  <si>
    <t>LITHUANIA</t>
  </si>
  <si>
    <t>SUDAN</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</si>
  <si>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</si>
  <si>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</si>
  <si>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</si>
  <si>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</si>
  <si>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</si>
  <si>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</si>
  <si>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</si>
  <si>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</si>
  <si>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</si>
  <si>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</si>
  <si>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The Perth Mint</t>
  </si>
  <si>
    <t>TongLing Nonferrous Metals Group Holdings Co., Ltd.</t>
  </si>
  <si>
    <t>Ubro-Union of Brazilian Refiners</t>
  </si>
  <si>
    <t>Ulsan LS</t>
  </si>
  <si>
    <t>Umicore Precious Metals Refining Hoboken</t>
  </si>
  <si>
    <t>THAILAND</t>
  </si>
  <si>
    <t>Tourville-les-Ifs</t>
  </si>
  <si>
    <t>Williams Advanced Materials</t>
  </si>
  <si>
    <t>Yamamoto Precious Co., Ltd.</t>
  </si>
  <si>
    <t>Yamamoto Precious Metal Co., Ltd.</t>
  </si>
  <si>
    <t>Yantai NUS Safina tech environmental Refinery Co. Ltd.</t>
  </si>
  <si>
    <t>Zhao Jin Mining Industry Co Ltd</t>
  </si>
  <si>
    <t>Zhao Yuan Gold Mine</t>
  </si>
  <si>
    <t>Zhao Yuan Gold Smelter of ZhongJin</t>
  </si>
  <si>
    <t>Zhao Yuan Jin Kuang</t>
  </si>
  <si>
    <t>Zhaojin Mining Industry Co., Ltd.</t>
  </si>
  <si>
    <t>zhaojinjinyinyelian</t>
  </si>
  <si>
    <t>Zhongjin Gold Corporation Limited</t>
  </si>
  <si>
    <t>Zijin Kuang Ye Refinery</t>
  </si>
  <si>
    <t>Zijin Mining Industry Corporation</t>
  </si>
  <si>
    <t>ESTONIA</t>
  </si>
  <si>
    <t>5D Production OÜ</t>
  </si>
  <si>
    <t>Changsha Southern</t>
  </si>
  <si>
    <t>F &amp; X</t>
  </si>
  <si>
    <t>Jiujiang Nonferrous Metals Smelting Company Limited</t>
  </si>
  <si>
    <t>Metallurgical Products India Pvt. Ltd. (MPIL)</t>
  </si>
  <si>
    <t>Molycorp Silmet A.S.</t>
  </si>
  <si>
    <t>Ningxia Non-Ferrous Metal Smeltery</t>
  </si>
  <si>
    <t>Resind Ind e Com Ltda.</t>
  </si>
  <si>
    <t>RFH Tantalum Smeltry Co., Ltd.</t>
  </si>
  <si>
    <t>RFH Yancheng Jinye New Material Technology Co., Ltd.</t>
  </si>
  <si>
    <t>ULBA</t>
  </si>
  <si>
    <t>Yanling Jincheng Tantalum Co., Ltd.</t>
  </si>
  <si>
    <t>タニオビス・ジャパン株式会社</t>
  </si>
  <si>
    <t>Alent plc</t>
  </si>
  <si>
    <t>Alpha</t>
  </si>
  <si>
    <t>Alpha Metals Korea Ltd.</t>
  </si>
  <si>
    <t>VIET NAM</t>
  </si>
  <si>
    <t>Brand IMLI</t>
  </si>
  <si>
    <t>Chengfeng Metals Co Pte Ltd</t>
  </si>
  <si>
    <t>Chenzhou Yun Xiang mining limited liability company</t>
  </si>
  <si>
    <t>China Tin (Hechi)</t>
  </si>
  <si>
    <t>China Tin Lai Ben Smelter Co., Ltd.</t>
  </si>
  <si>
    <t>Tin Smelting Branch of Yunnan Tin Co., Ltd.</t>
  </si>
  <si>
    <t>Cookson Alpha Metals (Shenzhen) Co., Ltd.</t>
  </si>
  <si>
    <t>CRM Fundição De Metais E Comércio De Equipamentos Eletrônicos Do Brasil Ltda</t>
  </si>
  <si>
    <t>Pemali</t>
  </si>
  <si>
    <t>MYANMAR</t>
  </si>
  <si>
    <t>BOLIVIA (PLURINATIONAL STATE OF)</t>
  </si>
  <si>
    <t>Empresa Metalúrgica Vinto</t>
  </si>
  <si>
    <t>Empressa Nacional de Fundiciones (ENAF)</t>
  </si>
  <si>
    <t>Fabrica Auricchio</t>
  </si>
  <si>
    <t>Fábrica Auricchio</t>
  </si>
  <si>
    <t>Funsur Smelter</t>
  </si>
  <si>
    <t>PERU</t>
  </si>
  <si>
    <t>Gejiu City Datun Chengfeng Smelter</t>
  </si>
  <si>
    <t>Gejiu Fuxiang Gongmao Co., Ltd.</t>
  </si>
  <si>
    <t>Guang Xi Liu Xhou</t>
  </si>
  <si>
    <t>Guang Xi Liu Zhou</t>
  </si>
  <si>
    <t>GuangXi China Tin</t>
  </si>
  <si>
    <t>Guangxi Hua Shu Dan CO., LTD.</t>
  </si>
  <si>
    <t>Ikuno Tin Smelter</t>
  </si>
  <si>
    <t>INDONESIAN STATE TIN CORPORATION MENTOK SMELTER</t>
  </si>
  <si>
    <t>Indra Eramulti Logam</t>
  </si>
  <si>
    <t>Kai Union Industry and Trade Co., Ltd. (China)</t>
  </si>
  <si>
    <t>Kaimeng (Gejiu) Industry and Trade Co., Ltd.</t>
  </si>
  <si>
    <t>Kundur Smelter</t>
  </si>
  <si>
    <t>Liuzhhou China Tin</t>
  </si>
  <si>
    <t>RWANDA</t>
  </si>
  <si>
    <t>Mentok Smelter</t>
  </si>
  <si>
    <t>Metallic Materials Branch of Guangxi China Tin Group Co.,Ltd.</t>
  </si>
  <si>
    <t>Mining and processing tin-tungsten ore Giang Son - VQB Co., Ltd.</t>
  </si>
  <si>
    <t>Nanshan Tin Co. Ltd.</t>
  </si>
  <si>
    <t>Pegantungan</t>
  </si>
  <si>
    <t>Batam</t>
  </si>
  <si>
    <t>PT Indora Ermulti</t>
  </si>
  <si>
    <t>PT Indra Eramult Logam Industri</t>
  </si>
  <si>
    <t>Sungai Samak</t>
  </si>
  <si>
    <t>Bogor</t>
  </si>
  <si>
    <t>Smelting Branch of Yunnan Tin Company Ltd</t>
  </si>
  <si>
    <t>Thai Solder Industry Corp., Ltd.</t>
  </si>
  <si>
    <t>Thailand Smelting &amp; Refining Co Ltd</t>
  </si>
  <si>
    <t>The Gejiu cloud new colored electrolytic</t>
  </si>
  <si>
    <t>Tin Products Manufacturing Co.LTD. of YTCL</t>
  </si>
  <si>
    <t>White Solder Metalurgia e Mineração Ltda.</t>
  </si>
  <si>
    <t>XiHai - Liuzhou China Tin Group Co ltd</t>
  </si>
  <si>
    <t>YTCL</t>
  </si>
  <si>
    <t>Yunan Gejiu Yunxin Electrolyze Limited</t>
  </si>
  <si>
    <t>Yunnan Adventure Co., Ltd.</t>
  </si>
  <si>
    <t>Yunnan Gejiu Zili Metallurgy Co. Ltd.</t>
  </si>
  <si>
    <t>Yunnan Tin Company, Ltd.</t>
  </si>
  <si>
    <t>Yunnan wind Nonferrous Metals Co., Ltd.</t>
  </si>
  <si>
    <t>Yunnan Xi YE</t>
  </si>
  <si>
    <t>YUNXIN colored electrolysis Company Limited</t>
  </si>
  <si>
    <t>云南锡业股份有限公司锡业分公司</t>
  </si>
  <si>
    <t>A.L.M.T. Corp.</t>
  </si>
  <si>
    <t>A.L.M.T. TUNGSTEN Corp.</t>
  </si>
  <si>
    <t>Allied Material Corporation</t>
  </si>
  <si>
    <t>ALMT Corp</t>
  </si>
  <si>
    <t>ATI Metalworking Products</t>
  </si>
  <si>
    <t>Chaozhou Xianglu Tungsten Industry Co., Ltd.</t>
  </si>
  <si>
    <t>China MuYe Tungsten Co,. Ltd.</t>
  </si>
  <si>
    <t>Jingmen Dewei GEM Tungsten Resources Recycling Co., Ltd.</t>
  </si>
  <si>
    <t>Han River Pelican State Alloy Co., Ltd.</t>
  </si>
  <si>
    <t>Human Chun-Chang non-ferrous Smelting &amp; Concentrating Co., Ltd.</t>
  </si>
  <si>
    <t>Jiangxi Tungsten Co Ltd</t>
  </si>
  <si>
    <t>Kostroma</t>
  </si>
  <si>
    <t>Kostromskaya oblast'</t>
  </si>
  <si>
    <t>WBH</t>
  </si>
  <si>
    <t>Xiamen H.C.</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</si>
  <si>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</si>
  <si>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</si>
  <si>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</si>
  <si>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</si>
  <si>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</si>
  <si>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</si>
  <si>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</si>
  <si>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</si>
  <si>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</si>
  <si>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</si>
  <si>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</si>
  <si>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</si>
  <si>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</si>
  <si>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</si>
  <si>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</si>
  <si>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</si>
  <si>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</si>
  <si>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</si>
  <si>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</si>
  <si>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</si>
  <si>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</si>
  <si>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</si>
  <si>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</si>
  <si>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</si>
  <si>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</si>
  <si>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</si>
  <si>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</si>
  <si>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</si>
  <si>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</si>
  <si>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</si>
  <si>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</si>
  <si>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</si>
  <si>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</si>
  <si>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</si>
  <si>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</si>
  <si>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</si>
  <si>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</si>
  <si>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</si>
  <si>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</si>
  <si>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</si>
  <si>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</si>
  <si>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</si>
  <si>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</si>
  <si>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</si>
  <si>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</si>
  <si>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</si>
  <si>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</si>
  <si>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</si>
  <si>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</si>
  <si>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</si>
  <si>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</si>
  <si>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</si>
  <si>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</si>
  <si>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</si>
  <si>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</si>
  <si>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</si>
  <si>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</si>
  <si>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</si>
  <si>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</si>
  <si>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</si>
  <si>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</si>
  <si>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</si>
  <si>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</si>
  <si>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</si>
  <si>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</si>
  <si>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</si>
  <si>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</si>
  <si>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</si>
  <si>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</si>
  <si>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</si>
  <si>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</si>
  <si>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</si>
  <si>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</si>
  <si>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</si>
  <si>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</si>
  <si>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</si>
  <si>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</si>
  <si>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</si>
  <si>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</si>
  <si>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</si>
  <si>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</si>
  <si>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</si>
  <si>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</si>
  <si>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</si>
  <si>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</si>
  <si>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</si>
  <si>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</si>
  <si>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</si>
  <si>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</si>
  <si>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</si>
  <si>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</si>
  <si>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</si>
  <si>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</si>
  <si>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</si>
  <si>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</si>
  <si>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</si>
  <si>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</si>
  <si>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</si>
  <si>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</si>
  <si>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</si>
  <si>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</si>
  <si>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</si>
  <si>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</si>
  <si>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</si>
  <si>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</si>
  <si>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</si>
  <si>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</si>
  <si>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</si>
  <si>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</si>
  <si>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</si>
  <si>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</si>
  <si>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</si>
  <si>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</si>
  <si>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</si>
  <si>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</si>
  <si>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</si>
  <si>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</si>
  <si>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</si>
  <si>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</si>
  <si>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</si>
  <si>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</si>
  <si>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</si>
  <si>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</si>
  <si>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</si>
  <si>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</si>
  <si>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</si>
  <si>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</si>
  <si>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</si>
  <si>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</si>
  <si>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</si>
  <si>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</si>
  <si>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</si>
  <si>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</si>
  <si>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</si>
  <si>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</si>
  <si>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</si>
  <si>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</si>
  <si>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</si>
  <si>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</si>
  <si>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</si>
  <si>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</si>
  <si>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</si>
  <si>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</si>
  <si>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</si>
  <si>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</si>
  <si>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</si>
  <si>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</si>
  <si>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</si>
  <si>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</si>
  <si>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</si>
  <si>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</si>
  <si>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</si>
  <si>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</si>
  <si>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</si>
  <si>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</si>
  <si>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</si>
  <si>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</si>
  <si>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</si>
  <si>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</si>
  <si>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</si>
  <si>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</si>
  <si>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</si>
  <si>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</si>
  <si>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</si>
  <si>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</si>
  <si>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</si>
  <si>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</si>
  <si>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</si>
  <si>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</si>
  <si>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</si>
  <si>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</si>
  <si>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</si>
  <si>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</si>
  <si>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</si>
  <si>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</si>
  <si>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</si>
  <si>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</si>
  <si>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</si>
  <si>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</si>
  <si>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</si>
  <si>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</si>
  <si>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</si>
  <si>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</si>
  <si>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</si>
  <si>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</si>
  <si>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</si>
  <si>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</si>
  <si>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</si>
  <si>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</si>
  <si>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</si>
  <si>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</si>
  <si>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</si>
  <si>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</si>
  <si>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</si>
  <si>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</si>
  <si>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</si>
  <si>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</si>
  <si>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</si>
  <si>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</si>
  <si>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</si>
  <si>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</si>
  <si>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</si>
  <si>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</si>
  <si>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</si>
  <si>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</si>
  <si>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</si>
  <si>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</si>
  <si>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</si>
  <si>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</si>
  <si>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</si>
  <si>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</si>
  <si>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</si>
  <si>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</si>
  <si>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</si>
  <si>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</si>
  <si>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</si>
  <si>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</si>
  <si>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</si>
  <si>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</si>
  <si>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</si>
  <si>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</si>
  <si>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</si>
  <si>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</si>
  <si>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</si>
  <si>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</si>
  <si>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</si>
  <si>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</si>
  <si>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</si>
  <si>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</si>
  <si>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</si>
  <si>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</si>
  <si>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</si>
  <si>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</si>
  <si>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</si>
  <si>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</si>
  <si>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</si>
  <si>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</si>
  <si>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</si>
  <si>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</si>
  <si>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</si>
  <si>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</si>
  <si>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</si>
  <si>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</si>
  <si>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</si>
  <si>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</si>
  <si>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</si>
  <si>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</si>
  <si>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</si>
  <si>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</si>
  <si>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</si>
  <si>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</si>
  <si>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</si>
  <si>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</si>
  <si>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</si>
  <si>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</si>
  <si>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</si>
  <si>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</si>
  <si>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</si>
  <si>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</si>
  <si>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</si>
  <si>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</si>
  <si>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</si>
  <si>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</si>
  <si>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</si>
  <si>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</si>
  <si>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</si>
  <si>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</si>
  <si>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</si>
  <si>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</si>
  <si>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</si>
  <si>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</si>
  <si>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</si>
  <si>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</si>
  <si>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</si>
  <si>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</si>
  <si>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</si>
  <si>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</si>
  <si>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</si>
  <si>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</si>
  <si>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</si>
  <si>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</si>
  <si>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</si>
  <si>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</si>
  <si>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</si>
  <si>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</si>
  <si>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</si>
  <si>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</si>
  <si>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</si>
  <si>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</si>
  <si>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</si>
  <si>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</si>
  <si>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</si>
  <si>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</si>
  <si>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</si>
  <si>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</si>
  <si>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</si>
  <si>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</si>
  <si>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</si>
  <si>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</si>
  <si>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</si>
  <si>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</si>
  <si>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</si>
  <si>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</si>
  <si>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</si>
  <si>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</si>
  <si>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</si>
  <si>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</si>
  <si>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</si>
  <si>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</si>
  <si>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</si>
  <si>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</si>
  <si>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</si>
  <si>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</si>
  <si>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</si>
  <si>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</si>
  <si>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</si>
  <si>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</si>
  <si>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</si>
  <si>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</si>
  <si>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</si>
  <si>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</si>
  <si>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</si>
  <si>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</si>
  <si>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</si>
  <si>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</si>
  <si>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</si>
  <si>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</si>
  <si>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</si>
  <si>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</si>
  <si>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</si>
  <si>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</si>
  <si>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</si>
  <si>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</si>
  <si>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</si>
  <si>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</si>
  <si>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</si>
  <si>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</si>
  <si>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</si>
  <si>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</si>
  <si>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</si>
  <si>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</si>
  <si>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</si>
  <si>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</si>
  <si>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</si>
  <si>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</si>
  <si>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</si>
  <si>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</si>
  <si>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</si>
  <si>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</si>
  <si>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</si>
  <si>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</si>
  <si>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</si>
  <si>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</si>
  <si>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</si>
  <si>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</si>
  <si>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</si>
  <si>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</si>
  <si>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</si>
  <si>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</si>
  <si>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</si>
  <si>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</si>
  <si>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</si>
  <si>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</si>
  <si>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</si>
  <si>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</si>
  <si>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</si>
  <si>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</si>
  <si>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</si>
  <si>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</si>
  <si>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</si>
  <si>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</si>
  <si>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</si>
  <si>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</si>
  <si>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</si>
  <si>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</si>
  <si>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</si>
  <si>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</si>
  <si>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</si>
  <si>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</si>
  <si>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</si>
  <si>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</si>
  <si>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</si>
  <si>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</si>
  <si>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</si>
  <si>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</si>
  <si>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</si>
  <si>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</si>
  <si>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</si>
  <si>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</si>
  <si>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</si>
  <si>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</si>
  <si>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</si>
  <si>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</si>
  <si>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</si>
  <si>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</si>
  <si>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</si>
  <si>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</si>
  <si>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</si>
  <si>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</si>
  <si>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</si>
  <si>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</si>
  <si>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</si>
  <si>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</si>
  <si>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</si>
  <si>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</si>
  <si>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</si>
  <si>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</si>
  <si>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</si>
  <si>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</si>
  <si>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</si>
  <si>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</si>
  <si>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</si>
  <si>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</si>
  <si>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</si>
  <si>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</si>
  <si>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</si>
  <si>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</si>
  <si>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</si>
  <si>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</si>
  <si>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</si>
  <si>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</si>
  <si>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</si>
  <si>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</si>
  <si>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</si>
  <si>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</si>
  <si>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</si>
  <si>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</si>
  <si>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</si>
  <si>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</si>
  <si>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</si>
  <si>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</si>
  <si>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</si>
  <si>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</si>
  <si>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</si>
  <si>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</si>
  <si>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</si>
  <si>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</si>
  <si>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</si>
  <si>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</si>
  <si>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</si>
  <si>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</si>
  <si>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</si>
  <si>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</si>
  <si>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</si>
  <si>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</si>
  <si>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</si>
  <si>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</si>
  <si>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</si>
  <si>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</si>
  <si>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</si>
  <si>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</si>
  <si>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</si>
  <si>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</si>
  <si>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</si>
  <si>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</si>
  <si>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</si>
  <si>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</si>
  <si>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</si>
  <si>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</si>
  <si>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</si>
  <si>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</si>
  <si>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</si>
  <si>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</si>
  <si>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</si>
  <si>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</si>
  <si>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</si>
  <si>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</si>
  <si>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</si>
  <si>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</si>
  <si>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</si>
  <si>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</si>
  <si>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</si>
  <si>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</si>
  <si>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</si>
  <si>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</si>
  <si>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</si>
  <si>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</si>
  <si>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</si>
  <si>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</si>
  <si>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</si>
  <si>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</si>
  <si>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</si>
  <si>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</si>
  <si>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</si>
  <si>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</si>
  <si>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</si>
  <si>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</si>
  <si>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</si>
  <si>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</si>
  <si>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</si>
  <si>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</si>
  <si>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</si>
  <si>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</si>
  <si>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</si>
  <si>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</si>
  <si>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</si>
  <si>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</si>
  <si>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</si>
  <si>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</si>
  <si>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</si>
  <si>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</si>
  <si>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</si>
  <si>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</si>
  <si>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</si>
  <si>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</si>
  <si>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</si>
  <si>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</si>
  <si>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</si>
  <si>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</si>
  <si>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</si>
  <si>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</si>
  <si>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</si>
  <si>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</si>
  <si>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</si>
  <si>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</si>
  <si>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</si>
  <si>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</si>
  <si>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</si>
  <si>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</si>
  <si>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</si>
  <si>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</si>
  <si>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</si>
  <si>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</si>
  <si>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</si>
  <si>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</si>
  <si>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</si>
  <si>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</si>
  <si>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</si>
  <si>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</si>
  <si>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</si>
  <si>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</si>
  <si>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</si>
  <si>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</si>
  <si>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</si>
  <si>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</si>
  <si>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</si>
  <si>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</si>
  <si>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</si>
  <si>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</si>
  <si>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</si>
  <si>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</si>
  <si>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</si>
  <si>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</si>
  <si>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</si>
  <si>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</si>
  <si>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</si>
  <si>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</si>
  <si>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</si>
  <si>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</si>
  <si>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</si>
  <si>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</si>
  <si>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</si>
  <si>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</si>
  <si>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</si>
  <si>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</si>
  <si>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</si>
  <si>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</si>
  <si>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</si>
  <si>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</si>
  <si>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</si>
  <si>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</si>
  <si>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</si>
  <si>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</si>
  <si>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</si>
  <si>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</si>
  <si>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</si>
  <si>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</si>
  <si>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</si>
  <si>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</si>
  <si>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</si>
  <si>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</si>
  <si>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</si>
  <si>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</si>
  <si>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</si>
  <si>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</si>
  <si>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</si>
  <si>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</si>
  <si>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</si>
  <si>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</si>
  <si>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</si>
  <si>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</si>
  <si>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</si>
  <si>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</si>
  <si>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</si>
  <si>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</si>
  <si>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</si>
  <si>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</si>
  <si>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</si>
  <si>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</si>
  <si>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</si>
  <si>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</si>
  <si>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</si>
  <si>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</si>
  <si>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</si>
  <si>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</si>
  <si>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</si>
  <si>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</si>
  <si>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</si>
  <si>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</si>
  <si>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</si>
  <si>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</si>
  <si>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</si>
  <si>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</si>
  <si>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</si>
  <si>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</si>
  <si>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</si>
  <si>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</si>
  <si>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</si>
  <si>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</si>
  <si>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</si>
  <si>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</si>
  <si>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</si>
  <si>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</si>
  <si>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</si>
  <si>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</si>
  <si>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</si>
  <si>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</si>
  <si>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</si>
  <si>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</si>
  <si>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</si>
  <si>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</si>
  <si>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</si>
  <si>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</si>
  <si>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</si>
  <si>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</si>
  <si>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</si>
  <si>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</si>
  <si>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</si>
  <si>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</si>
  <si>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</si>
  <si>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</si>
  <si>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</si>
  <si>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</si>
  <si>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</si>
  <si>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</si>
  <si>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</si>
  <si>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</si>
  <si>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</si>
  <si>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</si>
  <si>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</si>
  <si>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</si>
  <si>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</si>
  <si>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</si>
  <si>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</si>
  <si>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</si>
  <si>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</si>
  <si>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</si>
  <si>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</si>
  <si>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</si>
  <si>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</si>
  <si>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</si>
  <si>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</si>
  <si>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</si>
  <si>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</si>
  <si>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</si>
  <si>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</si>
  <si>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</si>
  <si>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</si>
  <si>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</si>
  <si>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</si>
  <si>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</si>
  <si>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</si>
  <si>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</si>
  <si>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</si>
  <si>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</si>
  <si>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</si>
  <si>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</si>
  <si>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</si>
  <si>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</si>
  <si>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</si>
  <si>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</si>
  <si>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</si>
  <si>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</si>
  <si>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</si>
  <si>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</si>
  <si>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</si>
  <si>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</si>
  <si>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</si>
  <si>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</si>
  <si>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</si>
  <si>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</si>
  <si>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</si>
  <si>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</si>
  <si>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</si>
  <si>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</si>
  <si>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</si>
  <si>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</si>
  <si>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</si>
  <si>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</si>
  <si>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</si>
  <si>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</si>
  <si>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</si>
  <si>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</si>
  <si>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</si>
  <si>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</si>
  <si>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</si>
  <si>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</si>
  <si>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</si>
  <si>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</si>
  <si>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</si>
  <si>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</si>
  <si>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</si>
  <si>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</si>
  <si>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</si>
  <si>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</si>
  <si>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</si>
  <si>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</si>
  <si>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</si>
  <si>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</si>
  <si>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</si>
  <si>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</si>
  <si>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</si>
  <si>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</si>
  <si>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</si>
  <si>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</si>
  <si>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</si>
  <si>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</si>
  <si>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</si>
  <si>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</si>
  <si>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</si>
  <si>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</si>
  <si>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</si>
  <si>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</si>
  <si>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</si>
  <si>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</si>
  <si>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</si>
  <si>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</si>
  <si>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</si>
  <si>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</si>
  <si>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</si>
  <si>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</si>
  <si>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</si>
  <si>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</si>
  <si>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</si>
  <si>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</si>
  <si>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</si>
  <si>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</si>
  <si>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</si>
  <si>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</si>
  <si>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</si>
  <si>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</si>
  <si>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</si>
  <si>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</si>
  <si>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</si>
  <si>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</si>
  <si>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</si>
  <si>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</si>
  <si>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</si>
  <si>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</si>
  <si>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</si>
  <si>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</si>
  <si>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</si>
  <si>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</si>
  <si>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</si>
  <si>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</si>
  <si>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</si>
  <si>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</si>
  <si>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</si>
  <si>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</si>
  <si>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</si>
  <si>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</si>
  <si>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</si>
  <si>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</si>
  <si>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</si>
  <si>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</si>
  <si>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</si>
  <si>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</si>
  <si>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</si>
  <si>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</si>
  <si>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</si>
  <si>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</si>
  <si>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</si>
  <si>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</si>
  <si>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</si>
  <si>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</si>
  <si>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</si>
  <si>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</si>
  <si>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</si>
  <si>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</si>
  <si>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</si>
  <si>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</si>
  <si>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</si>
  <si>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</si>
  <si>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</si>
  <si>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</si>
  <si>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</si>
  <si>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</si>
  <si>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</si>
  <si>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</si>
  <si>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</si>
  <si>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</si>
  <si>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</si>
  <si>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</si>
  <si>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</si>
  <si>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</si>
  <si>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</si>
  <si>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</si>
  <si>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</si>
  <si>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</si>
  <si>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</si>
  <si>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</si>
  <si>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</si>
  <si>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</si>
  <si>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</si>
  <si>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</si>
  <si>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</si>
  <si>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</si>
  <si>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</si>
  <si>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</si>
  <si>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</si>
  <si>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</si>
  <si>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</si>
  <si>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</si>
  <si>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</si>
  <si>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</si>
  <si>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</si>
  <si>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</si>
  <si>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</si>
  <si>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</si>
  <si>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</si>
  <si>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</si>
  <si>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</si>
  <si>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</si>
  <si>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</si>
  <si>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</si>
  <si>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</si>
  <si>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</si>
  <si>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</si>
  <si>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</si>
  <si>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</si>
  <si>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</si>
  <si>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</si>
  <si>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</si>
  <si>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</si>
  <si>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</si>
  <si>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</si>
  <si>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</si>
  <si>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</si>
  <si>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</si>
  <si>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</si>
  <si>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</si>
  <si>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</si>
  <si>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</si>
  <si>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</si>
  <si>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</si>
  <si>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</si>
  <si>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</si>
  <si>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</si>
  <si>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</si>
  <si>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</si>
  <si>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</si>
  <si>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</si>
  <si>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</si>
  <si>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</si>
  <si>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</si>
  <si>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</si>
  <si>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</si>
  <si>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</si>
  <si>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</si>
  <si>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</si>
  <si>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</si>
  <si>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</si>
  <si>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</si>
  <si>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</si>
  <si>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</si>
  <si>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</si>
  <si>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</si>
  <si>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</si>
  <si>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</si>
  <si>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</si>
  <si>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</si>
  <si>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</si>
  <si>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</si>
  <si>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</si>
  <si>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</si>
  <si>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</si>
  <si>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</si>
  <si>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</si>
  <si>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</si>
  <si>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</si>
  <si>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</si>
  <si>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</si>
  <si>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</si>
  <si>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</si>
  <si>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</si>
  <si>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</si>
  <si>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</si>
  <si>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</si>
  <si>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</si>
  <si>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</si>
  <si>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</si>
  <si>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</si>
  <si>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</si>
  <si>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</si>
  <si>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</si>
  <si>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</si>
  <si>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</si>
  <si>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</si>
  <si>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</si>
  <si>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</si>
  <si>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</si>
  <si>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</si>
  <si>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</si>
  <si>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</si>
  <si>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</si>
  <si>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</si>
  <si>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</si>
  <si>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</si>
  <si>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</si>
  <si>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</si>
  <si>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</si>
  <si>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</si>
  <si>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</si>
  <si>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</si>
  <si>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</si>
  <si>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</si>
  <si>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</si>
  <si>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</si>
  <si>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</si>
  <si>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</si>
  <si>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</si>
  <si>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</si>
  <si>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</si>
  <si>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</si>
  <si>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</si>
  <si>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</si>
  <si>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</si>
  <si>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</si>
  <si>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</si>
  <si>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</si>
  <si>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</si>
  <si>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</si>
  <si>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</si>
  <si>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</si>
  <si>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</si>
  <si>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</si>
  <si>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</si>
  <si>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</si>
  <si>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</si>
  <si>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</si>
  <si>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</si>
  <si>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</si>
  <si>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</si>
  <si>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</si>
  <si>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</si>
  <si>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</si>
  <si>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</si>
  <si>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</si>
  <si>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</si>
  <si>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</si>
  <si>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</si>
  <si>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</si>
  <si>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</si>
  <si>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</si>
  <si>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</si>
  <si>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</si>
  <si>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</si>
  <si>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</si>
  <si>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</si>
  <si>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</si>
  <si>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</si>
  <si>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</si>
  <si>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</si>
  <si>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</si>
  <si>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</si>
  <si>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</si>
  <si>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</si>
  <si>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</si>
  <si>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</si>
  <si>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</si>
  <si>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</si>
  <si>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</si>
  <si>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</si>
  <si>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</si>
  <si>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</si>
  <si>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</si>
  <si>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</si>
  <si>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</si>
  <si>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</si>
  <si>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</si>
  <si>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</si>
  <si>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</si>
  <si>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</si>
  <si>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</si>
  <si>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</si>
  <si>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</si>
  <si>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</si>
  <si>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</si>
  <si>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</si>
  <si>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</si>
  <si>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</si>
  <si>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</si>
  <si>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</si>
  <si>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</si>
  <si>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</si>
  <si>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</si>
  <si>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</si>
  <si>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</si>
  <si>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</si>
  <si>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</si>
  <si>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</si>
  <si>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</si>
  <si>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</si>
  <si>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</si>
  <si>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</si>
  <si>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</si>
  <si>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</si>
  <si>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</si>
  <si>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</si>
  <si>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</si>
  <si>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</si>
  <si>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</si>
  <si>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</si>
  <si>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</si>
  <si>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</si>
  <si>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</si>
  <si>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</si>
  <si>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</si>
  <si>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</si>
  <si>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</si>
  <si>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</si>
  <si>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</si>
  <si>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</si>
  <si>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</si>
  <si>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</si>
  <si>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</si>
  <si>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</si>
  <si>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</si>
  <si>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</si>
  <si>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</si>
  <si>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</si>
  <si>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</si>
  <si>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</si>
  <si>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</si>
  <si>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</si>
  <si>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</si>
  <si>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</si>
  <si>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</si>
  <si>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</si>
  <si>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</si>
  <si>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</si>
  <si>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</si>
  <si>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</si>
  <si>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</si>
  <si>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</si>
  <si>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</si>
  <si>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</si>
  <si>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</si>
  <si>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</si>
  <si>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</si>
  <si>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</si>
  <si>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</si>
  <si>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</si>
  <si>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</si>
  <si>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</si>
  <si>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</si>
  <si>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</si>
  <si>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</si>
  <si>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</si>
  <si>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</si>
  <si>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</si>
  <si>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</si>
  <si>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</si>
  <si>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</si>
  <si>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</si>
  <si>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</si>
  <si>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</si>
  <si>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</si>
  <si>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</si>
  <si>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</si>
  <si>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</si>
  <si>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</si>
  <si>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</si>
  <si>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</si>
  <si>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</si>
  <si>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</si>
  <si>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</si>
  <si>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</si>
  <si>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</si>
  <si>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</si>
  <si>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</si>
  <si>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</si>
  <si>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</si>
  <si>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</si>
  <si>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</si>
  <si>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</si>
  <si>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</si>
  <si>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</si>
  <si>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</si>
  <si>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</si>
  <si>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</si>
  <si>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</si>
  <si>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</si>
  <si>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</si>
  <si>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</si>
  <si>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</si>
  <si>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</si>
  <si>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</si>
  <si>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</si>
  <si>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</si>
  <si>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</si>
  <si>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</si>
  <si>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</si>
  <si>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</si>
  <si>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</si>
  <si>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</si>
  <si>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</si>
  <si>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</si>
  <si>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</si>
  <si>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</si>
  <si>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</si>
  <si>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</si>
  <si>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</si>
  <si>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</si>
  <si>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</si>
  <si>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</si>
  <si>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</si>
  <si>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</si>
  <si>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</si>
  <si>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</si>
  <si>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</si>
  <si>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</si>
  <si>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</si>
  <si>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</si>
  <si>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</si>
  <si>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</si>
  <si>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</si>
  <si>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</si>
  <si>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</si>
  <si>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</si>
  <si>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</si>
  <si>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</si>
  <si>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</si>
  <si>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</si>
  <si>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</si>
  <si>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</si>
  <si>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</si>
  <si>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</si>
  <si>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</si>
  <si>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</si>
  <si>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</si>
  <si>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</si>
  <si>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</si>
  <si>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</si>
  <si>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</si>
  <si>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</si>
  <si>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</si>
  <si>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</si>
  <si>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</si>
  <si>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</si>
  <si>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</si>
  <si>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</si>
  <si>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</si>
  <si>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</si>
  <si>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</si>
  <si>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</si>
  <si>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</si>
  <si>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</si>
  <si>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</si>
  <si>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</si>
  <si>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</si>
  <si>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</si>
  <si>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</si>
  <si>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</si>
  <si>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</si>
  <si>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</si>
  <si>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</si>
  <si>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</si>
  <si>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</si>
  <si>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</si>
  <si>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</si>
  <si>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</si>
  <si>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</si>
  <si>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</si>
  <si>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</si>
  <si>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</si>
  <si>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</si>
  <si>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</si>
  <si>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</si>
  <si>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</si>
  <si>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</si>
  <si>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</si>
  <si>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</si>
  <si>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</si>
  <si>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</si>
  <si>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</si>
  <si>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</si>
  <si>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</si>
  <si>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</si>
  <si>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</si>
  <si>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</si>
  <si>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</si>
  <si>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</si>
  <si>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</si>
  <si>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</si>
  <si>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</si>
  <si>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</si>
  <si>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</si>
  <si>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</si>
  <si>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</si>
  <si>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</si>
  <si>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</si>
  <si>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</si>
  <si>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</si>
  <si>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</si>
  <si>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</si>
  <si>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</si>
  <si>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</si>
  <si>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</si>
  <si>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</si>
  <si>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</si>
  <si>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</si>
  <si>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</si>
  <si>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</si>
  <si>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</si>
  <si>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</si>
  <si>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</si>
  <si>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</si>
  <si>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</si>
  <si>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</si>
  <si>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</si>
  <si>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</si>
  <si>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</si>
  <si>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</si>
  <si>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</si>
  <si>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</si>
  <si>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</si>
  <si>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</si>
  <si>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</si>
  <si>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</si>
  <si>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</si>
  <si>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</si>
  <si>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</si>
  <si>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</si>
  <si>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</si>
  <si>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</si>
  <si>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</si>
  <si>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</si>
  <si>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</si>
  <si>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</si>
  <si>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</si>
  <si>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</si>
  <si>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</si>
  <si>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</si>
  <si>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</si>
  <si>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</si>
  <si>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</si>
  <si>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</si>
  <si>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</si>
  <si>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</si>
  <si>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</si>
  <si>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</si>
  <si>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</si>
  <si>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</si>
  <si>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</si>
  <si>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</si>
  <si>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</si>
  <si>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</si>
  <si>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</si>
  <si>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</si>
  <si>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</si>
  <si>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</si>
  <si>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</si>
  <si>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</si>
  <si>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</si>
  <si>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</si>
  <si>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</si>
  <si>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</si>
  <si>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</si>
  <si>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</si>
  <si>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</si>
  <si>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</si>
  <si>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</si>
  <si>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</si>
  <si>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</si>
  <si>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</si>
  <si>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</si>
  <si>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</si>
  <si>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</si>
  <si>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</si>
  <si>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</si>
  <si>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</si>
  <si>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</si>
  <si>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</si>
  <si>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</si>
  <si>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</si>
  <si>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</si>
  <si>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</si>
  <si>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</si>
  <si>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</si>
  <si>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</si>
  <si>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</si>
  <si>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</si>
  <si>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</si>
  <si>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</si>
  <si>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</si>
  <si>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</si>
  <si>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</si>
  <si>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</si>
  <si>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</si>
  <si>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</si>
  <si>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</si>
  <si>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</si>
  <si>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</si>
  <si>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</si>
  <si>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</si>
  <si>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</si>
  <si>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</si>
  <si>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</si>
  <si>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</si>
  <si>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</si>
  <si>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</si>
  <si>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</si>
  <si>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</si>
  <si>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</si>
  <si>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</si>
  <si>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</si>
  <si>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</si>
  <si>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</si>
  <si>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</si>
  <si>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</si>
  <si>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</si>
  <si>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</si>
  <si>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</si>
  <si>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</si>
  <si>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</si>
  <si>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</si>
  <si>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</si>
  <si>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</si>
  <si>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</si>
  <si>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</si>
  <si>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</si>
  <si>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</si>
  <si>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</si>
  <si>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</si>
  <si>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</si>
  <si>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</si>
  <si>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</si>
  <si>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</si>
  <si>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</si>
  <si>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</si>
  <si>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</si>
  <si>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</si>
  <si>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</si>
  <si>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</si>
  <si>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</si>
  <si>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</si>
  <si>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</si>
  <si>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</si>
  <si>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</si>
  <si>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</si>
  <si>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</si>
  <si>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</si>
  <si>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</si>
  <si>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</si>
  <si>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</si>
  <si>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</si>
  <si>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</si>
  <si>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</si>
  <si>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</si>
  <si>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</si>
  <si>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</si>
  <si>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</si>
  <si>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</si>
  <si>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</si>
  <si>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</si>
  <si>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</si>
  <si>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</si>
  <si>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</si>
  <si>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</si>
  <si>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</si>
  <si>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</si>
  <si>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</si>
  <si>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</si>
  <si>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</si>
  <si>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</si>
  <si>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</si>
  <si>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</si>
  <si>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</si>
  <si>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</si>
  <si>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</si>
  <si>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</si>
  <si>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</si>
  <si>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</si>
  <si>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</si>
  <si>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</si>
  <si>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</si>
  <si>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</si>
  <si>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</si>
  <si>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</si>
  <si>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</si>
  <si>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</si>
  <si>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</si>
  <si>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</si>
  <si>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</si>
  <si>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</si>
  <si>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</si>
  <si>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</si>
  <si>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</si>
  <si>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</si>
  <si>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</si>
  <si>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</si>
  <si>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</si>
  <si>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</si>
  <si>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</si>
  <si>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</si>
  <si>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</si>
  <si>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</si>
  <si>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</si>
  <si>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</si>
  <si>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</si>
  <si>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</si>
  <si>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</si>
  <si>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</si>
  <si>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</si>
  <si>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</si>
  <si>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</si>
  <si>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</si>
  <si>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</si>
  <si>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</si>
  <si>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</si>
  <si>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</si>
  <si>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</si>
  <si>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</si>
  <si>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</si>
  <si>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</si>
  <si>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</si>
  <si>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</si>
  <si>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</si>
  <si>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</si>
  <si>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</si>
  <si>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</si>
  <si>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</si>
  <si>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</si>
  <si>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</si>
  <si>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</si>
  <si>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</si>
  <si>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</si>
  <si>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</si>
  <si>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</si>
  <si>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</si>
  <si>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</si>
  <si>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</si>
  <si>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</si>
  <si>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</si>
  <si>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</si>
  <si>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</si>
  <si>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</si>
  <si>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</si>
  <si>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</si>
  <si>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</si>
  <si>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</si>
  <si>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</si>
  <si>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</si>
  <si>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</si>
  <si>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</si>
  <si>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</si>
  <si>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</si>
  <si>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</si>
  <si>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</si>
  <si>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</si>
  <si>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</si>
  <si>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</si>
  <si>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</si>
  <si>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</si>
  <si>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</si>
  <si>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</si>
  <si>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</si>
  <si>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</si>
  <si>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</si>
  <si>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</si>
  <si>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</si>
  <si>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</si>
  <si>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</si>
  <si>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</si>
  <si>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</si>
  <si>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</si>
  <si>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</si>
  <si>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</si>
  <si>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</si>
  <si>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</si>
  <si>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</si>
  <si>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</si>
  <si>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</si>
  <si>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</si>
  <si>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</si>
  <si>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</si>
  <si>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</si>
  <si>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</si>
  <si>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</si>
  <si>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</si>
  <si>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</si>
  <si>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</si>
  <si>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</si>
  <si>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</si>
  <si>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</si>
  <si>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</si>
  <si>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</si>
  <si>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</si>
  <si>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</si>
  <si>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</si>
  <si>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</si>
  <si>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</si>
  <si>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</si>
  <si>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</si>
  <si>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</si>
  <si>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</si>
  <si>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</si>
  <si>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</si>
  <si>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</si>
  <si>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</si>
  <si>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</si>
  <si>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</si>
  <si>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</si>
  <si>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</si>
  <si>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</si>
  <si>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</si>
  <si>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</si>
  <si>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</si>
  <si>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</si>
  <si>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</si>
  <si>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</si>
  <si>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</si>
  <si>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</si>
  <si>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</si>
  <si>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</si>
  <si>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</si>
  <si>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</si>
  <si>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</si>
  <si>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</si>
  <si>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</si>
  <si>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</si>
  <si>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</si>
  <si>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</si>
  <si>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</si>
  <si>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</si>
  <si>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</si>
  <si>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</si>
  <si>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</si>
  <si>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</si>
  <si>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</si>
  <si>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</si>
  <si>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</si>
  <si>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</si>
  <si>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</si>
  <si>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</si>
  <si>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</si>
  <si>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</si>
  <si>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</si>
  <si>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</si>
  <si>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</si>
  <si>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</si>
  <si>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</si>
  <si>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</si>
  <si>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</si>
  <si>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</si>
  <si>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</si>
  <si>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</si>
  <si>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</si>
  <si>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</si>
  <si>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</si>
  <si>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</si>
  <si>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</si>
  <si>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</si>
  <si>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</si>
  <si>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</si>
  <si>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</si>
  <si>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</si>
  <si>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</si>
  <si>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</si>
  <si>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</si>
  <si>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</si>
  <si>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</si>
  <si>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</si>
  <si>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</si>
  <si>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</si>
  <si>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</si>
  <si>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</si>
  <si>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</si>
  <si>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</si>
  <si>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</si>
  <si>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</si>
  <si>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</si>
  <si>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</si>
  <si>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</si>
  <si>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</si>
  <si>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</si>
  <si>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</si>
  <si>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</si>
  <si>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</si>
  <si>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</si>
  <si>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</si>
  <si>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</si>
  <si>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</si>
  <si>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</si>
  <si>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</si>
  <si>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</si>
  <si>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</si>
  <si>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</si>
  <si>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</si>
  <si>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</si>
  <si>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</si>
  <si>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</si>
  <si>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</si>
  <si>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</si>
  <si>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</si>
  <si>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</si>
  <si>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</si>
  <si>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</si>
  <si>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</si>
  <si>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</si>
  <si>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</si>
  <si>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</si>
  <si>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</si>
  <si>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</si>
  <si>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</si>
  <si>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</si>
  <si>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</si>
  <si>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</si>
  <si>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</si>
  <si>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</si>
  <si>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</si>
  <si>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</si>
  <si>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</si>
  <si>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</si>
  <si>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</si>
  <si>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</si>
  <si>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</si>
  <si>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</si>
  <si>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</si>
  <si>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</si>
  <si>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</si>
  <si>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</si>
  <si>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</si>
  <si>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</si>
  <si>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</si>
  <si>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</si>
  <si>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</si>
  <si>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</si>
  <si>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</si>
  <si>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</si>
  <si>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</si>
  <si>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</si>
  <si>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</si>
  <si>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</si>
  <si>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</si>
  <si>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</si>
  <si>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</si>
  <si>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</si>
  <si>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</si>
  <si>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</si>
  <si>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</si>
  <si>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</si>
  <si>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</si>
  <si>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</si>
  <si>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</si>
  <si>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</si>
  <si>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</si>
  <si>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</si>
  <si>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</si>
  <si>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</si>
  <si>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</si>
  <si>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</si>
  <si>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</si>
  <si>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</si>
  <si>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</si>
  <si>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</si>
  <si>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</si>
  <si>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</si>
  <si>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</si>
  <si>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</si>
  <si>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</si>
  <si>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</si>
  <si>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</si>
  <si>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</si>
  <si>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</si>
  <si>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</si>
  <si>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</si>
  <si>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</si>
  <si>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</si>
  <si>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</si>
  <si>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</si>
  <si>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</si>
  <si>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</si>
  <si>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</si>
  <si>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</si>
  <si>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</si>
  <si>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</si>
  <si>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</si>
  <si>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</si>
  <si>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</si>
  <si>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</si>
  <si>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</si>
  <si>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</si>
  <si>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</si>
  <si>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</si>
  <si>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</si>
  <si>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</si>
  <si>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</si>
  <si>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</si>
  <si>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</si>
  <si>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</si>
  <si>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</si>
  <si>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</si>
  <si>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</si>
  <si>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</si>
  <si>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</si>
  <si>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</si>
  <si>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</si>
  <si>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</si>
  <si>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</si>
  <si>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</si>
  <si>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</si>
  <si>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</si>
  <si>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</si>
  <si>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</si>
  <si>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</si>
  <si>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</si>
  <si>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</si>
  <si>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</si>
  <si>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</si>
  <si>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</si>
  <si>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</si>
  <si>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</si>
  <si>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</si>
  <si>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</si>
  <si>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</si>
  <si>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</si>
  <si>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</si>
  <si>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</si>
  <si>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</si>
  <si>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</si>
  <si>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</si>
  <si>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</si>
  <si>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</si>
  <si>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</si>
  <si>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</si>
  <si>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</si>
  <si>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</si>
  <si>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</si>
  <si>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</si>
  <si>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</si>
  <si>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</si>
  <si>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</si>
  <si>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</si>
  <si>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</si>
  <si>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</si>
  <si>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</si>
  <si>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</si>
  <si>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</si>
  <si>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</si>
  <si>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</si>
  <si>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</si>
  <si>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</si>
  <si>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</si>
  <si>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</si>
  <si>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</si>
  <si>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</si>
  <si>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</si>
  <si>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</si>
  <si>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</si>
  <si>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</si>
  <si>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</si>
  <si>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</si>
  <si>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</si>
  <si>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</si>
  <si>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</si>
  <si>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</si>
  <si>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</si>
  <si>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</si>
  <si>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</si>
  <si>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</si>
  <si>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</si>
  <si>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</si>
  <si>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</si>
  <si>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</si>
  <si>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</si>
  <si>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</si>
  <si>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</si>
  <si>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</si>
  <si>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</si>
  <si>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</si>
  <si>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</si>
  <si>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</si>
  <si>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</si>
  <si>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</si>
  <si>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</si>
  <si>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</si>
  <si>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</si>
  <si>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</si>
  <si>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</si>
  <si>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</si>
  <si>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</si>
  <si>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</si>
  <si>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</si>
  <si>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</si>
  <si>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</si>
  <si>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</si>
  <si>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</si>
  <si>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</si>
  <si>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</si>
  <si>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</si>
  <si>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</si>
  <si>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</si>
  <si>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</si>
  <si>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</si>
  <si>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</si>
  <si>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</si>
  <si>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</si>
  <si>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</si>
  <si>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</si>
  <si>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</si>
  <si>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</si>
  <si>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</si>
  <si>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</si>
  <si>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</si>
  <si>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</si>
  <si>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</si>
  <si>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</si>
  <si>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</si>
  <si>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</si>
  <si>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</si>
  <si>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</si>
  <si>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</si>
  <si>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</si>
  <si>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</si>
  <si>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</si>
  <si>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</si>
  <si>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</si>
  <si>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</si>
  <si>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</si>
  <si>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</si>
  <si>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</si>
  <si>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</si>
  <si>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</si>
  <si>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</si>
  <si>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</si>
  <si>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</si>
  <si>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</si>
  <si>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</si>
  <si>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</si>
  <si>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</si>
  <si>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</si>
  <si>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</si>
  <si>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</si>
  <si>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</si>
  <si>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</si>
  <si>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</si>
  <si>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</si>
  <si>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</si>
  <si>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</si>
  <si>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</si>
  <si>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</si>
  <si>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</si>
  <si>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</si>
  <si>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</si>
  <si>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</si>
  <si>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</si>
  <si>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</si>
  <si>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</si>
  <si>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</si>
  <si>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</si>
  <si>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</si>
  <si>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</si>
  <si>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</si>
  <si>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</si>
  <si>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</si>
  <si>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</si>
  <si>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</si>
  <si>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</si>
  <si>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</si>
  <si>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</si>
  <si>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</si>
  <si>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</si>
  <si>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</si>
  <si>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</si>
  <si>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</si>
  <si>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</si>
  <si>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</si>
  <si>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</si>
  <si>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</si>
  <si>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</si>
  <si>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</si>
  <si>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</si>
  <si>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</si>
  <si>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</si>
  <si>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</si>
  <si>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</si>
  <si>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</si>
  <si>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</si>
  <si>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</si>
  <si>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</si>
  <si>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</si>
  <si>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</si>
  <si>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</si>
  <si>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</si>
  <si>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</si>
  <si>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</si>
  <si>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</si>
  <si>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</si>
  <si>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</si>
  <si>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</si>
  <si>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</si>
  <si>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</si>
  <si>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</si>
  <si>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</si>
  <si>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</si>
  <si>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</si>
  <si>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</si>
  <si>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</si>
  <si>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</si>
  <si>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</si>
  <si>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</si>
  <si>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</si>
  <si>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</si>
  <si>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</si>
  <si>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</si>
  <si>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</si>
  <si>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</si>
  <si>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</si>
  <si>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</si>
  <si>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</si>
  <si>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</si>
  <si>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</si>
  <si>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</si>
  <si>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</si>
  <si>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</si>
  <si>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</si>
  <si>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</si>
  <si>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</si>
  <si>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</si>
  <si>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</si>
  <si>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</si>
  <si>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</si>
  <si>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</si>
  <si>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</si>
  <si>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</si>
  <si>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</si>
  <si>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</si>
  <si>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</si>
  <si>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</si>
  <si>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</si>
  <si>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</si>
  <si>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</si>
  <si>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</si>
  <si>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</si>
  <si>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</si>
  <si>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</si>
  <si>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</si>
  <si>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</si>
  <si>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</si>
  <si>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</si>
  <si>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</si>
  <si>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</si>
  <si>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</si>
  <si>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</si>
  <si>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</si>
  <si>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</si>
  <si>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</si>
  <si>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</si>
  <si>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</si>
  <si>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</si>
  <si>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</si>
  <si>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</si>
  <si>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</si>
  <si>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</si>
  <si>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</si>
  <si>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</si>
  <si>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</si>
  <si>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</si>
  <si>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</si>
  <si>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</si>
  <si>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</si>
  <si>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</si>
  <si>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</si>
  <si>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</si>
  <si>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</si>
  <si>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</si>
  <si>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</si>
  <si>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</si>
  <si>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</si>
  <si>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</si>
  <si>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</si>
  <si>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</si>
  <si>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</si>
  <si>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</si>
  <si>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</si>
  <si>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</si>
  <si>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</si>
  <si>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</si>
  <si>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</si>
  <si>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</si>
  <si>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</si>
  <si>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</si>
  <si>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</si>
  <si>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</si>
  <si>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</si>
  <si>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</si>
  <si>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</si>
  <si>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</si>
  <si>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</si>
  <si>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</si>
  <si>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</si>
  <si>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</si>
  <si>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</si>
  <si>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</si>
  <si>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</si>
  <si>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</si>
  <si>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</si>
  <si>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</si>
  <si>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</si>
  <si>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</si>
  <si>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</si>
  <si>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</si>
  <si>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</si>
  <si>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</si>
  <si>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</si>
  <si>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</si>
  <si>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</si>
  <si>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</si>
  <si>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</si>
  <si>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</si>
  <si>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</si>
  <si>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</si>
  <si>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</si>
  <si>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</si>
  <si>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</si>
  <si>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</si>
  <si>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</si>
  <si>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</si>
  <si>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</si>
  <si>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</si>
  <si>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</si>
  <si>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</si>
  <si>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</si>
  <si>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</si>
  <si>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</si>
  <si>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</si>
  <si>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</si>
  <si>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</si>
  <si>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</si>
  <si>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</si>
  <si>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</si>
  <si>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</si>
  <si>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</si>
  <si>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</si>
  <si>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</si>
  <si>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</si>
  <si>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</si>
  <si>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</si>
  <si>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</si>
  <si>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</si>
  <si>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</si>
  <si>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</si>
  <si>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</si>
  <si>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</si>
  <si>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</si>
  <si>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</si>
  <si>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</si>
  <si>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</si>
  <si>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</si>
  <si>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</si>
  <si>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</si>
  <si>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</si>
  <si>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</si>
  <si>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</si>
  <si>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</si>
  <si>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</si>
  <si>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</si>
  <si>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</si>
  <si>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</si>
  <si>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</si>
  <si>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</si>
  <si>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</si>
  <si>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</si>
  <si>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</si>
  <si>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</si>
  <si>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</si>
  <si>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</si>
  <si>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</si>
  <si>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</si>
  <si>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</si>
  <si>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</si>
  <si>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</si>
  <si>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</si>
  <si>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</si>
  <si>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</si>
  <si>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</si>
  <si>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</si>
  <si>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</si>
  <si>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</si>
  <si>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</si>
  <si>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</si>
  <si>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</si>
  <si>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</si>
  <si>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</si>
  <si>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</si>
  <si>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</si>
  <si>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</si>
  <si>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</si>
  <si>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</si>
  <si>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</si>
  <si>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</si>
  <si>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</si>
  <si>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</si>
  <si>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</si>
  <si>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</si>
  <si>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</si>
  <si>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</si>
  <si>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</si>
  <si>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</si>
  <si>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</si>
  <si>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</si>
  <si>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</si>
  <si>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</si>
  <si>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</si>
  <si>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</si>
  <si>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</si>
  <si>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</si>
  <si>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</si>
  <si>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</si>
  <si>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</si>
  <si>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</si>
  <si>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</si>
  <si>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</si>
  <si>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</si>
  <si>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</si>
  <si>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</si>
  <si>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</si>
  <si>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</si>
  <si>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</si>
  <si>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</si>
  <si>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</si>
  <si>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</si>
  <si>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</si>
  <si>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</si>
  <si>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</si>
  <si>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</si>
  <si>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</si>
  <si>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</si>
  <si>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</si>
  <si>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</si>
  <si>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</si>
  <si>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</si>
  <si>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</si>
  <si>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</si>
  <si>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</si>
  <si>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</si>
  <si>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</si>
  <si>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</si>
  <si>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</si>
  <si>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</si>
  <si>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</si>
  <si>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</si>
  <si>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</si>
  <si>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</si>
  <si>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</si>
  <si>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</si>
  <si>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</si>
  <si>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</si>
  <si>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</si>
  <si>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</si>
  <si>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</si>
  <si>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</si>
  <si>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</si>
  <si>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</si>
  <si>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</si>
  <si>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</si>
  <si>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</si>
  <si>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</si>
  <si>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</si>
  <si>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</si>
  <si>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</si>
  <si>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</si>
  <si>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</si>
  <si>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</si>
  <si>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</si>
  <si>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</si>
  <si>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</si>
  <si>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</si>
  <si>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</si>
  <si>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</si>
  <si>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</si>
  <si>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</si>
  <si>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</si>
  <si>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</si>
  <si>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</si>
  <si>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</si>
  <si>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</si>
  <si>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</si>
  <si>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</si>
  <si>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</si>
  <si>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</si>
  <si>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</si>
  <si>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</si>
  <si>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</si>
  <si>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</si>
  <si>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</si>
  <si>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</si>
  <si>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</si>
  <si>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</si>
  <si>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</si>
  <si>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</si>
  <si>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</si>
  <si>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</si>
  <si>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</si>
  <si>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</si>
  <si>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</si>
  <si>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</si>
  <si>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</si>
  <si>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</si>
  <si>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</si>
  <si>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</si>
  <si>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</si>
  <si>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</si>
  <si>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</si>
  <si>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</si>
  <si>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</si>
  <si>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</si>
  <si>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</si>
  <si>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</si>
  <si>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</si>
  <si>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</si>
  <si>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</si>
  <si>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</si>
  <si>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</si>
  <si>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</si>
  <si>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</si>
  <si>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</si>
  <si>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</si>
  <si>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</si>
  <si>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</si>
  <si>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</si>
  <si>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</si>
  <si>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</si>
  <si>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</si>
  <si>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</si>
  <si>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</si>
  <si>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</si>
  <si>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</si>
  <si>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</si>
  <si>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</si>
  <si>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</si>
  <si>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</si>
  <si>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</si>
  <si>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</si>
  <si>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</si>
  <si>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</si>
  <si>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</si>
  <si>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</si>
  <si>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</si>
  <si>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</si>
  <si>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</si>
  <si>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</si>
  <si>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</si>
  <si>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</si>
  <si>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</si>
  <si>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</si>
  <si>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</si>
  <si>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</si>
  <si>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</si>
  <si>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</si>
  <si>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</si>
  <si>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</si>
  <si>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</si>
  <si>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</si>
  <si>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</si>
  <si>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</si>
  <si>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</si>
  <si>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</si>
  <si>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</si>
  <si>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</si>
  <si>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</si>
  <si>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</si>
  <si>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</si>
  <si>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</si>
  <si>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</si>
  <si>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</si>
  <si>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</si>
  <si>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</si>
  <si>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</si>
  <si>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</si>
  <si>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</si>
  <si>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</si>
  <si>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</si>
  <si>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</si>
  <si>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</si>
  <si>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</si>
  <si>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</si>
  <si>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</si>
  <si>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</si>
  <si>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</si>
  <si>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</si>
  <si>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</si>
  <si>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</si>
  <si>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</si>
  <si>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</si>
  <si>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</si>
  <si>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</si>
  <si>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</si>
  <si>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</si>
  <si>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</si>
  <si>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</si>
  <si>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</si>
  <si>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</si>
  <si>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</si>
  <si>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</si>
  <si>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</si>
  <si>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</si>
  <si>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</si>
  <si>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</si>
  <si>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</si>
  <si>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</si>
  <si>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</si>
  <si>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</si>
  <si>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</si>
  <si>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</si>
  <si>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</si>
  <si>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</si>
  <si>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</si>
  <si>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</si>
  <si>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</si>
  <si>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</si>
  <si>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</si>
  <si>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</si>
  <si>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</si>
  <si>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</si>
  <si>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</si>
  <si>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</si>
  <si>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</si>
  <si>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</si>
  <si>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</si>
  <si>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</si>
  <si>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</si>
  <si>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</si>
  <si>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</si>
  <si>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</si>
  <si>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</si>
  <si>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</si>
  <si>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</si>
  <si>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</si>
  <si>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</si>
  <si>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</si>
  <si>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</si>
  <si>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</si>
  <si>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</si>
  <si>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</si>
  <si>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</si>
  <si>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</si>
  <si>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</si>
  <si>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</si>
  <si>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</si>
  <si>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</si>
  <si>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</si>
  <si>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</si>
  <si>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</si>
  <si>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</si>
  <si>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</si>
  <si>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</si>
  <si>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</si>
  <si>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</si>
  <si>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</si>
  <si>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</si>
  <si>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</si>
  <si>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</si>
  <si>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</si>
  <si>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</si>
  <si>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</si>
  <si>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</si>
  <si>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</si>
  <si>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</si>
  <si>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</si>
  <si>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</si>
  <si>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</si>
  <si>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</si>
  <si>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</si>
  <si>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</si>
  <si>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</si>
  <si>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</si>
  <si>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</si>
  <si>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</si>
  <si>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</si>
  <si>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</si>
  <si>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</si>
  <si>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</si>
  <si>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</si>
  <si>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</si>
  <si>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</si>
  <si>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</si>
  <si>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</si>
  <si>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</si>
  <si>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</si>
  <si>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</si>
  <si>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</si>
  <si>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</si>
  <si>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</si>
  <si>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</si>
  <si>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</si>
  <si>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</si>
  <si>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</si>
  <si>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</si>
  <si>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</si>
  <si>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</si>
  <si>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</si>
  <si>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</si>
  <si>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</si>
  <si>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</si>
  <si>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</si>
  <si>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</si>
  <si>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</si>
  <si>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</si>
  <si>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</si>
  <si>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</si>
  <si>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</si>
  <si>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</si>
  <si>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</si>
  <si>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</si>
  <si>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</si>
  <si>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</si>
  <si>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</si>
  <si>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</si>
  <si>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</si>
  <si>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</si>
  <si>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</si>
  <si>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</si>
  <si>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</si>
  <si>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</si>
  <si>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</si>
  <si>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</si>
  <si>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</si>
  <si>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</si>
  <si>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</si>
  <si>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</si>
  <si>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</si>
  <si>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</si>
  <si>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</si>
  <si>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</si>
  <si>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</si>
  <si>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</si>
  <si>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</si>
  <si>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</si>
  <si>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</si>
  <si>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</si>
  <si>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</si>
  <si>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</si>
  <si>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</si>
  <si>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</si>
  <si>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</si>
  <si>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</si>
  <si>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</si>
  <si>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</si>
  <si>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</si>
  <si>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</si>
  <si>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</si>
  <si>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</si>
  <si>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</si>
  <si>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</si>
  <si>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</si>
  <si>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</si>
  <si>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</si>
  <si>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</si>
  <si>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</si>
  <si>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</si>
  <si>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</si>
  <si>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</si>
  <si>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</si>
  <si>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</si>
  <si>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</si>
  <si>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</si>
  <si>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</si>
  <si>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</si>
  <si>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</si>
  <si>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</si>
  <si>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</si>
  <si>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</si>
  <si>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</si>
  <si>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</si>
  <si>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</si>
  <si>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</si>
  <si>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</si>
  <si>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</si>
  <si>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</si>
  <si>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</si>
  <si>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</si>
  <si>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</si>
  <si>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</si>
  <si>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</si>
  <si>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</si>
  <si>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</si>
  <si>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</si>
  <si>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</si>
  <si>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</si>
  <si>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</si>
  <si>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</si>
  <si>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</si>
  <si>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</si>
  <si>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</si>
  <si>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</si>
  <si>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</si>
  <si>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</si>
  <si>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</si>
  <si>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</si>
  <si>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</si>
  <si>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</si>
  <si>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</si>
  <si>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</si>
  <si>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</si>
  <si>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</si>
  <si>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</si>
  <si>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</si>
  <si>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</si>
  <si>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</si>
  <si>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</si>
  <si>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</si>
  <si>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</si>
  <si>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</si>
  <si>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</si>
  <si>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</si>
  <si>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</si>
  <si>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</si>
  <si>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</si>
  <si>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</si>
  <si>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</si>
  <si>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</si>
  <si>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</si>
  <si>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</si>
  <si>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</si>
  <si>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</si>
  <si>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</si>
  <si>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</si>
  <si>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</si>
  <si>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</si>
  <si>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</si>
  <si>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</si>
  <si>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</si>
  <si>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</si>
  <si>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</si>
  <si>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</si>
  <si>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</si>
  <si>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</si>
  <si>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</si>
  <si>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</si>
  <si>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</si>
  <si>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</si>
  <si>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</si>
  <si>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</si>
  <si>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</si>
  <si>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</si>
  <si>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</si>
  <si>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</si>
  <si>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</si>
  <si>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</si>
  <si>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</si>
  <si>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</si>
  <si>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</si>
  <si>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</si>
  <si>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</si>
  <si>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</si>
  <si>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</si>
  <si>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</si>
  <si>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</si>
  <si>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</si>
  <si>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</si>
  <si>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</si>
  <si>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</si>
  <si>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</si>
  <si>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</si>
  <si>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</si>
  <si>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</si>
  <si>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</si>
  <si>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</si>
  <si>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</si>
  <si>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</si>
  <si>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</si>
  <si>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</si>
  <si>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</si>
  <si>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</si>
  <si>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</si>
  <si>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</si>
  <si>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</si>
  <si>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</si>
  <si>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</si>
  <si>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</si>
  <si>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</si>
  <si>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</si>
  <si>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</si>
  <si>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</si>
  <si>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</si>
  <si>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</si>
  <si>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</si>
  <si>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</si>
  <si>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</si>
  <si>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</si>
  <si>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</si>
  <si>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</si>
  <si>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</si>
  <si>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</si>
  <si>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</si>
  <si>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</si>
  <si>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</si>
  <si>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</si>
  <si>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</si>
  <si>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</si>
  <si>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</si>
  <si>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</si>
  <si>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</si>
  <si>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</si>
  <si>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</si>
  <si>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</si>
  <si>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</si>
  <si>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</si>
  <si>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</si>
  <si>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</si>
  <si>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</si>
  <si>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</si>
  <si>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</si>
  <si>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</si>
  <si>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</si>
  <si>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</si>
  <si>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</si>
  <si>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</si>
  <si>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</si>
  <si>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</si>
  <si>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</si>
  <si>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</si>
  <si>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</si>
  <si>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</si>
  <si>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</si>
  <si>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</si>
  <si>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</si>
  <si>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</si>
  <si>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</si>
  <si>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</si>
  <si>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</si>
  <si>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</si>
  <si>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</si>
  <si>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</si>
  <si>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</si>
  <si>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</si>
  <si>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</si>
  <si>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</si>
  <si>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</si>
  <si>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</si>
  <si>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</si>
  <si>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</si>
  <si>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</si>
  <si>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</si>
  <si>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</si>
  <si>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</si>
  <si>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</si>
  <si>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</si>
  <si>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</si>
  <si>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</si>
  <si>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</si>
  <si>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</si>
  <si>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</si>
  <si>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</si>
  <si>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</si>
  <si>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</si>
  <si>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</si>
  <si>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</si>
  <si>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</si>
  <si>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</si>
  <si>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</si>
  <si>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</si>
  <si>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</si>
  <si>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</si>
  <si>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</si>
  <si>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</si>
  <si>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</si>
  <si>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</si>
  <si>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</si>
  <si>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</si>
  <si>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</si>
  <si>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</si>
  <si>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</si>
  <si>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</si>
  <si>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</si>
  <si>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</si>
  <si>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</si>
  <si>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</si>
  <si>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</si>
  <si>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</si>
  <si>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</si>
  <si>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</si>
  <si>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</si>
  <si>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</si>
  <si>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</si>
  <si>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</si>
  <si>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</si>
  <si>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</si>
  <si>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</si>
  <si>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</si>
  <si>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</si>
  <si>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</si>
  <si>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</si>
  <si>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</si>
  <si>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</si>
  <si>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</si>
  <si>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</si>
  <si>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</si>
  <si>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</si>
  <si>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</si>
  <si>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</si>
  <si>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</si>
  <si>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</si>
  <si>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</si>
  <si>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</si>
  <si>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</si>
  <si>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</si>
  <si>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</si>
  <si>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</si>
  <si>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</si>
  <si>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</si>
  <si>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</si>
  <si>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</si>
  <si>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</si>
  <si>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</si>
  <si>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</si>
  <si>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</si>
  <si>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</si>
  <si>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</si>
  <si>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</si>
  <si>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</si>
  <si>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</si>
  <si>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</si>
  <si>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</si>
  <si>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</si>
  <si>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</si>
  <si>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</si>
  <si>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</si>
  <si>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</si>
  <si>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</si>
  <si>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</si>
  <si>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</si>
  <si>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</si>
  <si>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</si>
  <si>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</si>
  <si>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</si>
  <si>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</si>
  <si>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</si>
  <si>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</si>
  <si>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</si>
  <si>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</si>
  <si>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</si>
  <si>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</si>
  <si>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</si>
  <si>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</si>
  <si>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</si>
  <si>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</si>
  <si>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</si>
  <si>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</si>
  <si>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</si>
  <si>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</si>
  <si>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</si>
  <si>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</si>
  <si>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</si>
  <si>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</si>
  <si>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</si>
  <si>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</si>
  <si>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</si>
  <si>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</si>
  <si>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</si>
  <si>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</si>
  <si>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</si>
  <si>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</si>
  <si>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</si>
  <si>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</si>
  <si>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</si>
  <si>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</si>
  <si>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</si>
  <si>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</si>
  <si>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</si>
  <si>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</si>
  <si>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</si>
  <si>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</si>
  <si>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</si>
  <si>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</si>
  <si>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</si>
  <si>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</si>
  <si>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</si>
  <si>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</si>
  <si>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</si>
  <si>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</si>
  <si>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</si>
  <si>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</si>
  <si>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</si>
  <si>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</si>
  <si>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</si>
  <si>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</si>
  <si>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</si>
  <si>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</si>
  <si>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</si>
  <si>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</si>
  <si>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</si>
  <si>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</si>
  <si>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</si>
  <si>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</si>
  <si>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</si>
  <si>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</si>
  <si>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</si>
  <si>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</si>
  <si>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</si>
  <si>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</si>
  <si>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</si>
  <si>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</si>
  <si>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</si>
  <si>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</si>
  <si>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</si>
  <si>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</si>
  <si>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</si>
  <si>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</si>
  <si>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</si>
  <si>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</si>
  <si>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</si>
  <si>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</si>
  <si>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</si>
  <si>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</si>
  <si>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</si>
  <si>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</si>
  <si>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</si>
  <si>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</si>
  <si>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</si>
  <si>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</si>
  <si>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</si>
  <si>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</si>
  <si>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</si>
  <si>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</si>
  <si>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</si>
  <si>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</si>
  <si>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</si>
  <si>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</si>
  <si>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</si>
  <si>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</si>
  <si>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</si>
  <si>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</si>
  <si>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</si>
  <si>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</si>
  <si>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</si>
  <si>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</si>
  <si>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</si>
  <si>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</si>
  <si>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</si>
  <si>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</si>
  <si>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</si>
  <si>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</si>
  <si>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</si>
  <si>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</si>
  <si>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</si>
  <si>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</si>
  <si>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</si>
  <si>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</si>
  <si>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</si>
  <si>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</si>
  <si>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</si>
  <si>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</si>
  <si>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</si>
  <si>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</si>
  <si>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</si>
  <si>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</si>
  <si>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</si>
  <si>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</si>
  <si>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</si>
  <si>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</si>
  <si>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</si>
  <si>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</si>
  <si>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</si>
  <si>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</si>
  <si>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</si>
  <si>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</si>
  <si>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</si>
  <si>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</si>
  <si>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</si>
  <si>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</si>
  <si>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</si>
  <si>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</si>
  <si>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</si>
  <si>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</si>
  <si>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</si>
  <si>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</si>
  <si>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</si>
  <si>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</si>
  <si>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</si>
  <si>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</si>
  <si>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</si>
  <si>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</si>
  <si>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</si>
  <si>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</si>
  <si>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</si>
  <si>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</si>
  <si>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</si>
  <si>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</si>
  <si>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</si>
  <si>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</si>
  <si>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</si>
  <si>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</si>
  <si>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</si>
  <si>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</si>
  <si>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</si>
  <si>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</si>
  <si>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</si>
  <si>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</si>
  <si>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</si>
  <si>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</si>
  <si>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</si>
  <si>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</si>
  <si>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</si>
  <si>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</si>
  <si>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</si>
  <si>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</si>
  <si>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</si>
  <si>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</si>
  <si>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</si>
  <si>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</si>
  <si>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</si>
  <si>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</si>
  <si>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</si>
  <si>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</si>
  <si>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</si>
  <si>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</si>
  <si>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</si>
  <si>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</si>
  <si>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</si>
  <si>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</si>
  <si>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</si>
  <si>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</si>
  <si>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</si>
  <si>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</si>
  <si>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</si>
  <si>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</si>
  <si>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</si>
  <si>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</si>
  <si>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</si>
  <si>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</si>
  <si>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</si>
  <si>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</si>
  <si>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</si>
  <si>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</si>
  <si>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</si>
  <si>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</si>
  <si>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</si>
  <si>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</si>
  <si>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</si>
  <si>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</si>
  <si>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</si>
  <si>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</si>
  <si>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</si>
  <si>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</si>
  <si>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</si>
  <si>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</si>
  <si>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</si>
  <si>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</si>
  <si>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</si>
  <si>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</si>
  <si>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</si>
  <si>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</si>
  <si>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</si>
  <si>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</si>
  <si>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</si>
  <si>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</si>
  <si>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</si>
  <si>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</si>
  <si>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</si>
  <si>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</si>
  <si>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</si>
  <si>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</si>
  <si>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</si>
  <si>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</si>
  <si>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</si>
  <si>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</si>
  <si>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</si>
  <si>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</si>
  <si>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</si>
  <si>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</si>
  <si>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</si>
  <si>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</si>
  <si>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</si>
  <si>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</si>
  <si>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</si>
  <si>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</si>
  <si>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</si>
  <si>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</si>
  <si>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</si>
  <si>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</si>
  <si>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</si>
  <si>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</si>
  <si>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</si>
  <si>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</si>
  <si>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</si>
  <si>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</si>
  <si>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</si>
  <si>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</si>
  <si>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</si>
  <si>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</si>
  <si>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</si>
  <si>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</si>
  <si>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</si>
  <si>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</si>
  <si>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</si>
  <si>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</si>
  <si>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</si>
  <si>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</si>
  <si>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</si>
  <si>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</si>
  <si>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</si>
  <si>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</si>
  <si>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</si>
  <si>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</si>
  <si>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</si>
  <si>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</si>
  <si>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</si>
  <si>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</si>
  <si>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</si>
  <si>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</si>
  <si>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</si>
  <si>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</si>
  <si>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</si>
  <si>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</si>
  <si>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</si>
  <si>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</si>
  <si>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</si>
  <si>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</si>
  <si>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</si>
  <si>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</si>
  <si>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</si>
  <si>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</si>
  <si>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</si>
  <si>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</si>
  <si>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</si>
  <si>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</si>
  <si>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</si>
  <si>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</si>
  <si>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</si>
  <si>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</si>
  <si>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</si>
  <si>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</si>
  <si>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</si>
  <si>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</si>
  <si>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</si>
  <si>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</si>
  <si>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</si>
  <si>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</si>
  <si>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</si>
  <si>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</si>
  <si>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</si>
  <si>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</si>
  <si>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</si>
  <si>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</si>
  <si>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</si>
  <si>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</si>
  <si>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</si>
  <si>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</si>
  <si>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</si>
  <si>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</si>
  <si>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</si>
  <si>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</si>
  <si>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</si>
  <si>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</si>
  <si>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</si>
  <si>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</si>
  <si>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</si>
  <si>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</si>
  <si>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</si>
  <si>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</si>
  <si>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</si>
  <si>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</si>
  <si>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</si>
  <si>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</si>
  <si>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</si>
  <si>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</si>
  <si>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</si>
  <si>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</si>
  <si>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</si>
  <si>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</si>
  <si>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</si>
  <si>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</si>
  <si>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</si>
  <si>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</si>
  <si>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</si>
  <si>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</si>
  <si>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</si>
  <si>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</si>
  <si>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</si>
  <si>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</si>
  <si>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</si>
  <si>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</si>
  <si>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</si>
  <si>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</si>
  <si>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</si>
  <si>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</si>
  <si>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</si>
  <si>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</si>
  <si>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</si>
  <si>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</si>
  <si>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</si>
  <si>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</si>
  <si>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</si>
  <si>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</si>
  <si>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</si>
  <si>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</si>
  <si>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</si>
  <si>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</si>
  <si>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</si>
  <si>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</si>
  <si>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</si>
  <si>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</si>
  <si>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</si>
  <si>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</si>
  <si>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</si>
  <si>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</si>
  <si>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</si>
  <si>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</si>
  <si>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</si>
  <si>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</si>
  <si>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</si>
  <si>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</si>
  <si>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</si>
  <si>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</si>
  <si>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</si>
  <si>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</si>
  <si>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</si>
  <si>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</si>
  <si>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</si>
  <si>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</si>
  <si>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</si>
  <si>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</si>
  <si>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</si>
  <si>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</si>
  <si>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</si>
  <si>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</si>
  <si>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</si>
  <si>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</si>
  <si>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</si>
  <si>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</si>
  <si>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</si>
  <si>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</si>
  <si>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</si>
  <si>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</si>
  <si>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</si>
  <si>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</si>
  <si>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</si>
  <si>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</si>
  <si>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</si>
  <si>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</si>
  <si>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</si>
  <si>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</si>
  <si>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</si>
  <si>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</si>
  <si>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</si>
  <si>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</si>
  <si>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</si>
  <si>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</si>
  <si>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</si>
  <si>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</si>
  <si>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</si>
  <si>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</si>
  <si>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</si>
  <si>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</si>
  <si>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</si>
  <si>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</si>
  <si>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</si>
  <si>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</si>
  <si>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</si>
  <si>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</si>
  <si>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</si>
  <si>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</si>
  <si>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</si>
  <si>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</si>
  <si>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</si>
  <si>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</si>
  <si>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</si>
  <si>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</si>
  <si>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</si>
  <si>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</si>
  <si>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</si>
  <si>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</si>
  <si>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</si>
  <si>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</si>
  <si>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</si>
  <si>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</si>
  <si>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</si>
  <si>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</si>
  <si>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</si>
  <si>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</si>
  <si>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</si>
  <si>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</si>
  <si>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</si>
  <si>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</si>
  <si>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</si>
  <si>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</si>
  <si>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</si>
  <si>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</si>
  <si>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</si>
  <si>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</si>
  <si>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</si>
  <si>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</si>
  <si>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</si>
  <si>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</si>
  <si>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</si>
  <si>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</si>
  <si>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</si>
  <si>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</si>
  <si>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</si>
  <si>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</si>
  <si>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</si>
  <si>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</si>
  <si>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</si>
  <si>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</si>
  <si>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</si>
  <si>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</si>
  <si>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</si>
  <si>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</si>
  <si>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</si>
  <si>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</si>
  <si>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</si>
  <si>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</si>
  <si>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</si>
  <si>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</si>
  <si>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</si>
  <si>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</si>
  <si>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</si>
  <si>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</si>
  <si>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</si>
  <si>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</si>
  <si>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</si>
  <si>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</si>
  <si>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</si>
  <si>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</si>
  <si>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</si>
  <si>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</si>
  <si>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</si>
  <si>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</si>
  <si>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</si>
  <si>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</si>
  <si>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</si>
  <si>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</si>
  <si>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</si>
  <si>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</si>
  <si>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</si>
  <si>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</si>
  <si>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</si>
  <si>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</si>
  <si>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</si>
  <si>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</si>
  <si>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</si>
  <si>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</si>
  <si>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</si>
  <si>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</si>
  <si>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</si>
  <si>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</si>
  <si>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</si>
  <si>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</si>
  <si>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</si>
  <si>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</si>
  <si>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</si>
  <si>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</si>
  <si>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</si>
  <si>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</si>
  <si>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</si>
  <si>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</si>
  <si>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</si>
  <si>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</si>
  <si>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</si>
  <si>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</si>
  <si>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</si>
  <si>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</si>
  <si>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</si>
  <si>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</si>
  <si>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</si>
  <si>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</si>
  <si>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</si>
  <si>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</si>
  <si>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</si>
  <si>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</si>
  <si>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</si>
  <si>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</si>
  <si>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</si>
  <si>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</si>
  <si>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</si>
  <si>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</si>
  <si>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</si>
  <si>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</si>
  <si>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</si>
  <si>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</si>
  <si>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</si>
  <si>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</si>
  <si>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</si>
  <si>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</si>
  <si>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</si>
  <si>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</si>
  <si>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</si>
  <si>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</si>
  <si>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</si>
  <si>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</si>
  <si>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</si>
  <si>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</si>
  <si>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</si>
  <si>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</si>
  <si>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</si>
  <si>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</si>
  <si>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</si>
  <si>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</si>
  <si>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</si>
  <si>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</si>
  <si>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</si>
  <si>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</si>
  <si>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</si>
  <si>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</si>
  <si>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</si>
  <si>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</si>
  <si>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</si>
  <si>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</si>
  <si>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</si>
  <si>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</si>
  <si>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</si>
  <si>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</si>
  <si>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</si>
  <si>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</si>
  <si>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</si>
  <si>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</si>
  <si>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</si>
  <si>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</si>
  <si>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</si>
  <si>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</si>
  <si>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</si>
  <si>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</si>
  <si>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</si>
  <si>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</si>
  <si>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</si>
  <si>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</si>
  <si>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</si>
  <si>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</si>
  <si>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</si>
  <si>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</si>
  <si>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</si>
  <si>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</si>
  <si>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</si>
  <si>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</si>
  <si>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</si>
  <si>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</si>
  <si>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</si>
  <si>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</si>
  <si>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</si>
  <si>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</si>
  <si>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</si>
  <si>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</si>
  <si>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</si>
  <si>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</si>
  <si>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</si>
  <si>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</si>
  <si>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</si>
  <si>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</si>
  <si>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</si>
  <si>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</si>
  <si>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</si>
  <si>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</si>
  <si>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</si>
  <si>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</si>
  <si>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</si>
  <si>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</si>
  <si>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</si>
  <si>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</si>
  <si>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</si>
  <si>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</si>
  <si>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</si>
  <si>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</si>
  <si>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</si>
  <si>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</si>
  <si>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</si>
  <si>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</si>
  <si>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</si>
  <si>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</si>
  <si>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</si>
  <si>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</si>
  <si>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</si>
  <si>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</si>
  <si>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</si>
  <si>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</si>
  <si>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</si>
  <si>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</si>
  <si>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</si>
  <si>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</si>
  <si>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</si>
  <si>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</si>
  <si>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</si>
  <si>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</si>
  <si>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</si>
  <si>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</si>
  <si>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</si>
  <si>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</si>
  <si>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</si>
  <si>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</si>
  <si>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</si>
  <si>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</si>
  <si>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</si>
  <si>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</si>
  <si>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</si>
  <si>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</si>
  <si>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</si>
  <si>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</si>
  <si>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</si>
  <si>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</si>
  <si>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</si>
  <si>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</si>
  <si>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</si>
  <si>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</si>
  <si>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</si>
  <si>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</si>
  <si>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</si>
  <si>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</si>
  <si>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</si>
  <si>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</si>
  <si>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</si>
  <si>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</si>
  <si>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</si>
  <si>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</si>
  <si>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</si>
  <si>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</si>
  <si>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</si>
  <si>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</si>
  <si>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</si>
  <si>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</si>
  <si>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</si>
  <si>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</si>
  <si>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</si>
  <si>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</si>
  <si>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</si>
  <si>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</si>
  <si>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</si>
  <si>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</si>
  <si>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</si>
  <si>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</si>
  <si>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</si>
  <si>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</si>
  <si>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</si>
  <si>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</si>
  <si>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</si>
  <si>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</si>
  <si>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</si>
  <si>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</si>
  <si>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</si>
  <si>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</si>
  <si>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</si>
  <si>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</si>
  <si>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</si>
  <si>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</si>
  <si>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</si>
  <si>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</si>
  <si>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</si>
  <si>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</si>
  <si>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</si>
  <si>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</si>
  <si>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</si>
  <si>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</si>
  <si>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</si>
  <si>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</si>
  <si>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</si>
  <si>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</si>
  <si>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</si>
  <si>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</si>
  <si>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</si>
  <si>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</si>
  <si>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</si>
  <si>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</si>
  <si>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</si>
  <si>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</si>
  <si>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</si>
  <si>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</si>
  <si>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</si>
  <si>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</si>
  <si>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</si>
  <si>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</si>
  <si>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</si>
  <si>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</si>
  <si>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</si>
  <si>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</si>
  <si>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</si>
  <si>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</si>
  <si>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</si>
  <si>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</si>
  <si>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</si>
  <si>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</si>
  <si>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</si>
  <si>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</si>
  <si>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</si>
  <si>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</si>
  <si>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</si>
  <si>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</si>
  <si>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</si>
  <si>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</si>
  <si>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</si>
  <si>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</si>
  <si>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</si>
  <si>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</si>
  <si>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</si>
  <si>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</si>
  <si>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</si>
  <si>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</si>
  <si>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</si>
  <si>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</si>
  <si>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</si>
  <si>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</si>
  <si>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</si>
  <si>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</si>
  <si>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</si>
  <si>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</si>
  <si>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</si>
  <si>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</si>
  <si>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</si>
  <si>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</si>
  <si>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</si>
  <si>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</si>
  <si>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</si>
  <si>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</si>
  <si>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</si>
  <si>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</si>
  <si>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</si>
  <si>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</si>
  <si>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</si>
  <si>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</si>
  <si>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</si>
  <si>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</si>
  <si>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</si>
  <si>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</si>
  <si>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</si>
  <si>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</si>
  <si>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</si>
  <si>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</si>
  <si>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</si>
  <si>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</si>
  <si>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</si>
  <si>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</si>
  <si>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</si>
  <si>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</si>
  <si>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</si>
  <si>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</si>
  <si>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</si>
  <si>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</si>
  <si>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</si>
  <si>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</si>
  <si>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</si>
  <si>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</si>
  <si>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</si>
  <si>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</si>
  <si>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</si>
  <si>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</si>
  <si>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</si>
  <si>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</si>
  <si>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</si>
  <si>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</si>
  <si>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</si>
  <si>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</si>
  <si>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</si>
  <si>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</si>
  <si>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</si>
  <si>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</si>
  <si>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</si>
  <si>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</si>
  <si>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</si>
  <si>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</si>
  <si>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</si>
  <si>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</si>
  <si>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</si>
  <si>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</si>
  <si>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</si>
  <si>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</si>
  <si>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</si>
  <si>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</si>
  <si>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</si>
  <si>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</si>
  <si>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</si>
  <si>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</si>
  <si>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</si>
  <si>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</si>
  <si>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</si>
  <si>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</si>
  <si>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</si>
  <si>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</si>
  <si>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</si>
  <si>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</si>
  <si>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</si>
  <si>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</si>
  <si>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</si>
  <si>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</si>
  <si>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</si>
  <si>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</si>
  <si>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</si>
  <si>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</si>
  <si>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</si>
  <si>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</si>
  <si>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</si>
  <si>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</si>
  <si>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</si>
  <si>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</si>
  <si>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</si>
  <si>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</si>
  <si>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</si>
  <si>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</si>
  <si>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</si>
  <si>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</si>
  <si>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</si>
  <si>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</si>
  <si>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</si>
  <si>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</si>
  <si>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</si>
  <si>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</si>
  <si>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</si>
  <si>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</si>
  <si>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</si>
  <si>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</si>
  <si>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</si>
  <si>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</si>
  <si>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</si>
  <si>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</si>
  <si>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</si>
  <si>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</si>
  <si>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</si>
  <si>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</si>
  <si>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</si>
  <si>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</si>
  <si>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</si>
  <si>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</si>
  <si>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</si>
  <si>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</si>
  <si>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</si>
  <si>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</si>
  <si>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</si>
  <si>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</si>
  <si>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</si>
  <si>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</si>
  <si>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</si>
  <si>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</si>
  <si>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</si>
  <si>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</si>
  <si>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</si>
  <si>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</si>
  <si>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</si>
  <si>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</si>
  <si>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</si>
  <si>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</si>
  <si>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</si>
  <si>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</si>
  <si>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</si>
  <si>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</si>
  <si>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</si>
  <si>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</si>
  <si>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</si>
  <si>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</si>
  <si>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</si>
  <si>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</si>
  <si>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</si>
  <si>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</si>
  <si>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</si>
  <si>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</si>
  <si>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</si>
  <si>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</si>
  <si>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</si>
  <si>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</si>
  <si>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</si>
  <si>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</si>
  <si>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</si>
  <si>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</si>
  <si>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</si>
  <si>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</si>
  <si>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</si>
  <si>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</si>
  <si>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</si>
  <si>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</si>
  <si>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</si>
  <si>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</si>
  <si>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</si>
  <si>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</si>
  <si>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</si>
  <si>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</si>
  <si>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</si>
  <si>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</si>
  <si>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</si>
  <si>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</si>
  <si>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</si>
  <si>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</si>
  <si>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</si>
  <si>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</si>
  <si>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</si>
  <si>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</si>
  <si>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</si>
  <si>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</si>
  <si>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</si>
  <si>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</si>
  <si>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</si>
  <si>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</si>
  <si>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</si>
  <si>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</si>
  <si>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</si>
  <si>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</si>
  <si>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</si>
  <si>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</si>
  <si>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</si>
  <si>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</si>
  <si>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</si>
  <si>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</si>
  <si>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</si>
  <si>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</si>
  <si>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</si>
  <si>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</si>
  <si>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</si>
  <si>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</si>
  <si>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</si>
  <si>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</si>
  <si>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</si>
  <si>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</si>
  <si>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</si>
  <si>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</si>
  <si>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</si>
  <si>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</si>
  <si>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</si>
  <si>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</si>
  <si>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</si>
  <si>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</si>
  <si>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</si>
  <si>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</si>
  <si>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</si>
  <si>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</si>
  <si>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</si>
  <si>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</si>
  <si>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</si>
  <si>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</si>
  <si>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</si>
  <si>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</si>
  <si>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</si>
  <si>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</si>
  <si>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</si>
  <si>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</si>
  <si>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</si>
  <si>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</si>
  <si>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</si>
  <si>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</si>
  <si>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</si>
  <si>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</si>
  <si>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</si>
  <si>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</si>
  <si>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</si>
  <si>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</si>
  <si>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</si>
  <si>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</si>
  <si>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</si>
  <si>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</si>
  <si>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</si>
  <si>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</si>
  <si>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</si>
  <si>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</si>
  <si>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</si>
  <si>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</si>
  <si>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</si>
  <si>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</si>
  <si>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</si>
  <si>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</si>
  <si>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</si>
  <si>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</si>
  <si>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</si>
  <si>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</si>
  <si>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</si>
  <si>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</si>
  <si>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</si>
  <si>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</si>
  <si>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</si>
  <si>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</si>
  <si>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</si>
  <si>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</si>
  <si>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</si>
  <si>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</si>
  <si>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</si>
  <si>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</si>
  <si>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</si>
  <si>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</si>
  <si>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</si>
  <si>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</si>
  <si>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</si>
  <si>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</si>
  <si>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</si>
  <si>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</si>
  <si>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</si>
  <si>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</si>
  <si>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</si>
  <si>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</si>
  <si>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</si>
  <si>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</si>
  <si>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</si>
  <si>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</si>
  <si>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</si>
  <si>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</si>
  <si>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</si>
  <si>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</si>
  <si>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</si>
  <si>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</si>
  <si>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</si>
  <si>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</si>
  <si>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</si>
  <si>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</si>
  <si>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</si>
  <si>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</si>
  <si>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</si>
  <si>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</si>
  <si>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</si>
  <si>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</si>
  <si>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</si>
  <si>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</si>
  <si>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</si>
  <si>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</si>
  <si>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</si>
  <si>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</si>
  <si>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</si>
  <si>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</si>
  <si>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</si>
  <si>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</si>
  <si>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</si>
  <si>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</si>
  <si>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</si>
  <si>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</si>
  <si>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</si>
  <si>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</si>
  <si>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</si>
  <si>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</si>
  <si>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</si>
  <si>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</si>
  <si>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</si>
  <si>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</si>
  <si>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</si>
  <si>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</si>
  <si>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</si>
  <si>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</si>
  <si>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</si>
  <si>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</si>
  <si>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</si>
  <si>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</si>
  <si>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</si>
  <si>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</si>
  <si>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</si>
  <si>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</si>
  <si>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</si>
  <si>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</si>
  <si>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</si>
  <si>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</si>
  <si>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</si>
  <si>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</si>
  <si>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</si>
  <si>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</si>
  <si>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</si>
  <si>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</si>
  <si>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</si>
  <si>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</si>
  <si>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</si>
  <si>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</si>
  <si>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</si>
  <si>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</si>
  <si>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</si>
  <si>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</si>
  <si>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</si>
  <si>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</si>
  <si>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</si>
  <si>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</si>
  <si>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</si>
  <si>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</si>
  <si>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</si>
  <si>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</si>
  <si>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</si>
  <si>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</si>
  <si>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</si>
  <si>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</si>
  <si>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</si>
  <si>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</si>
  <si>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</si>
  <si>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</si>
  <si>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</si>
  <si>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</si>
  <si>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</si>
  <si>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</si>
  <si>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</si>
  <si>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</si>
  <si>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</si>
  <si>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</si>
  <si>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</si>
  <si>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</si>
  <si>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</si>
  <si>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</si>
  <si>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</si>
  <si>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</si>
  <si>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</si>
  <si>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</si>
  <si>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</si>
  <si>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</si>
  <si>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</si>
  <si>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</si>
  <si>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</si>
  <si>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</si>
  <si>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</si>
  <si>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</si>
  <si>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</si>
  <si>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</si>
  <si>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</si>
  <si>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</si>
  <si>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</si>
  <si>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</si>
  <si>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</si>
  <si>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</si>
  <si>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</si>
  <si>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</si>
  <si>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</si>
  <si>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</si>
  <si>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</si>
  <si>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</si>
  <si>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</si>
  <si>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</si>
  <si>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</si>
  <si>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</si>
  <si>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</si>
  <si>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</si>
  <si>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</si>
  <si>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</si>
  <si>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</si>
  <si>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</si>
  <si>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</si>
  <si>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</si>
  <si>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</si>
  <si>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</si>
  <si>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</si>
  <si>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</si>
  <si>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</si>
  <si>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</si>
  <si>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</si>
  <si>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</si>
  <si>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</si>
  <si>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</si>
  <si>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</si>
  <si>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</si>
  <si>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</si>
  <si>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</si>
  <si>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</si>
  <si>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</si>
  <si>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</si>
  <si>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</si>
  <si>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</si>
  <si>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</si>
  <si>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</si>
  <si>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</si>
  <si>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</si>
  <si>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</si>
  <si>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</si>
  <si>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</si>
  <si>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</si>
  <si>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</si>
  <si>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</si>
  <si>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</si>
  <si>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</si>
  <si>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</si>
  <si>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</si>
  <si>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</si>
  <si>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</si>
  <si>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</si>
  <si>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</si>
  <si>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</si>
  <si>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</si>
  <si>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</si>
  <si>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</si>
  <si>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</si>
  <si>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</si>
  <si>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</si>
  <si>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</si>
  <si>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</si>
  <si>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</si>
  <si>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</si>
  <si>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</si>
  <si>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</si>
  <si>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</si>
  <si>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</si>
  <si>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</si>
  <si>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</si>
  <si>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</si>
  <si>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</si>
  <si>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</si>
  <si>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</si>
  <si>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</si>
  <si>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</si>
  <si>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</si>
  <si>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</si>
  <si>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</si>
  <si>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</si>
  <si>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</si>
  <si>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</si>
  <si>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</si>
  <si>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</si>
  <si>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</si>
  <si>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</si>
  <si>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</si>
  <si>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</si>
  <si>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</si>
  <si>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</si>
  <si>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</si>
  <si>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</si>
  <si>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</si>
  <si>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</si>
  <si>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</si>
  <si>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</si>
  <si>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</si>
  <si>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</si>
  <si>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</si>
  <si>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</si>
  <si>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</si>
  <si>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</si>
  <si>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</si>
  <si>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</si>
  <si>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</si>
  <si>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</si>
  <si>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</si>
  <si>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</si>
  <si>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</si>
  <si>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</si>
  <si>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</si>
  <si>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</si>
  <si>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</si>
  <si>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</si>
  <si>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</si>
  <si>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</si>
  <si>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</si>
  <si>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</si>
  <si>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</si>
  <si>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</si>
  <si>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</si>
  <si>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</si>
  <si>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</si>
  <si>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</si>
  <si>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</si>
  <si>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</si>
  <si>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</si>
  <si>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</si>
  <si>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</si>
  <si>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</si>
  <si>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</si>
  <si>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</si>
  <si>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</si>
  <si>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</si>
  <si>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</si>
  <si>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</si>
  <si>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</si>
  <si>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</si>
  <si>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</si>
  <si>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</si>
  <si>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</si>
  <si>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</si>
  <si>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</si>
  <si>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</si>
  <si>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</si>
  <si>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</si>
  <si>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</si>
  <si>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</si>
  <si>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</si>
  <si>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</si>
  <si>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</si>
  <si>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</si>
  <si>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</si>
  <si>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</si>
  <si>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</si>
  <si>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</si>
  <si>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</si>
  <si>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</si>
  <si>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</si>
  <si>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</si>
  <si>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</si>
  <si>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</si>
  <si>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</si>
  <si>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</si>
  <si>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</si>
  <si>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</si>
  <si>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</si>
  <si>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</si>
  <si>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</si>
  <si>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</si>
  <si>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</si>
  <si>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</si>
  <si>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</si>
  <si>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</si>
  <si>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</si>
  <si>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</si>
  <si>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</si>
  <si>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</si>
  <si>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</si>
  <si>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</si>
  <si>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</si>
  <si>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</si>
  <si>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</si>
  <si>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</si>
  <si>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</si>
  <si>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</si>
  <si>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</si>
  <si>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</si>
  <si>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</si>
  <si>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</si>
  <si>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</si>
  <si>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</si>
  <si>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</si>
  <si>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</si>
  <si>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</si>
  <si>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</si>
  <si>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</si>
  <si>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</si>
  <si>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</si>
  <si>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</si>
  <si>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</si>
  <si>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</si>
  <si>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</si>
  <si>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</si>
  <si>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</si>
  <si>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</si>
  <si>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</si>
  <si>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</si>
  <si>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</si>
  <si>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</si>
  <si>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</si>
  <si>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</si>
  <si>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</si>
  <si>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</si>
  <si>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</si>
  <si>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</si>
  <si>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</si>
  <si>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</si>
  <si>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</si>
  <si>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</si>
  <si>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</si>
  <si>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</si>
  <si>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</si>
  <si>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</si>
  <si>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</si>
  <si>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</si>
  <si>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</si>
  <si>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</si>
  <si>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</si>
  <si>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</si>
  <si>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</si>
  <si>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</si>
  <si>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</si>
  <si>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</si>
  <si>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</si>
  <si>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</si>
  <si>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</si>
  <si>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</si>
  <si>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</si>
  <si>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</si>
  <si>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</si>
  <si>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</si>
  <si>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</si>
  <si>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</si>
  <si>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</si>
  <si>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</si>
  <si>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</si>
  <si>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</si>
  <si>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</si>
  <si>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</si>
  <si>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</si>
  <si>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</si>
  <si>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</si>
  <si>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</si>
  <si>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</si>
  <si>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</si>
  <si>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</si>
  <si>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</si>
  <si>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</si>
  <si>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</si>
  <si>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</si>
  <si>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</si>
  <si>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</si>
  <si>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</si>
  <si>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</si>
  <si>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</si>
  <si>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</si>
  <si>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</si>
  <si>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</si>
  <si>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</si>
  <si>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</si>
  <si>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</si>
  <si>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</si>
  <si>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</si>
  <si>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</si>
  <si>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</si>
  <si>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</si>
  <si>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</si>
  <si>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</si>
  <si>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</si>
  <si>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</si>
  <si>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</si>
  <si>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</si>
  <si>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</si>
  <si>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</si>
  <si>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</si>
  <si>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</si>
  <si>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</si>
  <si>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</si>
  <si>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</si>
  <si>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</si>
  <si>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</si>
  <si>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</si>
  <si>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</si>
  <si>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</si>
  <si>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</si>
  <si>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</si>
  <si>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</si>
  <si>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</si>
  <si>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</si>
  <si>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</si>
  <si>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</si>
  <si>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</si>
  <si>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</si>
  <si>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</si>
  <si>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</si>
  <si>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</si>
  <si>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</si>
  <si>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</si>
  <si>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</si>
  <si>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</si>
  <si>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</si>
  <si>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</si>
  <si>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</si>
  <si>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</si>
  <si>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</si>
  <si>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</si>
  <si>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</si>
  <si>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</si>
  <si>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</si>
  <si>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</si>
  <si>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</si>
  <si>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</si>
  <si>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</si>
  <si>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</si>
  <si>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</si>
  <si>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</si>
  <si>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</si>
  <si>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</si>
  <si>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</si>
  <si>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</si>
  <si>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</si>
  <si>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</si>
  <si>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</si>
  <si>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</si>
  <si>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</si>
  <si>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</si>
  <si>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</si>
  <si>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</si>
  <si>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</si>
  <si>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</si>
  <si>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</si>
  <si>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</si>
  <si>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</si>
  <si>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</si>
  <si>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</si>
  <si>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</si>
  <si>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</si>
  <si>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</si>
  <si>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</si>
  <si>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</si>
  <si>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</si>
  <si>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</si>
  <si>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</si>
  <si>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</si>
  <si>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</si>
  <si>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</si>
  <si>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</si>
  <si>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</si>
  <si>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</si>
  <si>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</si>
  <si>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</si>
  <si>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</si>
  <si>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</si>
  <si>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</si>
  <si>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</si>
  <si>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</si>
  <si>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</si>
  <si>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</si>
  <si>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</si>
  <si>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</si>
  <si>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</si>
  <si>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</si>
  <si>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</si>
  <si>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</si>
  <si>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</si>
  <si>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</si>
  <si>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</si>
  <si>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</si>
  <si>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</si>
  <si>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</si>
  <si>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</si>
  <si>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</si>
  <si>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</si>
  <si>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</si>
  <si>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</si>
  <si>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</si>
  <si>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</si>
  <si>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</si>
  <si>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</si>
  <si>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</si>
  <si>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</si>
  <si>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</si>
  <si>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</si>
  <si>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</si>
  <si>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</si>
  <si>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</si>
  <si>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</si>
  <si>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</si>
  <si>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</si>
  <si>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</si>
  <si>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</si>
  <si>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</si>
  <si>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</si>
  <si>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</si>
  <si>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</si>
  <si>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</si>
  <si>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</si>
  <si>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</si>
  <si>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</si>
  <si>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</si>
  <si>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</si>
  <si>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</si>
  <si>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</si>
  <si>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</si>
  <si>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</si>
  <si>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</si>
  <si>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</si>
  <si>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</si>
  <si>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</si>
  <si>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</si>
  <si>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</si>
  <si>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</si>
  <si>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</si>
  <si>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</si>
  <si>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</si>
  <si>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</si>
  <si>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</si>
  <si>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</si>
  <si>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</si>
  <si>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</si>
  <si>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</si>
  <si>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</si>
  <si>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</si>
  <si>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</si>
  <si>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</si>
  <si>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</si>
  <si>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</si>
  <si>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</si>
  <si>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</si>
  <si>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</si>
  <si>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</si>
  <si>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</si>
  <si>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</si>
  <si>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</si>
  <si>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</si>
  <si>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</si>
  <si>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</si>
  <si>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</si>
  <si>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</si>
  <si>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</si>
  <si>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</si>
  <si>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</si>
  <si>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</si>
  <si>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</si>
  <si>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</si>
  <si>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</si>
  <si>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</si>
  <si>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</si>
  <si>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</si>
  <si>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</si>
  <si>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</si>
  <si>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</si>
  <si>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</si>
  <si>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</si>
  <si>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</si>
  <si>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</si>
  <si>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</si>
  <si>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</si>
  <si>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</si>
  <si>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</si>
  <si>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</si>
  <si>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</si>
  <si>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</si>
  <si>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</si>
  <si>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</si>
  <si>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</si>
  <si>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</si>
  <si>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</si>
  <si>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</si>
  <si>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</si>
  <si>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</si>
  <si>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</si>
  <si>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</si>
  <si>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</si>
  <si>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</si>
  <si>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</si>
  <si>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</si>
  <si>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</si>
  <si>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</si>
  <si>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</si>
  <si>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</si>
  <si>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</si>
  <si>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</si>
  <si>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</si>
  <si>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</si>
  <si>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</si>
  <si>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</si>
  <si>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</si>
  <si>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</si>
  <si>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</si>
  <si>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</si>
  <si>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</si>
  <si>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</si>
  <si>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</si>
  <si>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</si>
  <si>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</si>
  <si>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</si>
  <si>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</si>
  <si>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</si>
  <si>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</si>
  <si>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</si>
  <si>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</si>
  <si>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</si>
  <si>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</si>
  <si>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</si>
  <si>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</si>
  <si>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</si>
  <si>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</si>
  <si>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</si>
  <si>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</si>
  <si>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</si>
  <si>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</si>
  <si>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</si>
  <si>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</si>
  <si>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</si>
  <si>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</si>
  <si>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</si>
  <si>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</si>
  <si>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</si>
  <si>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</si>
  <si>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</si>
  <si>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</si>
  <si>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</si>
  <si>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</si>
  <si>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</si>
  <si>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</si>
  <si>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</si>
  <si>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</si>
  <si>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</si>
  <si>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</si>
  <si>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</si>
  <si>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</si>
  <si>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</si>
  <si>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</si>
  <si>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</si>
  <si>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</si>
  <si>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</si>
  <si>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</si>
  <si>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</si>
  <si>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</si>
  <si>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</si>
  <si>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</si>
  <si>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</si>
  <si>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</si>
  <si>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</si>
  <si>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</si>
  <si>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</si>
  <si>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</si>
  <si>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</si>
  <si>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</si>
  <si>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</si>
  <si>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</si>
  <si>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</si>
  <si>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</si>
  <si>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</si>
  <si>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</si>
  <si>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</si>
  <si>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</si>
  <si>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</si>
  <si>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</si>
  <si>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</si>
  <si>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</si>
  <si>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</si>
  <si>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</si>
  <si>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</si>
  <si>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</si>
  <si>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</si>
  <si>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</si>
  <si>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</si>
  <si>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</si>
  <si>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</si>
  <si>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</si>
  <si>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</si>
  <si>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</si>
  <si>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</si>
  <si>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</si>
  <si>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</si>
  <si>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</si>
  <si>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</si>
  <si>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</si>
  <si>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</si>
  <si>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</si>
  <si>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</si>
  <si>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</si>
  <si>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</si>
  <si>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</si>
  <si>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</si>
  <si>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</si>
  <si>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</si>
  <si>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</si>
  <si>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</si>
  <si>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</si>
  <si>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</si>
  <si>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</si>
  <si>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</si>
  <si>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</si>
  <si>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</si>
  <si>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</si>
  <si>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</si>
  <si>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</si>
  <si>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</si>
  <si>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</si>
  <si>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</si>
  <si>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</si>
  <si>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</si>
  <si>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</si>
  <si>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</si>
  <si>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</si>
  <si>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</si>
  <si>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</si>
  <si>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</si>
  <si>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</si>
  <si>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</si>
  <si>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</si>
  <si>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</si>
  <si>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</si>
  <si>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</si>
  <si>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</si>
  <si>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</si>
  <si>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</si>
  <si>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</si>
  <si>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</si>
  <si>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</si>
  <si>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</si>
  <si>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</si>
  <si>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</si>
  <si>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</si>
  <si>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</si>
  <si>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</si>
  <si>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</si>
  <si>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</si>
  <si>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</si>
  <si>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</si>
  <si>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</si>
  <si>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</si>
  <si>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</si>
  <si>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</si>
  <si>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</si>
  <si>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</si>
  <si>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</si>
  <si>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</si>
  <si>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</si>
  <si>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</si>
  <si>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</si>
  <si>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</si>
  <si>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</si>
  <si>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</si>
  <si>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</si>
  <si>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</si>
  <si>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</si>
  <si>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</si>
  <si>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</si>
  <si>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</si>
  <si>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</si>
  <si>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</si>
  <si>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</si>
  <si>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</si>
  <si>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</si>
  <si>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</si>
  <si>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</si>
  <si>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</si>
  <si>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</si>
  <si>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</si>
  <si>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</si>
  <si>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</si>
  <si>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</si>
  <si>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</si>
  <si>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</si>
  <si>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</si>
  <si>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</si>
  <si>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</si>
  <si>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</si>
  <si>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</si>
  <si>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</si>
  <si>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</si>
  <si>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</si>
  <si>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</si>
  <si>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</si>
  <si>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</si>
  <si>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</si>
  <si>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</si>
  <si>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</si>
  <si>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</si>
  <si>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</si>
  <si>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</si>
  <si>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</si>
  <si>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</si>
  <si>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</si>
  <si>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</si>
  <si>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</si>
  <si>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</si>
  <si>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</si>
  <si>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</si>
  <si>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</si>
  <si>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</si>
  <si>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</si>
  <si>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</si>
  <si>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</si>
  <si>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</si>
  <si>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</si>
  <si>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</si>
  <si>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</si>
  <si>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</si>
  <si>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</si>
  <si>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</si>
  <si>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</si>
  <si>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</si>
  <si>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</si>
  <si>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</si>
  <si>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</si>
  <si>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</si>
  <si>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</si>
  <si>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</si>
  <si>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</si>
  <si>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</si>
  <si>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</si>
  <si>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</si>
  <si>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</si>
  <si>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</si>
  <si>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</si>
  <si>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</si>
  <si>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</si>
  <si>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</si>
  <si>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</si>
  <si>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</si>
  <si>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</si>
  <si>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</si>
  <si>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</si>
  <si>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</si>
  <si>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</si>
  <si>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</si>
  <si>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</si>
  <si>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</si>
  <si>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</si>
  <si>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</si>
  <si>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</si>
  <si>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</si>
  <si>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</si>
  <si>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</si>
  <si>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</si>
  <si>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</si>
  <si>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</si>
  <si>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</si>
  <si>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</si>
  <si>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</si>
  <si>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</si>
  <si>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</si>
  <si>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</si>
  <si>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</si>
  <si>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</si>
  <si>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</si>
  <si>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</si>
  <si>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</si>
  <si>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</si>
  <si>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</si>
  <si>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</si>
  <si>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</si>
  <si>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</si>
  <si>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</si>
  <si>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</si>
  <si>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</si>
  <si>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</si>
  <si>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</si>
  <si>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</si>
  <si>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</si>
  <si>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</si>
  <si>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</si>
  <si>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</si>
  <si>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</si>
  <si>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</si>
  <si>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</si>
  <si>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</si>
  <si>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</si>
  <si>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</si>
  <si>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</si>
  <si>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</si>
  <si>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</si>
  <si>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</si>
  <si>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</si>
  <si>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</si>
  <si>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</si>
  <si>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</si>
  <si>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</si>
  <si>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</si>
  <si>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</si>
  <si>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</si>
  <si>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</si>
  <si>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</si>
  <si>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</si>
  <si>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</si>
  <si>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</si>
  <si>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</si>
  <si>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</si>
  <si>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</si>
  <si>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</si>
  <si>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</si>
  <si>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</si>
  <si>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</si>
  <si>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</si>
  <si>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</si>
  <si>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</si>
  <si>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</si>
  <si>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</si>
  <si>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</si>
  <si>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</si>
  <si>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</si>
  <si>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</si>
  <si>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</si>
  <si>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</si>
  <si>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</si>
  <si>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</si>
  <si>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</si>
  <si>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</si>
  <si>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</si>
  <si>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</si>
  <si>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</si>
  <si>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</si>
  <si>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</si>
  <si>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</si>
  <si>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</si>
  <si>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</si>
  <si>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</si>
  <si>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</si>
  <si>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</si>
  <si>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</si>
  <si>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</si>
  <si>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</si>
  <si>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</si>
  <si>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</si>
  <si>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</si>
  <si>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</si>
  <si>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</si>
  <si>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</si>
  <si>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</si>
  <si>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</si>
  <si>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</si>
  <si>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</si>
  <si>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</si>
  <si>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</si>
  <si>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</si>
  <si>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</si>
  <si>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</si>
  <si>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</si>
  <si>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</si>
  <si>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</si>
  <si>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</si>
  <si>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</si>
  <si>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</si>
  <si>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</si>
  <si>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</si>
  <si>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</si>
  <si>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</si>
  <si>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</si>
  <si>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</si>
  <si>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</si>
  <si>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</si>
  <si>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</si>
  <si>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</si>
  <si>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</si>
  <si>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</si>
  <si>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</si>
  <si>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</si>
  <si>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</si>
  <si>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</si>
  <si>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</si>
  <si>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</si>
  <si>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</si>
  <si>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</si>
  <si>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</si>
  <si>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</si>
  <si>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</si>
  <si>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</si>
  <si>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</si>
  <si>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</si>
  <si>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</si>
  <si>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</si>
  <si>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</si>
  <si>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</si>
  <si>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</si>
  <si>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</si>
  <si>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</si>
  <si>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</si>
  <si>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</si>
  <si>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</si>
  <si>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</si>
  <si>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</si>
  <si>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</si>
  <si>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</si>
  <si>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</si>
  <si>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</si>
  <si>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</si>
  <si>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</si>
  <si>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</si>
  <si>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</si>
  <si>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</si>
  <si>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</si>
  <si>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</si>
  <si>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</si>
  <si>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</si>
  <si>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</si>
  <si>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</si>
  <si>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</si>
  <si>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</si>
  <si>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</si>
  <si>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</si>
  <si>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</si>
  <si>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</si>
  <si>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</si>
  <si>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</si>
  <si>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</si>
  <si>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</si>
  <si>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</si>
  <si>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</si>
  <si>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</si>
  <si>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</si>
  <si>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</si>
  <si>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</si>
  <si>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</si>
  <si>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</si>
  <si>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</si>
  <si>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</si>
  <si>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</si>
  <si>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</si>
  <si>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</si>
  <si>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</si>
  <si>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</si>
  <si>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</si>
  <si>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</si>
  <si>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</si>
  <si>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</si>
  <si>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</si>
  <si>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</si>
  <si>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</si>
  <si>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</si>
  <si>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</si>
  <si>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</si>
  <si>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</si>
  <si>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</si>
  <si>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</si>
  <si>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</si>
  <si>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</si>
  <si>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</si>
  <si>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</si>
  <si>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</si>
  <si>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</si>
  <si>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</si>
  <si>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</si>
  <si>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</si>
  <si>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</si>
  <si>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</si>
  <si>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</si>
  <si>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</si>
  <si>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</si>
  <si>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</si>
  <si>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</si>
  <si>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</si>
  <si>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</si>
  <si>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</si>
  <si>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</si>
  <si>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</si>
  <si>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</si>
  <si>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</si>
  <si>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</si>
  <si>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</si>
  <si>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</si>
  <si>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</si>
  <si>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</si>
  <si>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</si>
  <si>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</si>
  <si>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</si>
  <si>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</si>
  <si>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</si>
  <si>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</si>
  <si>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</si>
  <si>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</si>
  <si>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</si>
  <si>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</si>
  <si>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</si>
  <si>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</si>
  <si>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</si>
  <si>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</si>
  <si>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</si>
  <si>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</si>
  <si>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</si>
  <si>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</si>
  <si>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</si>
  <si>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</si>
  <si>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</si>
  <si>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</si>
  <si>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</si>
  <si>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</si>
  <si>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</si>
  <si>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</si>
  <si>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</si>
  <si>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</si>
  <si>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</si>
  <si>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</si>
  <si>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</si>
  <si>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</si>
  <si>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</si>
  <si>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</si>
  <si>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</si>
  <si>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</si>
  <si>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</si>
  <si>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</si>
  <si>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</si>
  <si>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</si>
  <si>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</si>
  <si>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</si>
  <si>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</si>
  <si>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</si>
  <si>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</si>
  <si>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</si>
  <si>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</si>
  <si>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</si>
  <si>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</si>
  <si>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</si>
  <si>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</si>
  <si>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</si>
  <si>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</si>
  <si>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</si>
  <si>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</si>
  <si>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</si>
  <si>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</si>
  <si>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</si>
  <si>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</si>
  <si>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</si>
  <si>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</si>
  <si>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</si>
  <si>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</si>
  <si>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</si>
  <si>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</si>
  <si>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</si>
  <si>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</si>
  <si>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</si>
  <si>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</si>
  <si>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</si>
  <si>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</si>
  <si>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</si>
  <si>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</si>
  <si>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</si>
  <si>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</si>
  <si>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</si>
  <si>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</si>
  <si>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</si>
  <si>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</si>
  <si>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</si>
  <si>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</si>
  <si>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</si>
  <si>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</si>
  <si>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</si>
  <si>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</si>
  <si>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</si>
  <si>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</si>
  <si>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</si>
  <si>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</si>
  <si>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</si>
  <si>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</si>
  <si>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</si>
  <si>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</si>
  <si>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</si>
  <si>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</si>
  <si>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</si>
  <si>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</si>
  <si>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</si>
  <si>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</si>
  <si>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</si>
  <si>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</si>
  <si>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</si>
  <si>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</si>
  <si>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</si>
  <si>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</si>
  <si>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</si>
  <si>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</si>
  <si>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</si>
  <si>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</si>
  <si>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</si>
  <si>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</si>
  <si>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</si>
  <si>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</si>
  <si>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</si>
  <si>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</si>
  <si>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</si>
  <si>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</si>
  <si>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</si>
  <si>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</si>
  <si>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</si>
  <si>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</si>
  <si>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</si>
  <si>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</si>
  <si>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</si>
  <si>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</si>
  <si>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</si>
  <si>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</si>
  <si>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</si>
  <si>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</si>
  <si>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</si>
  <si>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</si>
  <si>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</si>
  <si>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</si>
  <si>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</si>
  <si>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</si>
  <si>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</si>
  <si>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</si>
  <si>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</si>
  <si>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</si>
  <si>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</si>
  <si>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</si>
  <si>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</si>
  <si>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</si>
  <si>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</si>
  <si>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</si>
  <si>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</si>
  <si>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</si>
  <si>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</si>
  <si>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</si>
  <si>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</si>
  <si>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</si>
  <si>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</si>
  <si>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</si>
  <si>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</si>
  <si>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</si>
  <si>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</si>
  <si>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</si>
  <si>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</si>
  <si>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</si>
  <si>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</si>
  <si>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</si>
  <si>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</si>
  <si>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</si>
  <si>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</si>
  <si>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</si>
  <si>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</si>
  <si>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</si>
  <si>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</si>
  <si>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</si>
  <si>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</si>
  <si>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</si>
  <si>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</si>
  <si>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</si>
  <si>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</si>
  <si>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</si>
  <si>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</si>
  <si>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</si>
  <si>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</si>
  <si>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</si>
  <si>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</si>
  <si>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</si>
  <si>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</si>
  <si>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</si>
  <si>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</si>
  <si>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</si>
  <si>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</si>
  <si>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</si>
  <si>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</si>
  <si>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</si>
  <si>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</si>
  <si>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</si>
  <si>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</si>
  <si>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</si>
  <si>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</si>
  <si>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</si>
  <si>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</si>
  <si>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</si>
  <si>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</si>
  <si>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</si>
  <si>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</si>
  <si>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</si>
  <si>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</si>
  <si>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</si>
  <si>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</si>
  <si>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</si>
  <si>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</si>
  <si>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</si>
  <si>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</si>
  <si>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</si>
  <si>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</si>
  <si>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</si>
  <si>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</si>
  <si>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</si>
  <si>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</si>
  <si>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</si>
  <si>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</si>
  <si>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</si>
  <si>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</si>
  <si>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</si>
  <si>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</si>
  <si>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</si>
  <si>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</si>
  <si>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</si>
  <si>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</si>
  <si>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</si>
  <si>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</si>
  <si>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</si>
  <si>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</si>
  <si>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</si>
  <si>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</si>
  <si>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</si>
  <si>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</si>
  <si>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</si>
  <si>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</si>
  <si>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</si>
  <si>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</si>
  <si>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</si>
  <si>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</si>
  <si>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</si>
  <si>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</si>
  <si>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</si>
  <si>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</si>
  <si>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</si>
  <si>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</si>
  <si>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</si>
  <si>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</si>
  <si>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</si>
  <si>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</si>
  <si>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</si>
  <si>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</si>
  <si>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</si>
  <si>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</si>
  <si>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</si>
  <si>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</si>
  <si>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</si>
  <si>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</si>
  <si>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</si>
  <si>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</si>
  <si>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</si>
  <si>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</si>
  <si>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</si>
  <si>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</si>
  <si>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</si>
  <si>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</si>
  <si>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</si>
  <si>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</si>
  <si>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</si>
  <si>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</si>
  <si>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</si>
  <si>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</si>
  <si>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</si>
  <si>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</si>
  <si>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</si>
  <si>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</si>
  <si>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</si>
  <si>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</si>
  <si>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</si>
  <si>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</si>
  <si>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</si>
  <si>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</si>
  <si>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</si>
  <si>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</si>
  <si>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</si>
  <si>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</si>
  <si>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</si>
  <si>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</si>
  <si>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</si>
  <si>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</si>
  <si>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</si>
  <si>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</si>
  <si>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</si>
  <si>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</si>
  <si>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</si>
  <si>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</si>
  <si>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</si>
  <si>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</si>
  <si>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</si>
  <si>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</si>
  <si>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</si>
  <si>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</si>
  <si>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</si>
  <si>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</si>
  <si>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</si>
  <si>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</si>
  <si>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</si>
  <si>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</si>
  <si>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</si>
  <si>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</si>
  <si>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</si>
  <si>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</si>
  <si>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</si>
  <si>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</si>
  <si>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</si>
  <si>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</si>
  <si>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</si>
  <si>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</si>
  <si>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</si>
  <si>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</si>
  <si>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</si>
  <si>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</si>
  <si>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</si>
  <si>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</si>
  <si>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</si>
  <si>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</si>
  <si>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</si>
  <si>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</si>
  <si>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</si>
  <si>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</si>
  <si>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</si>
  <si>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</si>
  <si>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</si>
  <si>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</si>
  <si>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</si>
  <si>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</si>
  <si>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</si>
  <si>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</si>
  <si>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</si>
  <si>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</si>
  <si>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</si>
  <si>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</si>
  <si>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</si>
  <si>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</si>
  <si>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</si>
  <si>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</si>
  <si>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</si>
  <si>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</si>
  <si>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</si>
  <si>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</si>
  <si>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</si>
  <si>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</si>
  <si>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</si>
  <si>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</si>
  <si>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</si>
  <si>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</si>
  <si>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</si>
  <si>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</si>
  <si>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</si>
  <si>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</si>
  <si>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</si>
  <si>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</si>
  <si>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</si>
  <si>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</si>
  <si>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</si>
  <si>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</si>
  <si>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</si>
  <si>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</si>
  <si>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</si>
  <si>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</si>
  <si>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</si>
  <si>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</si>
  <si>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</si>
  <si>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</si>
  <si>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</si>
  <si>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</si>
  <si>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</si>
  <si>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</si>
  <si>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</si>
  <si>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</si>
  <si>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</si>
  <si>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</si>
  <si>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</si>
  <si>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</si>
  <si>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</si>
  <si>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</si>
  <si>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</si>
  <si>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</si>
  <si>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</si>
  <si>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</si>
  <si>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</si>
  <si>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</si>
  <si>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</si>
  <si>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</si>
  <si>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</si>
  <si>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</si>
  <si>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</si>
  <si>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</si>
  <si>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</si>
  <si>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</si>
  <si>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</si>
  <si>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</si>
  <si>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</si>
  <si>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</si>
  <si>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</si>
  <si>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</si>
  <si>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</si>
  <si>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</si>
  <si>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</si>
  <si>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</si>
  <si>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</si>
  <si>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</si>
  <si>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</si>
  <si>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</si>
  <si>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</si>
  <si>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</si>
  <si>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</si>
  <si>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</si>
  <si>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</si>
  <si>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</si>
  <si>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</si>
  <si>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</si>
  <si>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</si>
  <si>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</si>
  <si>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</si>
  <si>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</si>
  <si>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</si>
  <si>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</si>
  <si>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</si>
  <si>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</si>
  <si>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</si>
  <si>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</si>
  <si>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</si>
  <si>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</si>
  <si>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</si>
  <si>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</si>
  <si>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</si>
  <si>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</si>
  <si>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</si>
  <si>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</si>
  <si>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</si>
  <si>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</si>
  <si>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</si>
  <si>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</si>
  <si>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</si>
  <si>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</si>
  <si>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</si>
  <si>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</si>
  <si>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</si>
  <si>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</si>
  <si>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</si>
  <si>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</si>
  <si>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</si>
  <si>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</si>
  <si>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</si>
  <si>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</si>
  <si>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</si>
  <si>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</si>
  <si>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</si>
  <si>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</si>
  <si>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</si>
  <si>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</si>
  <si>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</si>
  <si>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</si>
  <si>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</si>
  <si>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</si>
  <si>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</si>
  <si>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</si>
  <si>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</si>
  <si>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</si>
  <si>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</si>
  <si>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</si>
  <si>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</si>
  <si>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</si>
  <si>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</si>
  <si>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</si>
  <si>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</si>
  <si>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</si>
  <si>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</si>
  <si>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</si>
  <si>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</si>
  <si>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</si>
  <si>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</si>
  <si>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</si>
  <si>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</si>
  <si>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</si>
  <si>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</si>
  <si>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</si>
  <si>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</si>
  <si>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</si>
  <si>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</si>
  <si>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</si>
  <si>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</si>
  <si>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</si>
  <si>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</si>
  <si>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</si>
  <si>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</si>
  <si>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</si>
  <si>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</si>
  <si>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</si>
  <si>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</si>
  <si>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</si>
  <si>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</si>
  <si>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</si>
  <si>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</si>
  <si>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</si>
  <si>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</si>
  <si>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</si>
  <si>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</si>
  <si>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</si>
  <si>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</si>
  <si>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</si>
  <si>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</si>
  <si>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</si>
  <si>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</si>
  <si>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</si>
  <si>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</si>
  <si>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</si>
  <si>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</si>
  <si>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</si>
  <si>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</si>
  <si>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</si>
  <si>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</si>
  <si>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</si>
  <si>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</si>
  <si>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</si>
  <si>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</si>
  <si>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</si>
  <si>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</si>
  <si>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</si>
  <si>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</si>
  <si>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</si>
  <si>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</si>
  <si>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</si>
  <si>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</si>
  <si>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</si>
  <si>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</si>
  <si>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</si>
  <si>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</si>
  <si>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</si>
  <si>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</si>
  <si>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</si>
  <si>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</si>
  <si>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</si>
  <si>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</si>
  <si>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</si>
  <si>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</si>
  <si>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</si>
  <si>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</si>
  <si>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</si>
  <si>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</si>
  <si>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</si>
  <si>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</si>
  <si>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</si>
  <si>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</si>
  <si>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</si>
  <si>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</si>
  <si>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</si>
  <si>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</si>
  <si>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</si>
  <si>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</si>
  <si>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</si>
  <si>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</si>
  <si>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</si>
  <si>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</si>
  <si>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</si>
  <si>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</si>
  <si>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</si>
  <si>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</si>
  <si>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</si>
  <si>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</si>
  <si>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</si>
  <si>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</si>
  <si>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</si>
  <si>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</si>
  <si>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</si>
  <si>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</si>
  <si>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</si>
  <si>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</si>
  <si>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</si>
  <si>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</si>
  <si>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</si>
  <si>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</si>
  <si>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</si>
  <si>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</si>
  <si>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</si>
  <si>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</si>
  <si>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</si>
  <si>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</si>
  <si>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</si>
  <si>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</si>
  <si>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</si>
  <si>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</si>
  <si>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</si>
  <si>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</si>
  <si>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</si>
  <si>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</si>
  <si>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</si>
  <si>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</si>
  <si>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</si>
  <si>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</si>
  <si>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</si>
  <si>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</si>
  <si>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</si>
  <si>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</si>
  <si>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</si>
  <si>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</si>
  <si>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</si>
  <si>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</si>
  <si>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</si>
  <si>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</si>
  <si>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</si>
  <si>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</si>
  <si>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</si>
  <si>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</si>
  <si>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</si>
  <si>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</si>
  <si>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</si>
  <si>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</si>
  <si>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</si>
  <si>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</si>
  <si>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</si>
  <si>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</si>
  <si>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</si>
  <si>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</si>
  <si>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</si>
  <si>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</si>
  <si>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</si>
  <si>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</si>
  <si>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</si>
  <si>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</si>
  <si>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</si>
  <si>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</si>
  <si>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</si>
  <si>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</si>
  <si>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</si>
  <si>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</si>
  <si>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</si>
  <si>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</si>
  <si>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</si>
  <si>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</si>
  <si>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</si>
  <si>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</si>
  <si>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</si>
  <si>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</si>
  <si>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</si>
  <si>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</si>
  <si>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</si>
  <si>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</si>
  <si>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</si>
  <si>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</si>
  <si>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</si>
  <si>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</si>
  <si>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</si>
  <si>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</si>
  <si>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</si>
  <si>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</si>
  <si>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</si>
  <si>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</si>
  <si>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</si>
  <si>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</si>
  <si>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</si>
  <si>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</si>
  <si>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</si>
  <si>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</si>
  <si>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</si>
  <si>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</si>
  <si>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</si>
  <si>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</si>
  <si>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</si>
  <si>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</si>
  <si>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</si>
  <si>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</si>
  <si>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</si>
  <si>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</si>
  <si>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</si>
  <si>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</si>
  <si>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</si>
  <si>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</si>
  <si>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</si>
  <si>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</si>
  <si>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</si>
  <si>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</si>
  <si>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</si>
  <si>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</si>
  <si>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</si>
  <si>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</si>
  <si>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</si>
  <si>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</si>
  <si>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</si>
  <si>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</si>
  <si>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</si>
  <si>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</si>
  <si>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</si>
  <si>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</si>
  <si>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</si>
  <si>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</si>
  <si>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</si>
  <si>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</si>
  <si>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</si>
  <si>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</si>
  <si>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</si>
  <si>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</si>
  <si>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</si>
  <si>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</si>
  <si>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</si>
  <si>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</si>
  <si>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</si>
  <si>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</si>
  <si>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</si>
  <si>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</si>
  <si>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</si>
  <si>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</si>
  <si>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</si>
  <si>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</si>
  <si>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</si>
  <si>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</si>
  <si>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</si>
  <si>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</si>
  <si>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</si>
  <si>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</si>
  <si>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</si>
  <si>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</si>
  <si>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</si>
  <si>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</si>
  <si>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</si>
  <si>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</si>
  <si>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</si>
  <si>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</si>
  <si>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</si>
  <si>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</si>
  <si>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</si>
  <si>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</si>
  <si>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</si>
  <si>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</si>
  <si>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</si>
  <si>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</si>
  <si>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</si>
  <si>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</si>
  <si>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</si>
  <si>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</si>
  <si>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</si>
  <si>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</si>
  <si>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</si>
  <si>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</si>
  <si>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</si>
  <si>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</si>
  <si>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</si>
  <si>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</si>
  <si>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</si>
  <si>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</si>
  <si>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</si>
  <si>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</si>
  <si>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</si>
  <si>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</si>
  <si>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</si>
  <si>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</si>
  <si>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</si>
  <si>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</si>
  <si>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</si>
  <si>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</si>
  <si>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</si>
  <si>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</si>
  <si>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</si>
  <si>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</si>
  <si>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</si>
  <si>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</si>
  <si>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</si>
  <si>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</si>
  <si>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</si>
  <si>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</si>
  <si>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</si>
  <si>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</si>
  <si>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</si>
  <si>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</si>
  <si>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</si>
  <si>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</si>
  <si>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</si>
  <si>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</si>
  <si>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</si>
  <si>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</si>
  <si>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</si>
  <si>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</si>
  <si>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</si>
  <si>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</si>
  <si>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</si>
  <si>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</si>
  <si>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</si>
  <si>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</si>
  <si>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</si>
  <si>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</si>
  <si>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</si>
  <si>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</si>
  <si>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</si>
  <si>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</si>
  <si>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</si>
  <si>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</si>
  <si>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</si>
  <si>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</si>
  <si>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</si>
  <si>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</si>
  <si>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</si>
  <si>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</si>
  <si>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</si>
  <si>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</si>
  <si>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</si>
  <si>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</si>
  <si>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</si>
  <si>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</si>
  <si>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</si>
  <si>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</si>
  <si>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</si>
  <si>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</si>
  <si>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</si>
  <si>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</si>
  <si>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</si>
  <si>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</si>
  <si>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</si>
  <si>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</si>
  <si>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</si>
  <si>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</si>
  <si>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</si>
  <si>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</si>
  <si>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</si>
  <si>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</si>
  <si>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</si>
  <si>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</si>
  <si>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</si>
  <si>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</si>
  <si>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</si>
  <si>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</si>
  <si>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</si>
  <si>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</si>
  <si>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</si>
  <si>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</si>
  <si>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</si>
  <si>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</si>
  <si>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</si>
  <si>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</si>
  <si>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</si>
  <si>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</si>
  <si>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</si>
  <si>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</si>
  <si>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</si>
  <si>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</si>
  <si>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</si>
  <si>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</si>
  <si>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</si>
  <si>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</si>
  <si>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</si>
  <si>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</si>
  <si>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</si>
  <si>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</si>
  <si>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</si>
  <si>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</si>
  <si>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</si>
  <si>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</si>
  <si>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</si>
  <si>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</si>
  <si>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</si>
  <si>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</si>
  <si>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</si>
  <si>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</si>
  <si>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</si>
  <si>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</si>
  <si>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</si>
  <si>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</si>
  <si>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</si>
  <si>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</si>
  <si>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</si>
  <si>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</si>
  <si>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</si>
  <si>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</si>
  <si>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</si>
  <si>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</si>
  <si>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</si>
  <si>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</si>
  <si>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</si>
  <si>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</si>
  <si>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</si>
  <si>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</si>
  <si>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</si>
  <si>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</si>
  <si>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</si>
  <si>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</si>
  <si>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</si>
  <si>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</si>
  <si>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</si>
  <si>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</si>
  <si>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</si>
  <si>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</si>
  <si>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</si>
  <si>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</si>
  <si>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</si>
  <si>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</si>
  <si>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</si>
  <si>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</si>
  <si>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</si>
  <si>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</si>
  <si>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</si>
  <si>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</si>
  <si>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</si>
  <si>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</si>
  <si>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</si>
  <si>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</si>
  <si>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</si>
  <si>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</si>
  <si>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</si>
  <si>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</si>
  <si>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</si>
  <si>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</si>
  <si>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</si>
  <si>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</si>
  <si>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</si>
  <si>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</si>
  <si>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</si>
  <si>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</si>
  <si>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</si>
  <si>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</si>
  <si>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</si>
  <si>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</si>
  <si>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</si>
  <si>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</si>
  <si>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</si>
  <si>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</si>
  <si>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</si>
  <si>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</si>
  <si>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</si>
  <si>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</si>
  <si>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</si>
  <si>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</si>
  <si>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</si>
  <si>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</si>
  <si>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</si>
  <si>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</si>
  <si>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</si>
  <si>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</si>
  <si>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</si>
  <si>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</si>
  <si>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</si>
  <si>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</si>
  <si>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</si>
  <si>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</si>
  <si>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</si>
  <si>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</si>
  <si>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</si>
  <si>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</si>
  <si>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</si>
  <si>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</si>
  <si>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</si>
  <si>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</si>
  <si>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</si>
  <si>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</si>
  <si>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</si>
  <si>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</si>
  <si>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</si>
  <si>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</si>
  <si>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</si>
  <si>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</si>
  <si>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</si>
  <si>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</si>
  <si>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</si>
  <si>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</si>
  <si>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</si>
  <si>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</si>
  <si>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</si>
  <si>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</si>
  <si>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</si>
  <si>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</si>
  <si>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</si>
  <si>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</si>
  <si>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</si>
  <si>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</si>
  <si>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</si>
  <si>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</si>
  <si>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</si>
  <si>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</si>
  <si>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</si>
  <si>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</si>
  <si>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</si>
  <si>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</si>
  <si>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</si>
  <si>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</si>
  <si>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</si>
  <si>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</si>
  <si>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</si>
  <si>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</si>
  <si>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</si>
  <si>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</si>
  <si>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</si>
  <si>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</si>
  <si>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</si>
  <si>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</si>
  <si>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</si>
  <si>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</si>
  <si>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</si>
  <si>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</si>
  <si>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</si>
  <si>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</si>
  <si>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</si>
  <si>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</si>
  <si>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</si>
  <si>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</si>
  <si>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</si>
  <si>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</si>
  <si>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</si>
  <si>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</si>
  <si>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</si>
  <si>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</si>
  <si>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</si>
  <si>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</si>
  <si>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</si>
  <si>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</si>
  <si>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</si>
  <si>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</si>
  <si>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</si>
  <si>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</si>
  <si>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</si>
  <si>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</si>
  <si>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</si>
  <si>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</si>
  <si>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</si>
  <si>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</si>
  <si>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</si>
  <si>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</si>
  <si>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</si>
  <si>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</si>
  <si>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</si>
  <si>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</si>
  <si>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</si>
  <si>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</si>
  <si>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</si>
  <si>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</si>
  <si>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</si>
  <si>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</si>
  <si>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</si>
  <si>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</si>
  <si>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</si>
  <si>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</si>
  <si>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</si>
  <si>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</si>
  <si>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</si>
  <si>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</si>
  <si>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</si>
  <si>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</si>
  <si>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</si>
  <si>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</si>
  <si>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</si>
  <si>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</si>
  <si>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</si>
  <si>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</si>
  <si>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</si>
  <si>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</si>
  <si>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</si>
  <si>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</si>
  <si>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</si>
  <si>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</si>
  <si>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</si>
  <si>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</si>
  <si>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</si>
  <si>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</si>
  <si>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</si>
  <si>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</si>
  <si>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</si>
  <si>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</si>
  <si>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</si>
  <si>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</si>
  <si>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</si>
  <si>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</si>
  <si>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</si>
  <si>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</si>
  <si>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</si>
  <si>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</si>
  <si>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</si>
  <si>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</si>
  <si>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</si>
  <si>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</si>
  <si>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</si>
  <si>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</si>
  <si>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</si>
  <si>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</si>
  <si>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</si>
  <si>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</si>
  <si>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</si>
  <si>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</si>
  <si>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</si>
  <si>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</si>
  <si>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</si>
  <si>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</si>
  <si>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</si>
  <si>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</si>
  <si>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</si>
  <si>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</si>
  <si>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</si>
  <si>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</si>
  <si>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</si>
  <si>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</si>
  <si>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</si>
  <si>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</si>
  <si>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</si>
  <si>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</si>
  <si>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</si>
  <si>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</si>
  <si>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</si>
  <si>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</si>
  <si>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</si>
  <si>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</si>
  <si>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</si>
  <si>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</si>
  <si>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</si>
  <si>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</si>
  <si>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</si>
  <si>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</si>
  <si>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</si>
  <si>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</si>
  <si>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</si>
  <si>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</si>
  <si>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</si>
  <si>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</si>
  <si>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</si>
  <si>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</si>
  <si>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</si>
  <si>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</si>
  <si>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</si>
  <si>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</si>
  <si>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</si>
  <si>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</si>
  <si>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</si>
  <si>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</si>
  <si>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</si>
  <si>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</si>
  <si>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</si>
  <si>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</si>
  <si>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</si>
  <si>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</si>
  <si>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</si>
  <si>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</si>
  <si>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</si>
  <si>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</si>
  <si>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</si>
  <si>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</si>
  <si>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</si>
  <si>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</si>
  <si>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</si>
  <si>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</si>
  <si>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</si>
  <si>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</si>
  <si>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</si>
  <si>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</si>
  <si>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</si>
  <si>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</si>
  <si>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</si>
  <si>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</si>
  <si>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</si>
  <si>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</si>
  <si>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</si>
  <si>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</si>
  <si>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</si>
  <si>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</si>
  <si>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</si>
  <si>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</si>
  <si>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</si>
  <si>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</si>
  <si>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</si>
  <si>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</si>
  <si>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</si>
  <si>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</si>
  <si>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</si>
  <si>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</si>
  <si>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</si>
  <si>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</si>
  <si>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</si>
  <si>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</si>
  <si>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</si>
  <si>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</si>
  <si>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</si>
  <si>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</si>
  <si>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</si>
  <si>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</si>
  <si>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</si>
  <si>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</si>
  <si>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</si>
  <si>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</si>
  <si>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</si>
  <si>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</si>
  <si>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</si>
  <si>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</si>
  <si>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</si>
  <si>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</si>
  <si>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</si>
  <si>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</si>
  <si>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</si>
  <si>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</si>
  <si>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</si>
  <si>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</si>
  <si>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</si>
  <si>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</si>
  <si>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</si>
  <si>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</si>
  <si>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</si>
  <si>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</si>
  <si>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</si>
  <si>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</si>
  <si>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</si>
  <si>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</si>
  <si>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</si>
  <si>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</si>
  <si>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</si>
  <si>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</si>
  <si>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</si>
  <si>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</si>
  <si>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</si>
  <si>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</si>
  <si>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</si>
  <si>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</si>
  <si>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</si>
  <si>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</si>
  <si>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</si>
  <si>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</si>
  <si>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</si>
  <si>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</si>
  <si>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</si>
  <si>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</si>
  <si>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</si>
  <si>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</si>
  <si>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</si>
  <si>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</si>
  <si>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</si>
  <si>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</si>
  <si>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</si>
  <si>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</si>
  <si>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</si>
  <si>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</si>
  <si>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</si>
  <si>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</si>
  <si>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</si>
  <si>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</si>
  <si>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</si>
  <si>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</si>
  <si>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</si>
  <si>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</si>
  <si>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</si>
  <si>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</si>
  <si>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</si>
  <si>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</si>
  <si>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</si>
  <si>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</si>
  <si>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</si>
  <si>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</si>
  <si>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</si>
  <si>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</si>
  <si>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</si>
  <si>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</si>
  <si>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</si>
  <si>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</si>
  <si>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</si>
  <si>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</si>
  <si>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</si>
  <si>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</si>
  <si>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</si>
  <si>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</si>
  <si>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</si>
  <si>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</si>
  <si>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</si>
  <si>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</si>
  <si>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</si>
  <si>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</si>
  <si>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</si>
  <si>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</si>
  <si>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</si>
  <si>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</si>
  <si>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</si>
  <si>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</si>
  <si>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</si>
  <si>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</si>
  <si>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</si>
  <si>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</si>
  <si>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</si>
  <si>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</si>
  <si>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</si>
  <si>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</si>
  <si>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</si>
  <si>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</si>
  <si>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</si>
  <si>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</si>
  <si>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</si>
  <si>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</si>
  <si>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</si>
  <si>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</si>
  <si>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</si>
  <si>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</si>
  <si>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</si>
  <si>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</si>
  <si>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</si>
  <si>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</si>
  <si>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</si>
  <si>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</si>
  <si>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</si>
  <si>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</si>
  <si>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</si>
  <si>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</si>
  <si>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</si>
  <si>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</si>
  <si>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</si>
  <si>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</si>
  <si>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</si>
  <si>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</si>
  <si>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</si>
  <si>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</si>
  <si>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</si>
  <si>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</si>
  <si>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</si>
  <si>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</si>
  <si>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</si>
  <si>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</si>
  <si>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</si>
  <si>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</si>
  <si>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</si>
  <si>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</si>
  <si>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</si>
  <si>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</si>
  <si>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</si>
  <si>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</si>
  <si>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</si>
  <si>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</si>
  <si>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</si>
  <si>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</si>
  <si>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</si>
  <si>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</si>
  <si>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</si>
  <si>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</si>
  <si>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</si>
  <si>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</si>
  <si>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</si>
  <si>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</si>
  <si>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</si>
  <si>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</si>
  <si>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</si>
  <si>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</si>
  <si>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</si>
  <si>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</si>
  <si>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</si>
  <si>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</si>
  <si>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</si>
  <si>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</si>
  <si>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</si>
  <si>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</si>
  <si>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</si>
  <si>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</si>
  <si>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</si>
  <si>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</si>
  <si>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</si>
  <si>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</si>
  <si>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</si>
  <si>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</si>
  <si>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</si>
  <si>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</si>
  <si>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</si>
  <si>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</si>
  <si>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</si>
  <si>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</si>
  <si>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</si>
  <si>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</si>
  <si>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</si>
  <si>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</si>
  <si>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</si>
  <si>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</si>
  <si>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</si>
  <si>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</si>
  <si>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</si>
  <si>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</si>
  <si>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</si>
  <si>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</si>
  <si>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</si>
  <si>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</si>
  <si>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</si>
  <si>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</si>
  <si>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</si>
  <si>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</si>
  <si>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</si>
  <si>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</si>
  <si>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</si>
  <si>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</si>
  <si>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</si>
  <si>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</si>
  <si>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</si>
  <si>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</si>
  <si>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</si>
  <si>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</si>
  <si>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</si>
  <si>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</si>
  <si>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</si>
  <si>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</si>
  <si>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</si>
  <si>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</si>
  <si>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</si>
  <si>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</si>
  <si>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</si>
  <si>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</si>
  <si>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</si>
  <si>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</si>
  <si>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</si>
  <si>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</si>
  <si>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</si>
  <si>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</si>
  <si>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</si>
  <si>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</si>
  <si>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</si>
  <si>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</si>
  <si>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</si>
  <si>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</si>
  <si>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</si>
  <si>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</si>
  <si>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</si>
  <si>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</si>
  <si>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</si>
  <si>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</si>
  <si>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</si>
  <si>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</si>
  <si>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</si>
  <si>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</si>
  <si>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</si>
  <si>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</si>
  <si>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</si>
  <si>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</si>
  <si>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</si>
  <si>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</si>
  <si>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</si>
  <si>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</si>
  <si>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</si>
  <si>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</si>
  <si>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</si>
  <si>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</si>
  <si>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</si>
  <si>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</si>
  <si>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</si>
  <si>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</si>
  <si>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</si>
  <si>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</si>
  <si>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</si>
  <si>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</si>
  <si>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</si>
  <si>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</si>
  <si>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</si>
  <si>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</si>
  <si>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</si>
  <si>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</si>
  <si>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</si>
  <si>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</si>
  <si>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</si>
  <si>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</si>
  <si>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</si>
  <si>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</si>
  <si>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</si>
  <si>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</si>
  <si>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</si>
  <si>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</si>
  <si>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</si>
  <si>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</si>
  <si>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</si>
  <si>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</si>
  <si>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</si>
  <si>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</si>
  <si>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</si>
  <si>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</si>
  <si>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</si>
  <si>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</si>
  <si>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</si>
  <si>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</si>
  <si>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</si>
  <si>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</si>
  <si>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</si>
  <si>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</si>
  <si>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</si>
  <si>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</si>
  <si>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</si>
  <si>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</si>
  <si>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</si>
  <si>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</si>
  <si>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</si>
  <si>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</si>
  <si>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</si>
  <si>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</si>
  <si>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</si>
  <si>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</si>
  <si>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</si>
  <si>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</si>
  <si>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</si>
  <si>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</si>
  <si>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</si>
  <si>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</si>
  <si>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</si>
  <si>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</si>
  <si>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</si>
  <si>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</si>
  <si>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</si>
  <si>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</si>
  <si>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</si>
  <si>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</si>
  <si>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</si>
  <si>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</si>
  <si>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</si>
  <si>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</si>
  <si>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</si>
  <si>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</si>
  <si>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</si>
  <si>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</si>
  <si>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</si>
  <si>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</si>
  <si>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</si>
  <si>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</si>
  <si>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</si>
  <si>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</si>
  <si>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</si>
  <si>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</si>
  <si>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</si>
  <si>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</si>
  <si>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</si>
  <si>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</si>
  <si>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</si>
  <si>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</si>
  <si>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</si>
  <si>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</si>
  <si>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</si>
  <si>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</si>
  <si>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</si>
  <si>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</si>
  <si>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</si>
  <si>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</si>
  <si>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</si>
  <si>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</si>
  <si>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</si>
  <si>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</si>
  <si>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</si>
  <si>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</si>
  <si>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</si>
  <si>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</si>
  <si>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</si>
  <si>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</si>
  <si>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</si>
  <si>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</si>
  <si>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</si>
  <si>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</si>
  <si>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</si>
  <si>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</si>
  <si>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</si>
  <si>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</si>
  <si>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</si>
  <si>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</si>
  <si>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</si>
  <si>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</si>
  <si>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</si>
  <si>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</si>
  <si>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</si>
  <si>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</si>
  <si>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</si>
  <si>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</si>
  <si>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</si>
  <si>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</si>
  <si>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</si>
  <si>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</si>
  <si>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</si>
  <si>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</si>
  <si>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</si>
  <si>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</si>
  <si>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</si>
  <si>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</si>
  <si>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</si>
  <si>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</si>
  <si>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</si>
  <si>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</si>
  <si>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</si>
  <si>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</si>
  <si>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</si>
  <si>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</si>
  <si>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</si>
  <si>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</si>
  <si>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</si>
  <si>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</si>
  <si>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</si>
  <si>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</si>
  <si>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</si>
  <si>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</si>
  <si>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</si>
  <si>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</si>
  <si>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</si>
  <si>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</si>
  <si>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</si>
  <si>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</si>
  <si>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</si>
  <si>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</si>
  <si>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</si>
  <si>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</si>
  <si>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</si>
  <si>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</si>
  <si>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</si>
  <si>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</si>
  <si>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</si>
  <si>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</si>
  <si>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</si>
  <si>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</si>
  <si>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</si>
  <si>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</si>
  <si>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</si>
  <si>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</si>
  <si>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</si>
  <si>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</si>
  <si>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</si>
  <si>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</si>
  <si>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</si>
  <si>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</si>
  <si>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</si>
  <si>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</si>
  <si>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</si>
  <si>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</si>
  <si>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</si>
  <si>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</si>
  <si>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</si>
  <si>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</si>
  <si>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</si>
  <si>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</si>
  <si>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</si>
  <si>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</si>
  <si>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</si>
  <si>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</si>
  <si>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</si>
  <si>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</si>
  <si>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</si>
  <si>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</si>
  <si>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</si>
  <si>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</si>
  <si>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</si>
  <si>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</si>
  <si>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</si>
  <si>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</si>
  <si>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</si>
  <si>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</si>
  <si>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</si>
  <si>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</si>
  <si>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</si>
  <si>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</si>
  <si>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</si>
  <si>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</si>
  <si>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</si>
  <si>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</si>
  <si>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</si>
  <si>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</si>
  <si>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</si>
  <si>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</si>
  <si>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</si>
  <si>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</si>
  <si>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</si>
  <si>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</si>
  <si>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</si>
  <si>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</si>
  <si>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</si>
  <si>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</si>
  <si>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</si>
  <si>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</si>
  <si>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</si>
  <si>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</si>
  <si>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</si>
  <si>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</si>
  <si>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</si>
  <si>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</si>
  <si>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</si>
  <si>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</si>
  <si>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</si>
  <si>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</si>
  <si>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</si>
  <si>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</si>
  <si>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</si>
  <si>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</si>
  <si>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</si>
  <si>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</si>
  <si>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</si>
  <si>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</si>
  <si>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</si>
  <si>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</si>
  <si>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</si>
  <si>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</si>
  <si>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</si>
  <si>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</si>
  <si>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</si>
  <si>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</si>
  <si>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</si>
  <si>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</si>
  <si>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</si>
  <si>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</si>
  <si>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</si>
  <si>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</si>
  <si>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</si>
  <si>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</si>
  <si>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</si>
  <si>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</si>
  <si>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</si>
  <si>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</si>
  <si>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</si>
  <si>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</si>
  <si>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</si>
  <si>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</si>
  <si>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</si>
  <si>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</si>
  <si>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</si>
  <si>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</si>
  <si>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</si>
  <si>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</si>
  <si>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</si>
  <si>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</si>
  <si>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</si>
  <si>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</si>
  <si>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</si>
  <si>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</si>
  <si>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</si>
  <si>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</si>
  <si>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</si>
  <si>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</si>
  <si>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</si>
  <si>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</si>
  <si>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</si>
  <si>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</si>
  <si>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</si>
  <si>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</si>
  <si>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</si>
  <si>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</si>
  <si>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</si>
  <si>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</si>
  <si>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</si>
  <si>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</si>
  <si>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</si>
  <si>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</si>
  <si>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</si>
  <si>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</si>
  <si>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</si>
  <si>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</si>
  <si>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</si>
  <si>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</si>
  <si>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</si>
  <si>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</si>
  <si>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</si>
  <si>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</si>
  <si>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</si>
  <si>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</si>
  <si>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</si>
  <si>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</si>
  <si>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</si>
  <si>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</si>
  <si>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</si>
  <si>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</si>
  <si>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</si>
  <si>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</si>
  <si>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</si>
  <si>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</si>
  <si>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</si>
  <si>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</si>
  <si>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</si>
  <si>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</si>
  <si>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</si>
  <si>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</si>
  <si>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</si>
  <si>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</si>
  <si>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</si>
  <si>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</si>
  <si>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</si>
  <si>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</si>
  <si>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</si>
  <si>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</si>
  <si>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</si>
  <si>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</si>
  <si>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</si>
  <si>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</si>
  <si>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</si>
  <si>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</si>
  <si>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</si>
  <si>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</si>
  <si>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</si>
  <si>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</si>
  <si>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</si>
  <si>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</si>
  <si>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</si>
  <si>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</si>
  <si>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</si>
  <si>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</si>
  <si>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</si>
  <si>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</si>
  <si>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</si>
  <si>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</si>
  <si>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</si>
  <si>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</si>
  <si>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</si>
  <si>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</si>
  <si>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</si>
  <si>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</si>
  <si>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</si>
  <si>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</si>
  <si>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</si>
  <si>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</si>
  <si>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</si>
  <si>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</si>
  <si>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</si>
  <si>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</si>
  <si>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</si>
  <si>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</si>
  <si>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</si>
  <si>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</si>
  <si>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</si>
  <si>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</si>
  <si>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</si>
  <si>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</si>
  <si>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</si>
  <si>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</si>
  <si>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</si>
  <si>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</si>
  <si>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</si>
  <si>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</si>
  <si>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</si>
  <si>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</si>
  <si>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</si>
  <si>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</si>
  <si>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</si>
  <si>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</si>
  <si>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</si>
  <si>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</si>
  <si>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</si>
  <si>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</si>
  <si>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</si>
  <si>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</si>
  <si>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</si>
  <si>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</si>
  <si>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</si>
  <si>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</si>
  <si>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</si>
  <si>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</si>
  <si>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</si>
  <si>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</si>
  <si>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</si>
  <si>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</si>
  <si>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</si>
  <si>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</si>
  <si>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</si>
  <si>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</si>
  <si>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</si>
  <si>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</si>
  <si>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</si>
  <si>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</si>
  <si>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</si>
  <si>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</si>
  <si>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</si>
  <si>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</si>
  <si>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</si>
  <si>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</si>
  <si>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</si>
  <si>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</si>
  <si>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</si>
  <si>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</si>
  <si>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</si>
  <si>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</si>
  <si>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</si>
  <si>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</si>
  <si>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</si>
  <si>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</si>
  <si>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</si>
  <si>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</si>
  <si>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</si>
  <si>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</si>
  <si>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</si>
  <si>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</si>
  <si>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</si>
  <si>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</si>
  <si>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</si>
  <si>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</si>
  <si>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</si>
  <si>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</si>
  <si>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</si>
  <si>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</si>
  <si>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</si>
  <si>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</si>
  <si>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</si>
  <si>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</si>
  <si>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</si>
  <si>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</si>
  <si>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</si>
  <si>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</si>
  <si>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</si>
  <si>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</si>
  <si>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</si>
  <si>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</si>
  <si>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</si>
  <si>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</si>
  <si>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</si>
  <si>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</si>
  <si>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</si>
  <si>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</si>
  <si>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</si>
  <si>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</si>
  <si>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</si>
  <si>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</si>
  <si>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</si>
  <si>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</si>
  <si>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</si>
  <si>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</si>
  <si>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</si>
  <si>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</si>
  <si>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</si>
  <si>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</si>
  <si>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</si>
  <si>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</si>
  <si>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</si>
  <si>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</si>
  <si>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</si>
  <si>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</si>
  <si>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</si>
  <si>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</si>
  <si>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</si>
  <si>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</si>
  <si>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</si>
  <si>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</si>
  <si>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</si>
  <si>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</si>
  <si>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</si>
  <si>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</si>
  <si>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</si>
  <si>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</si>
  <si>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</si>
  <si>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</si>
  <si>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</si>
  <si>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</si>
  <si>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</si>
  <si>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</si>
  <si>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</si>
  <si>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</si>
  <si>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</si>
  <si>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</si>
  <si>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</si>
  <si>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</si>
  <si>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</si>
  <si>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</si>
  <si>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</si>
  <si>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</si>
  <si>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</si>
  <si>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</si>
  <si>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</si>
  <si>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</si>
  <si>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</si>
  <si>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</si>
  <si>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</si>
  <si>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</si>
  <si>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</si>
  <si>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</si>
  <si>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</si>
  <si>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</si>
  <si>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</si>
  <si>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</si>
  <si>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</si>
  <si>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</si>
  <si>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</si>
  <si>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</si>
  <si>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</si>
  <si>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</si>
  <si>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</si>
  <si>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</si>
  <si>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</si>
  <si>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</si>
  <si>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</si>
  <si>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</si>
  <si>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</si>
  <si>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</si>
  <si>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</si>
  <si>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</si>
  <si>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</si>
  <si>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</si>
  <si>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</si>
  <si>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</si>
  <si>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</si>
  <si>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</si>
  <si>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</si>
  <si>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</si>
  <si>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</si>
  <si>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</si>
  <si>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</si>
  <si>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</si>
  <si>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</si>
  <si>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</si>
  <si>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</si>
  <si>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</si>
  <si>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</si>
  <si>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</si>
  <si>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</si>
  <si>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</si>
  <si>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</si>
  <si>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</si>
  <si>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</si>
  <si>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</si>
  <si>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</si>
  <si>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</si>
  <si>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</si>
  <si>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</si>
  <si>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</si>
  <si>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</si>
  <si>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</si>
  <si>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</si>
  <si>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</si>
  <si>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</si>
  <si>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</si>
  <si>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</si>
  <si>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</si>
  <si>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</si>
  <si>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</si>
  <si>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</si>
  <si>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</si>
  <si>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</si>
  <si>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</si>
  <si>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</si>
  <si>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</si>
  <si>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</si>
  <si>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</si>
  <si>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</si>
  <si>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</si>
  <si>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</si>
  <si>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</si>
  <si>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</si>
  <si>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</si>
  <si>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</si>
  <si>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</si>
  <si>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</si>
  <si>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</si>
  <si>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</si>
  <si>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</si>
  <si>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</si>
  <si>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</si>
  <si>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</si>
  <si>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</si>
  <si>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</si>
  <si>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</si>
  <si>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</si>
  <si>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</si>
  <si>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</si>
  <si>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</si>
  <si>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</si>
  <si>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</si>
  <si>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</si>
  <si>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</si>
  <si>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</si>
  <si>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</si>
  <si>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</si>
  <si>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</si>
  <si>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</si>
  <si>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</si>
  <si>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</si>
  <si>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</si>
  <si>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</si>
  <si>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</si>
  <si>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</si>
  <si>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</si>
  <si>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</si>
  <si>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</si>
  <si>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</si>
  <si>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</si>
  <si>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</si>
  <si>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</si>
  <si>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</si>
  <si>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</si>
  <si>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</si>
  <si>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</si>
  <si>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</si>
  <si>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</si>
  <si>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</si>
  <si>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</si>
  <si>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</si>
  <si>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</si>
  <si>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</si>
  <si>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</si>
  <si>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</si>
  <si>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</si>
  <si>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</si>
  <si>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</si>
  <si>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</si>
  <si>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</si>
  <si>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</si>
  <si>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</si>
  <si>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</si>
  <si>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</si>
  <si>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</si>
  <si>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</si>
  <si>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</si>
  <si>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</si>
  <si>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</si>
  <si>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</si>
  <si>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</si>
  <si>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</si>
  <si>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</si>
  <si>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</si>
  <si>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</si>
  <si>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</si>
  <si>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</si>
  <si>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</si>
  <si>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</si>
  <si>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</si>
  <si>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</si>
  <si>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</si>
  <si>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</si>
  <si>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</si>
  <si>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</si>
  <si>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</si>
  <si>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</si>
  <si>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</si>
  <si>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</si>
  <si>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</si>
  <si>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</si>
  <si>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</si>
  <si>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</si>
  <si>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</si>
  <si>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</si>
  <si>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</si>
  <si>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</si>
  <si>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</si>
  <si>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</si>
  <si>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</si>
  <si>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</si>
  <si>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</si>
  <si>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</si>
  <si>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</si>
  <si>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</si>
  <si>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</si>
  <si>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</si>
  <si>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</si>
  <si>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</si>
  <si>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</si>
  <si>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</si>
  <si>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</si>
  <si>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</si>
  <si>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</si>
  <si>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</si>
  <si>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</si>
  <si>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</si>
  <si>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</si>
  <si>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</si>
  <si>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</si>
  <si>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</si>
  <si>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</si>
  <si>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</si>
  <si>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</si>
  <si>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</si>
  <si>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</si>
  <si>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</si>
  <si>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</si>
  <si>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</si>
  <si>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</si>
  <si>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</si>
  <si>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</si>
  <si>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</si>
  <si>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</si>
  <si>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</si>
  <si>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</si>
  <si>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</si>
  <si>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</si>
  <si>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</si>
  <si>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</si>
  <si>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</si>
  <si>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</si>
  <si>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</si>
  <si>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</si>
  <si>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</si>
  <si>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</si>
  <si>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</si>
  <si>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</si>
  <si>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</si>
  <si>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</si>
  <si>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</si>
  <si>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</si>
  <si>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</si>
  <si>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</si>
  <si>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</si>
  <si>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</si>
  <si>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</si>
  <si>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</si>
  <si>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</si>
  <si>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</si>
  <si>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</si>
  <si>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</si>
  <si>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</si>
  <si>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</si>
  <si>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</si>
  <si>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</si>
  <si>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</si>
  <si>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</si>
  <si>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</si>
  <si>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</si>
  <si>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</si>
  <si>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</si>
  <si>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</si>
  <si>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</si>
  <si>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</si>
  <si>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</si>
  <si>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</si>
  <si>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</si>
  <si>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</si>
  <si>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</si>
  <si>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</si>
  <si>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</si>
  <si>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</si>
  <si>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</si>
  <si>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</si>
  <si>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</si>
  <si>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</si>
  <si>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</si>
  <si>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</si>
  <si>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</si>
  <si>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</si>
  <si>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</si>
  <si>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</si>
  <si>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</si>
  <si>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</si>
  <si>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</si>
  <si>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</si>
  <si>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</si>
  <si>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</si>
  <si>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</si>
  <si>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</si>
  <si>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</si>
  <si>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</si>
  <si>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</si>
  <si>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</si>
  <si>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</si>
  <si>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</si>
  <si>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</si>
  <si>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</si>
  <si>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</si>
  <si>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</si>
  <si>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</si>
  <si>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</si>
  <si>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</si>
  <si>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</si>
  <si>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</si>
  <si>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</si>
  <si>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</si>
  <si>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</si>
  <si>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</si>
  <si>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</si>
  <si>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</si>
  <si>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</si>
  <si>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</si>
  <si>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</si>
  <si>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</si>
  <si>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</si>
  <si>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</si>
  <si>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</si>
  <si>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</si>
  <si>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</si>
  <si>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</si>
  <si>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</si>
  <si>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</si>
  <si>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</si>
  <si>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</si>
  <si>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</si>
  <si>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</si>
  <si>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</si>
  <si>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</si>
  <si>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</si>
  <si>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</si>
  <si>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</si>
  <si>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</si>
  <si>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</si>
  <si>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</si>
  <si>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</si>
  <si>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</si>
  <si>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</si>
  <si>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</si>
  <si>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</si>
  <si>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</si>
  <si>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</si>
  <si>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</si>
  <si>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</si>
  <si>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</si>
  <si>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</si>
  <si>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</si>
  <si>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</si>
  <si>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</si>
  <si>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</si>
  <si>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</si>
  <si>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</si>
  <si>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</si>
  <si>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</si>
  <si>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</si>
  <si>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</si>
  <si>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</si>
  <si>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</si>
  <si>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</si>
  <si>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</si>
  <si>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</si>
  <si>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</si>
  <si>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</si>
  <si>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</si>
  <si>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</si>
  <si>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</si>
  <si>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</si>
  <si>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</si>
  <si>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</si>
  <si>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</si>
  <si>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</si>
  <si>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</si>
  <si>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</si>
  <si>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</si>
  <si>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</si>
  <si>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</si>
  <si>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</si>
  <si>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</si>
  <si>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</si>
  <si>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</si>
  <si>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</si>
  <si>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</si>
  <si>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</si>
  <si>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</si>
  <si>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</si>
  <si>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</si>
  <si>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</si>
  <si>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</si>
  <si>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</si>
  <si>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</si>
  <si>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</si>
  <si>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</si>
  <si>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</si>
  <si>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</si>
  <si>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</si>
  <si>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</si>
  <si>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</si>
  <si>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</si>
  <si>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</si>
  <si>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</si>
  <si>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</si>
  <si>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</si>
  <si>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</si>
  <si>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</si>
  <si>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</si>
  <si>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</si>
  <si>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</si>
  <si>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</si>
  <si>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</si>
  <si>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</si>
  <si>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</si>
  <si>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</si>
  <si>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</si>
  <si>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</si>
  <si>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</si>
  <si>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</si>
  <si>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</si>
  <si>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</si>
  <si>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</si>
  <si>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</si>
  <si>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</si>
  <si>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</si>
  <si>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</si>
  <si>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</si>
  <si>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</si>
  <si>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</si>
  <si>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</si>
  <si>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</si>
  <si>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</si>
  <si>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</si>
  <si>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</si>
  <si>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</si>
  <si>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</si>
  <si>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</si>
  <si>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</si>
  <si>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</si>
  <si>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</si>
  <si>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</si>
  <si>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</si>
  <si>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</si>
  <si>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</si>
  <si>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</si>
  <si>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</si>
  <si>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</si>
  <si>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</si>
  <si>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</si>
  <si>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</si>
  <si>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</si>
  <si>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</si>
  <si>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</si>
  <si>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</si>
  <si>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</si>
  <si>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</si>
  <si>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</si>
  <si>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</si>
  <si>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</si>
  <si>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</si>
  <si>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</si>
  <si>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</si>
  <si>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</si>
  <si>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</si>
  <si>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</si>
  <si>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</si>
  <si>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</si>
  <si>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</si>
  <si>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</si>
  <si>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</si>
  <si>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</si>
  <si>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</si>
  <si>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</si>
  <si>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</si>
  <si>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</si>
  <si>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</si>
  <si>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</si>
  <si>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</si>
  <si>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</si>
  <si>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</si>
  <si>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</si>
  <si>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</si>
  <si>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</si>
  <si>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</si>
  <si>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</si>
  <si>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</si>
  <si>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</si>
  <si>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</si>
  <si>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</si>
  <si>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</si>
  <si>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</si>
  <si>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</si>
  <si>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</si>
  <si>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</si>
  <si>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</si>
  <si>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</si>
  <si>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</si>
  <si>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</si>
  <si>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</si>
  <si>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</si>
  <si>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</si>
  <si>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</si>
  <si>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</si>
  <si>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</si>
  <si>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</si>
  <si>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</si>
  <si>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</si>
  <si>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</si>
  <si>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</si>
  <si>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</si>
  <si>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</si>
  <si>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</si>
  <si>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</si>
  <si>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</si>
  <si>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</si>
  <si>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</si>
  <si>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</si>
  <si>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</si>
  <si>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</si>
  <si>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</si>
  <si>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</si>
  <si>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</si>
  <si>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</si>
  <si>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</si>
  <si>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</si>
  <si>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</si>
  <si>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</si>
  <si>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</si>
  <si>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</si>
  <si>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</si>
  <si>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</si>
  <si>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</si>
  <si>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</si>
  <si>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</si>
  <si>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</si>
  <si>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</si>
  <si>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</si>
  <si>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</si>
  <si>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</si>
  <si>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</si>
  <si>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</si>
  <si>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</si>
  <si>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</si>
  <si>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</si>
  <si>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</si>
  <si>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</si>
  <si>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</si>
  <si>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</si>
  <si>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</si>
  <si>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</si>
  <si>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</si>
  <si>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</si>
  <si>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</si>
  <si>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</si>
  <si>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</si>
  <si>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</si>
  <si>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</si>
  <si>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</si>
  <si>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</si>
  <si>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</si>
  <si>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</si>
  <si>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</si>
  <si>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</si>
  <si>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</si>
  <si>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</si>
  <si>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</si>
  <si>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</si>
  <si>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</si>
  <si>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</si>
  <si>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</si>
  <si>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</si>
  <si>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</si>
  <si>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</si>
  <si>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</si>
  <si>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</si>
  <si>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</si>
  <si>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</si>
  <si>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</si>
  <si>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</si>
  <si>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</si>
  <si>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</si>
  <si>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</si>
  <si>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</si>
  <si>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</si>
  <si>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</si>
  <si>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</si>
  <si>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</si>
  <si>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</si>
  <si>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</si>
  <si>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</si>
  <si>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</si>
  <si>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</si>
  <si>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</si>
  <si>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</si>
  <si>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</si>
  <si>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</si>
  <si>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</si>
  <si>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</si>
  <si>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</si>
  <si>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</si>
  <si>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</si>
  <si>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</si>
  <si>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</si>
  <si>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</si>
  <si>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</si>
  <si>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</si>
  <si>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</si>
  <si>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</si>
  <si>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</si>
  <si>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</si>
  <si>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</si>
  <si>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</si>
  <si>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</si>
  <si>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</si>
  <si>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</si>
  <si>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</si>
  <si>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</si>
  <si>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</si>
  <si>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</si>
  <si>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</si>
  <si>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</si>
  <si>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</si>
  <si>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</si>
  <si>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</si>
  <si>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</si>
  <si>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</si>
  <si>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</si>
  <si>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</si>
  <si>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</si>
  <si>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</si>
  <si>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</si>
  <si>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</si>
  <si>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</si>
  <si>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</si>
  <si>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</si>
  <si>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</si>
  <si>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</si>
  <si>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</si>
  <si>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</si>
  <si>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</si>
  <si>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</si>
  <si>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</si>
  <si>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</si>
  <si>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</si>
  <si>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</si>
  <si>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</si>
  <si>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</si>
  <si>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</si>
  <si>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</si>
  <si>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</si>
  <si>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</si>
  <si>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</si>
  <si>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</si>
  <si>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</si>
  <si>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</si>
  <si>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</si>
  <si>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</si>
  <si>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</si>
  <si>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</si>
  <si>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</si>
  <si>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</si>
  <si>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</si>
  <si>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</si>
  <si>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</si>
  <si>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</si>
  <si>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</si>
  <si>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</si>
  <si>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</si>
  <si>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</si>
  <si>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</si>
  <si>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</si>
  <si>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</si>
  <si>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</si>
  <si>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</si>
  <si>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</si>
  <si>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</si>
  <si>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</si>
  <si>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</si>
  <si>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</si>
  <si>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</si>
  <si>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</si>
  <si>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</si>
  <si>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</si>
  <si>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</si>
  <si>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</si>
  <si>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</si>
  <si>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</si>
  <si>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</si>
  <si>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</si>
  <si>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</si>
  <si>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</si>
  <si>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</si>
  <si>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</si>
  <si>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</si>
  <si>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</si>
  <si>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</si>
  <si>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</si>
  <si>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</si>
  <si>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</si>
  <si>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</si>
  <si>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</si>
  <si>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</si>
  <si>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</si>
  <si>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</si>
  <si>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</si>
  <si>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</si>
  <si>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</si>
  <si>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</si>
  <si>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</si>
  <si>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</si>
  <si>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</si>
  <si>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</si>
  <si>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</si>
  <si>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</si>
  <si>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</si>
  <si>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</si>
  <si>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</si>
  <si>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</si>
  <si>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</si>
  <si>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</si>
  <si>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</si>
  <si>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</si>
  <si>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</si>
  <si>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</si>
  <si>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</si>
  <si>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</si>
  <si>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</si>
  <si>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</si>
  <si>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</si>
  <si>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</si>
  <si>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</si>
  <si>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</si>
  <si>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</si>
  <si>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</si>
  <si>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</si>
  <si>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</si>
  <si>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</si>
  <si>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</si>
  <si>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</si>
  <si>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</si>
  <si>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</si>
  <si>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</si>
  <si>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</si>
  <si>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</si>
  <si>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</si>
  <si>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</si>
  <si>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</si>
  <si>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</si>
  <si>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</si>
  <si>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</si>
  <si>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</si>
  <si>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</si>
  <si>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</si>
  <si>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</si>
  <si>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</si>
  <si>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</si>
  <si>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</si>
  <si>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</si>
  <si>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</si>
  <si>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</si>
  <si>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</si>
  <si>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</si>
  <si>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</si>
  <si>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</si>
  <si>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</si>
  <si>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</si>
  <si>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</si>
  <si>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</si>
  <si>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</si>
  <si>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</si>
  <si>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</si>
  <si>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</si>
  <si>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</si>
  <si>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</si>
  <si>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</si>
  <si>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</si>
  <si>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</si>
  <si>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</si>
  <si>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</si>
  <si>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</si>
  <si>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</si>
  <si>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</si>
  <si>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</si>
  <si>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</si>
  <si>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</si>
  <si>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</si>
  <si>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</si>
  <si>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</si>
  <si>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</si>
  <si>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</si>
  <si>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</si>
  <si>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</si>
  <si>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</si>
  <si>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</si>
  <si>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</si>
  <si>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</si>
  <si>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</si>
  <si>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</si>
  <si>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</si>
  <si>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</si>
  <si>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</si>
  <si>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</si>
  <si>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</si>
  <si>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</si>
  <si>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</si>
  <si>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</si>
  <si>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</si>
  <si>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</si>
  <si>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</si>
  <si>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</si>
  <si>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</si>
  <si>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</si>
  <si>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</si>
  <si>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</si>
  <si>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</si>
  <si>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</si>
  <si>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</si>
  <si>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</si>
  <si>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</si>
  <si>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</si>
  <si>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</si>
  <si>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</si>
  <si>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</si>
  <si>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</si>
  <si>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</si>
  <si>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</si>
  <si>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</si>
  <si>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</si>
  <si>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</si>
  <si>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</si>
  <si>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</si>
  <si>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</si>
  <si>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</si>
  <si>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</si>
  <si>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</si>
  <si>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</si>
  <si>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</si>
  <si>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</si>
  <si>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</si>
  <si>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</si>
  <si>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</si>
  <si>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</si>
  <si>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</si>
  <si>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</si>
  <si>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</si>
  <si>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</si>
  <si>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</si>
  <si>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</si>
  <si>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</si>
  <si>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</si>
  <si>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</si>
  <si>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</si>
  <si>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</si>
  <si>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</si>
  <si>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</si>
  <si>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</si>
  <si>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</si>
  <si>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</si>
  <si>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</si>
  <si>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</si>
  <si>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</si>
  <si>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</si>
  <si>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</si>
  <si>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</si>
  <si>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</si>
  <si>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</si>
  <si>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</si>
  <si>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</si>
  <si>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</si>
  <si>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</si>
  <si>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</si>
  <si>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</si>
  <si>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</si>
  <si>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</si>
  <si>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</si>
  <si>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</si>
  <si>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</si>
  <si>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</si>
  <si>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</si>
  <si>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</si>
  <si>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</si>
  <si>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</si>
  <si>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</si>
  <si>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</si>
  <si>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</si>
  <si>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</si>
  <si>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</si>
  <si>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</si>
  <si>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</si>
  <si>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</si>
  <si>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</si>
  <si>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</si>
  <si>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</si>
  <si>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</si>
  <si>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</si>
  <si>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</si>
  <si>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</si>
  <si>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</si>
  <si>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</si>
  <si>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</si>
  <si>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</si>
  <si>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</si>
  <si>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</si>
  <si>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</si>
  <si>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</si>
  <si>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</si>
  <si>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</si>
  <si>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</si>
  <si>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</si>
  <si>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</si>
  <si>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</si>
  <si>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</si>
  <si>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</si>
  <si>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</si>
  <si>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</si>
  <si>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</si>
  <si>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</si>
  <si>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</si>
  <si>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</si>
  <si>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</si>
  <si>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</si>
  <si>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</si>
  <si>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</si>
  <si>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</si>
  <si>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</si>
  <si>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</si>
  <si>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</si>
  <si>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</si>
  <si>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</si>
  <si>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</si>
  <si>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</si>
  <si>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</si>
  <si>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</si>
  <si>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</si>
  <si>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</si>
  <si>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</si>
  <si>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</si>
  <si>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</si>
  <si>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</si>
  <si>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</si>
  <si>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</si>
  <si>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</si>
  <si>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</si>
  <si>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</si>
  <si>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</si>
  <si>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</si>
  <si>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</si>
  <si>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</si>
  <si>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</si>
  <si>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</si>
  <si>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</si>
  <si>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</si>
  <si>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</si>
  <si>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</si>
  <si>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</si>
  <si>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</si>
  <si>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</si>
  <si>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</si>
  <si>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</si>
  <si>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</si>
  <si>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</si>
  <si>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</si>
  <si>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</si>
  <si>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</si>
  <si>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</si>
  <si>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</si>
  <si>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</si>
  <si>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</si>
  <si>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</si>
  <si>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</si>
  <si>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</si>
  <si>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</si>
  <si>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</si>
  <si>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</si>
  <si>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</si>
  <si>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</si>
  <si>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</si>
  <si>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</si>
  <si>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</si>
  <si>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</si>
  <si>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</si>
  <si>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</si>
  <si>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</si>
  <si>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</si>
  <si>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</si>
  <si>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</si>
  <si>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</si>
  <si>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</si>
  <si>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</si>
  <si>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</si>
  <si>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</si>
  <si>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</si>
  <si>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</si>
  <si>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</si>
  <si>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</si>
  <si>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</si>
  <si>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</si>
  <si>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</si>
  <si>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</si>
  <si>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</si>
  <si>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</si>
  <si>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</si>
  <si>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</si>
  <si>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</si>
  <si>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</si>
  <si>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</si>
  <si>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</si>
  <si>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</si>
  <si>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</si>
  <si>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</si>
  <si>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</si>
  <si>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</si>
  <si>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</si>
  <si>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</si>
  <si>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</si>
  <si>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</si>
  <si>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</si>
  <si>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</si>
  <si>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</si>
  <si>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</si>
  <si>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</si>
  <si>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</si>
  <si>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</si>
  <si>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</si>
  <si>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</si>
  <si>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</si>
  <si>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</si>
  <si>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</si>
  <si>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</si>
  <si>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</si>
  <si>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</si>
  <si>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</si>
  <si>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</si>
  <si>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</si>
  <si>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</si>
  <si>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</si>
  <si>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</si>
  <si>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</si>
  <si>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</si>
  <si>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</si>
  <si>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</si>
  <si>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</si>
  <si>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</si>
  <si>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</si>
  <si>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</si>
  <si>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</si>
  <si>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</si>
  <si>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</si>
  <si>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</si>
  <si>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</si>
  <si>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</si>
  <si>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</si>
  <si>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</si>
  <si>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</si>
  <si>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</si>
  <si>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</si>
  <si>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</si>
  <si>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</si>
  <si>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</si>
  <si>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</si>
  <si>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</si>
  <si>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</si>
  <si>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</si>
  <si>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</si>
  <si>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</si>
  <si>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</si>
  <si>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</si>
  <si>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</si>
  <si>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</si>
  <si>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</si>
  <si>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</si>
  <si>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</si>
  <si>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</si>
  <si>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</si>
  <si>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</si>
  <si>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</si>
  <si>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</si>
  <si>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</si>
  <si>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</si>
  <si>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</si>
  <si>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</si>
  <si>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</si>
  <si>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</si>
  <si>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</si>
  <si>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</si>
  <si>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</si>
  <si>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</si>
  <si>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</si>
  <si>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</si>
  <si>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</si>
  <si>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</si>
  <si>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</si>
  <si>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</si>
  <si>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</si>
  <si>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</si>
  <si>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</si>
  <si>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</si>
  <si>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</si>
  <si>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</si>
  <si>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</si>
  <si>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</si>
  <si>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</si>
  <si>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</si>
  <si>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</si>
  <si>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</si>
  <si>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</si>
  <si>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</si>
  <si>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</si>
  <si>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</si>
  <si>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</si>
  <si>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</si>
  <si>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</si>
  <si>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</si>
  <si>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</si>
  <si>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</si>
  <si>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</si>
  <si>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</si>
  <si>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</si>
  <si>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</si>
  <si>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</si>
  <si>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</si>
  <si>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</si>
  <si>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</si>
  <si>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</si>
  <si>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</si>
  <si>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</si>
  <si>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</si>
  <si>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</si>
  <si>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</si>
  <si>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</si>
  <si>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</si>
  <si>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</si>
  <si>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</si>
  <si>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</si>
  <si>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</si>
  <si>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</si>
  <si>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</si>
  <si>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</si>
  <si>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</si>
  <si>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</si>
  <si>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</si>
  <si>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</si>
  <si>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</si>
  <si>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</si>
  <si>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</si>
  <si>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</si>
  <si>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</si>
  <si>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</si>
  <si>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</si>
  <si>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</si>
  <si>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</si>
  <si>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</si>
  <si>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</si>
  <si>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</si>
  <si>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</si>
  <si>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</si>
  <si>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</si>
  <si>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</si>
  <si>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</si>
  <si>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</si>
  <si>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</si>
  <si>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</si>
  <si>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</si>
  <si>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</si>
  <si>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</si>
  <si>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</si>
  <si>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</si>
  <si>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</si>
  <si>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</si>
  <si>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</si>
  <si>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</si>
  <si>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</si>
  <si>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</si>
  <si>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</si>
  <si>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</si>
  <si>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</si>
  <si>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</si>
  <si>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</si>
  <si>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</si>
  <si>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</si>
  <si>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</si>
  <si>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</si>
  <si>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</si>
  <si>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</si>
  <si>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</si>
  <si>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</si>
  <si>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</si>
  <si>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</si>
  <si>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</si>
  <si>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</si>
  <si>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</si>
  <si>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</si>
  <si>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</si>
  <si>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</si>
  <si>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</si>
  <si>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</si>
  <si>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</si>
  <si>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</si>
  <si>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</si>
  <si>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</si>
  <si>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</si>
  <si>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</si>
  <si>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</si>
  <si>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</si>
  <si>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</si>
  <si>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</si>
  <si>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</si>
  <si>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</si>
  <si>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</si>
  <si>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</si>
  <si>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</si>
  <si>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</si>
  <si>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</si>
  <si>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</si>
  <si>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</si>
  <si>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</si>
  <si>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</si>
  <si>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</si>
  <si>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</si>
  <si>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</si>
  <si>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</si>
  <si>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</si>
  <si>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</si>
  <si>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</si>
  <si>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</si>
  <si>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</si>
  <si>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</si>
  <si>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</si>
  <si>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</si>
  <si>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</si>
  <si>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</si>
  <si>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</si>
  <si>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</si>
  <si>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</si>
  <si>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</si>
  <si>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</si>
  <si>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</si>
  <si>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</si>
  <si>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</si>
  <si>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</si>
  <si>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</si>
  <si>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</si>
  <si>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</si>
  <si>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</si>
  <si>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</si>
  <si>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</si>
  <si>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</si>
  <si>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</si>
  <si>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</si>
  <si>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</si>
  <si>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</si>
  <si>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</si>
  <si>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</si>
  <si>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</si>
  <si>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</si>
  <si>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</si>
  <si>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</si>
  <si>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</si>
  <si>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</si>
  <si>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</si>
  <si>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</si>
  <si>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</si>
  <si>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</si>
  <si>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</si>
  <si>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</si>
  <si>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</si>
  <si>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</si>
  <si>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</si>
  <si>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</si>
  <si>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</si>
  <si>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</si>
  <si>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</si>
  <si>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</si>
  <si>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</si>
  <si>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</si>
  <si>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</si>
  <si>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</si>
  <si>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</si>
  <si>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</si>
  <si>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</si>
  <si>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</si>
  <si>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</si>
  <si>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</si>
  <si>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</si>
  <si>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</si>
  <si>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</si>
  <si>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</si>
  <si>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</si>
  <si>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</si>
  <si>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</si>
  <si>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</si>
  <si>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</si>
  <si>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</si>
  <si>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</si>
  <si>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</si>
  <si>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</si>
  <si>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</si>
  <si>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</si>
  <si>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</si>
  <si>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</si>
  <si>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</si>
  <si>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</si>
  <si>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</si>
  <si>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</si>
  <si>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</si>
  <si>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</si>
  <si>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</si>
  <si>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</si>
  <si>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</si>
  <si>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</si>
  <si>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</si>
  <si>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</si>
  <si>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</si>
  <si>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</si>
  <si>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</si>
  <si>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</si>
  <si>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</si>
  <si>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</si>
  <si>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</si>
  <si>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</si>
  <si>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</si>
  <si>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</si>
  <si>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</si>
  <si>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</si>
  <si>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</si>
  <si>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</si>
  <si>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</si>
  <si>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</si>
  <si>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</si>
  <si>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</si>
  <si>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</si>
  <si>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</si>
  <si>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</si>
  <si>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</si>
  <si>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</si>
  <si>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</si>
  <si>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</si>
  <si>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</si>
  <si>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</si>
  <si>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</si>
  <si>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</si>
  <si>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</si>
  <si>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</si>
  <si>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</si>
  <si>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</si>
  <si>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</si>
  <si>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</si>
  <si>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</si>
  <si>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</si>
  <si>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</si>
  <si>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</si>
  <si>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</si>
  <si>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</si>
  <si>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</si>
  <si>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</si>
  <si>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</si>
  <si>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</si>
  <si>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</si>
  <si>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</si>
  <si>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</si>
  <si>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</si>
  <si>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</si>
  <si>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</si>
  <si>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</si>
  <si>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</si>
  <si>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</si>
  <si>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</si>
  <si>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</si>
  <si>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</si>
  <si>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</si>
  <si>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</si>
  <si>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</si>
  <si>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</si>
  <si>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</si>
  <si>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</si>
  <si>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</si>
  <si>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</si>
  <si>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</si>
  <si>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</si>
  <si>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</si>
  <si>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</si>
  <si>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</si>
  <si>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</si>
  <si>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</si>
  <si>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</si>
  <si>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</si>
  <si>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</si>
  <si>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</si>
  <si>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</si>
  <si>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</si>
  <si>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</si>
  <si>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</si>
  <si>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</si>
  <si>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</si>
  <si>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</si>
  <si>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</si>
  <si>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</si>
  <si>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</si>
  <si>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</si>
  <si>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</si>
  <si>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</si>
  <si>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</si>
  <si>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</si>
  <si>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</si>
  <si>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</si>
  <si>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</si>
  <si>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</si>
  <si>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</si>
  <si>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</si>
  <si>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</si>
  <si>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</si>
  <si>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</si>
  <si>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</si>
  <si>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</si>
  <si>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</si>
  <si>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</si>
  <si>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</si>
  <si>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</si>
  <si>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</si>
  <si>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</si>
  <si>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</si>
  <si>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</si>
  <si>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</si>
  <si>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</si>
  <si>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</si>
  <si>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</si>
  <si>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</si>
  <si>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</si>
  <si>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</si>
  <si>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</si>
  <si>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</si>
  <si>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</si>
  <si>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</si>
  <si>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</si>
  <si>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</si>
  <si>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</si>
  <si>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</si>
  <si>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</si>
  <si>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</si>
  <si>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</si>
  <si>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</si>
  <si>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</si>
  <si>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</si>
  <si>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</si>
  <si>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</si>
  <si>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</si>
  <si>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</si>
  <si>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</si>
  <si>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</si>
  <si>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</si>
  <si>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</si>
  <si>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</si>
  <si>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</si>
  <si>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</si>
  <si>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</si>
  <si>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</si>
  <si>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</si>
  <si>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</si>
  <si>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</si>
  <si>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</si>
  <si>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</si>
  <si>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</si>
  <si>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</si>
  <si>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</si>
  <si>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</si>
  <si>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</si>
  <si>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</si>
  <si>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</si>
  <si>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</si>
  <si>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</si>
  <si>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</si>
  <si>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</si>
  <si>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</si>
  <si>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</si>
  <si>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</si>
  <si>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</si>
  <si>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</si>
  <si>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</si>
  <si>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</si>
  <si>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</si>
  <si>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</si>
  <si>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</si>
  <si>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</si>
  <si>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</si>
  <si>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</si>
  <si>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</si>
  <si>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</si>
  <si>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</si>
  <si>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</si>
  <si>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</si>
  <si>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</si>
  <si>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</si>
  <si>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</si>
  <si>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</si>
  <si>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</si>
  <si>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</si>
  <si>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</si>
  <si>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</si>
  <si>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</si>
  <si>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</si>
  <si>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</si>
  <si>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</si>
  <si>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</si>
  <si>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</si>
  <si>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</si>
  <si>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</si>
  <si>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</si>
  <si>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</si>
  <si>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</si>
  <si>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</si>
  <si>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</si>
  <si>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</si>
  <si>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</si>
  <si>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</si>
  <si>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</si>
  <si>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</si>
  <si>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</si>
  <si>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</si>
  <si>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</si>
  <si>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</si>
  <si>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</si>
  <si>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</si>
  <si>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</si>
  <si>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</si>
  <si>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</si>
  <si>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</si>
  <si>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</si>
  <si>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</si>
  <si>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</si>
  <si>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</si>
  <si>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</si>
  <si>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</si>
  <si>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</si>
  <si>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</si>
  <si>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</si>
  <si>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</si>
  <si>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</si>
  <si>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</si>
  <si>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</si>
  <si>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</si>
  <si>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</si>
  <si>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</si>
  <si>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</si>
  <si>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</si>
  <si>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</si>
  <si>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</si>
  <si>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</si>
  <si>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</si>
  <si>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</si>
  <si>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</si>
  <si>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</si>
  <si>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</si>
  <si>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</si>
  <si>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</si>
  <si>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</si>
  <si>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</si>
  <si>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</si>
  <si>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</si>
  <si>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</si>
  <si>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</si>
  <si>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</si>
  <si>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</si>
  <si>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</si>
  <si>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</si>
  <si>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</si>
  <si>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</si>
  <si>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</si>
  <si>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</si>
  <si>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</si>
  <si>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</si>
  <si>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</si>
  <si>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</si>
  <si>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</si>
  <si>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</si>
  <si>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</si>
  <si>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</si>
  <si>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</si>
  <si>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</si>
  <si>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</si>
  <si>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</si>
  <si>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</si>
  <si>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</si>
  <si>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</si>
  <si>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</si>
  <si>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</si>
  <si>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</si>
  <si>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</si>
  <si>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</si>
  <si>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</si>
  <si>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</si>
  <si>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</si>
  <si>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</si>
  <si>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</si>
  <si>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</si>
  <si>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</si>
  <si>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</si>
  <si>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</si>
  <si>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</si>
  <si>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</si>
  <si>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</si>
  <si>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</si>
  <si>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</si>
  <si>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</si>
  <si>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</si>
  <si>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</si>
  <si>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</si>
  <si>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</si>
  <si>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</si>
  <si>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</si>
  <si>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</si>
  <si>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</si>
  <si>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</si>
  <si>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</si>
  <si>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</si>
  <si>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</si>
  <si>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</si>
  <si>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</si>
  <si>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</si>
  <si>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</si>
  <si>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</si>
  <si>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</si>
  <si>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</si>
  <si>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</si>
  <si>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</si>
  <si>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</si>
  <si>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</si>
  <si>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</si>
  <si>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</si>
  <si>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</si>
  <si>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</si>
  <si>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</si>
  <si>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</si>
  <si>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</si>
  <si>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</si>
  <si>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</si>
  <si>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</si>
  <si>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</si>
  <si>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</si>
  <si>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</si>
  <si>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</si>
  <si>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</si>
  <si>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</si>
  <si>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</si>
  <si>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</si>
  <si>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</si>
  <si>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</si>
  <si>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</si>
  <si>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</si>
  <si>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</si>
  <si>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</si>
  <si>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</si>
  <si>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</si>
  <si>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</si>
  <si>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</si>
  <si>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</si>
  <si>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</si>
  <si>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</si>
  <si>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</si>
  <si>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</si>
  <si>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</si>
  <si>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</si>
  <si>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</si>
  <si>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</si>
  <si>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</si>
  <si>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</si>
  <si>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</si>
  <si>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</si>
  <si>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</si>
  <si>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</si>
  <si>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</si>
  <si>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</si>
  <si>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</si>
  <si>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</si>
  <si>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</si>
  <si>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</si>
  <si>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</si>
  <si>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</si>
  <si>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</si>
  <si>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</si>
  <si>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</si>
  <si>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</si>
  <si>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</si>
  <si>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</si>
  <si>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</si>
  <si>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</si>
  <si>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</si>
  <si>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</si>
  <si>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</si>
  <si>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</si>
  <si>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</si>
  <si>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</si>
  <si>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</si>
  <si>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</si>
  <si>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</si>
  <si>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</si>
  <si>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</si>
  <si>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</si>
  <si>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</si>
  <si>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</si>
  <si>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</si>
  <si>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</si>
  <si>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</si>
  <si>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</si>
  <si>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</si>
  <si>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</si>
  <si>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</si>
  <si>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</si>
  <si>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</si>
  <si>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</si>
  <si>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</si>
  <si>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</si>
  <si>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</si>
  <si>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</si>
  <si>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</si>
  <si>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</si>
  <si>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</si>
  <si>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</si>
  <si>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</si>
  <si>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</si>
  <si>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</si>
  <si>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</si>
  <si>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</si>
  <si>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</si>
  <si>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</si>
  <si>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</si>
  <si>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</si>
  <si>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</si>
  <si>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</si>
  <si>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</si>
  <si>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</si>
  <si>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</si>
  <si>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</si>
  <si>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</si>
  <si>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</si>
  <si>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</si>
  <si>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</si>
  <si>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</si>
  <si>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</si>
  <si>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</si>
  <si>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</si>
  <si>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</si>
  <si>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</si>
  <si>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</si>
  <si>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</si>
  <si>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</si>
  <si>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</si>
  <si>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</si>
  <si>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</si>
  <si>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</si>
  <si>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</si>
  <si>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</si>
  <si>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</si>
  <si>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</si>
  <si>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</si>
  <si>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</si>
  <si>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</si>
  <si>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</si>
  <si>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</si>
  <si>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</si>
  <si>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</si>
  <si>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</si>
  <si>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</si>
  <si>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</si>
  <si>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</si>
  <si>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</si>
  <si>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</si>
  <si>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</si>
  <si>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</si>
  <si>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</si>
  <si>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</si>
  <si>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</si>
  <si>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</si>
  <si>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</si>
  <si>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</si>
  <si>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</si>
  <si>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</si>
  <si>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</si>
  <si>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</si>
  <si>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</si>
  <si>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</si>
  <si>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</si>
  <si>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</si>
  <si>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</si>
  <si>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</si>
  <si>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</si>
  <si>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</si>
  <si>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</si>
  <si>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</si>
  <si>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</si>
  <si>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</si>
  <si>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</si>
  <si>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</si>
  <si>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</si>
  <si>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</si>
  <si>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</si>
  <si>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</si>
  <si>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</si>
  <si>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</si>
  <si>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</si>
  <si>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</si>
  <si>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</si>
  <si>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</si>
  <si>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</si>
  <si>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</si>
  <si>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</si>
  <si>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</si>
  <si>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</si>
  <si>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</si>
  <si>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</si>
  <si>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</si>
  <si>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</si>
  <si>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</si>
  <si>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</si>
  <si>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</si>
  <si>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</si>
  <si>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</si>
  <si>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</si>
  <si>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</si>
  <si>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</si>
  <si>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</si>
  <si>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</si>
  <si>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</si>
  <si>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</si>
  <si>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</si>
  <si>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</si>
  <si>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</si>
  <si>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</si>
  <si>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</si>
  <si>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</si>
  <si>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</si>
  <si>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</si>
  <si>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</si>
  <si>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</si>
  <si>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</si>
  <si>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</si>
  <si>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</si>
  <si>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</si>
  <si>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</si>
  <si>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</si>
  <si>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</si>
  <si>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</si>
  <si>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</si>
  <si>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</si>
  <si>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</si>
  <si>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</si>
  <si>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</si>
  <si>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</si>
  <si>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</si>
  <si>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</si>
  <si>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</si>
  <si>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</si>
  <si>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</si>
  <si>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</si>
  <si>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</si>
  <si>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</si>
  <si>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</si>
  <si>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</si>
  <si>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</si>
  <si>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</si>
  <si>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</si>
  <si>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</si>
  <si>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</si>
  <si>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</si>
  <si>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</si>
  <si>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</si>
  <si>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</si>
  <si>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</si>
  <si>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</si>
  <si>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</si>
  <si>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</si>
  <si>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</si>
  <si>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</si>
  <si>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</si>
  <si>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</si>
  <si>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</si>
  <si>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</si>
  <si>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</si>
  <si>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</si>
  <si>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</si>
  <si>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</si>
  <si>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</si>
  <si>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</si>
  <si>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</si>
  <si>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</si>
  <si>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</si>
  <si>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</si>
  <si>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</si>
  <si>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</si>
  <si>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</si>
  <si>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</si>
  <si>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</si>
  <si>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</si>
  <si>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</si>
  <si>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</si>
  <si>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</si>
  <si>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</si>
  <si>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</si>
  <si>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</si>
  <si>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</si>
  <si>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</si>
  <si>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</si>
  <si>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</si>
  <si>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</si>
  <si>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</si>
  <si>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</si>
  <si>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</si>
  <si>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</si>
  <si>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</si>
  <si>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</si>
  <si>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</si>
  <si>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</si>
  <si>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</si>
  <si>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</si>
  <si>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</si>
  <si>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</si>
  <si>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</si>
  <si>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</si>
  <si>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</si>
  <si>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</si>
  <si>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</si>
  <si>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</si>
  <si>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</si>
  <si>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</si>
  <si>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</si>
  <si>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</si>
  <si>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</si>
  <si>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</si>
  <si>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</si>
  <si>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</si>
  <si>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</si>
  <si>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</si>
  <si>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</si>
  <si>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</si>
  <si>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</si>
  <si>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</si>
  <si>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</si>
  <si>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</si>
  <si>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</si>
  <si>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</si>
  <si>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</si>
  <si>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</si>
  <si>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</si>
  <si>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</si>
  <si>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</si>
  <si>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</si>
  <si>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</si>
  <si>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</si>
  <si>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</si>
  <si>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</si>
  <si>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</si>
  <si>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</si>
  <si>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</si>
  <si>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</si>
  <si>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</si>
  <si>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</si>
  <si>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</si>
  <si>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</si>
  <si>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</si>
  <si>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</si>
  <si>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</si>
  <si>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</si>
  <si>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</si>
  <si>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</si>
  <si>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</si>
  <si>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</si>
  <si>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</si>
  <si>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</si>
  <si>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</si>
  <si>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</si>
  <si>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</si>
  <si>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</si>
  <si>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</si>
  <si>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</si>
  <si>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</si>
  <si>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</si>
  <si>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</si>
  <si>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</si>
  <si>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</si>
  <si>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</si>
  <si>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</si>
  <si>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</si>
  <si>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</si>
  <si>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</si>
  <si>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</si>
  <si>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</si>
  <si>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</si>
  <si>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</si>
  <si>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</si>
  <si>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</si>
  <si>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</si>
  <si>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</si>
  <si>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</si>
  <si>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</si>
  <si>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</si>
  <si>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</si>
  <si>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</si>
  <si>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</si>
  <si>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</si>
  <si>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</si>
  <si>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</si>
  <si>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</si>
  <si>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</si>
  <si>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</si>
  <si>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</si>
  <si>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</si>
  <si>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</si>
  <si>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</si>
  <si>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</si>
  <si>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</si>
  <si>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</si>
  <si>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</si>
  <si>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</si>
  <si>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</si>
  <si>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</si>
  <si>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</si>
  <si>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</si>
  <si>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</si>
  <si>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</si>
  <si>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</si>
  <si>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</si>
  <si>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</si>
  <si>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</si>
  <si>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</si>
  <si>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</si>
  <si>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</si>
  <si>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</si>
  <si>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</si>
  <si>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</si>
  <si>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</si>
  <si>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</si>
  <si>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</si>
  <si>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</si>
  <si>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</si>
  <si>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</si>
  <si>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</si>
  <si>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</si>
  <si>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</si>
  <si>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</si>
  <si>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</si>
  <si>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</si>
  <si>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</si>
  <si>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</si>
  <si>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</si>
  <si>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</si>
  <si>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</si>
  <si>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</si>
  <si>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</si>
  <si>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</si>
  <si>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</si>
  <si>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</si>
  <si>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</si>
  <si>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</si>
  <si>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</si>
  <si>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</si>
  <si>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</si>
  <si>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</si>
  <si>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</si>
  <si>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</si>
  <si>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</si>
  <si>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</si>
  <si>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</si>
  <si>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</si>
  <si>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</si>
  <si>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</si>
  <si>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</si>
  <si>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</si>
  <si>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</si>
  <si>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</si>
  <si>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</si>
  <si>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</si>
  <si>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</si>
  <si>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</si>
  <si>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</si>
  <si>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</si>
  <si>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</si>
  <si>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</si>
  <si>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</si>
  <si>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</si>
  <si>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</si>
  <si>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</si>
  <si>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</si>
  <si>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</si>
  <si>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</si>
  <si>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</si>
  <si>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</si>
  <si>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</si>
  <si>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</si>
  <si>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</si>
  <si>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</si>
  <si>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</si>
  <si>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</si>
  <si>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</si>
  <si>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</si>
  <si>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</si>
  <si>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</si>
  <si>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</si>
  <si>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</si>
  <si>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</si>
  <si>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</si>
  <si>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</si>
  <si>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</si>
  <si>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</si>
  <si>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</si>
  <si>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</si>
  <si>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</si>
  <si>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</si>
  <si>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</si>
  <si>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</si>
  <si>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</si>
  <si>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</si>
  <si>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</si>
  <si>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</si>
  <si>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</si>
  <si>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</si>
  <si>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</si>
  <si>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</si>
  <si>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</si>
  <si>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</si>
  <si>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</si>
  <si>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</si>
  <si>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</si>
  <si>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</si>
  <si>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</si>
  <si>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</si>
  <si>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</si>
  <si>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</si>
  <si>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</si>
  <si>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</si>
  <si>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</si>
  <si>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</si>
  <si>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</si>
  <si>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</si>
  <si>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</si>
  <si>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</si>
  <si>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</si>
  <si>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</si>
  <si>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</si>
  <si>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</si>
  <si>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</si>
  <si>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</si>
  <si>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</si>
  <si>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</si>
  <si>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</si>
  <si>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</si>
  <si>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</si>
  <si>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</si>
  <si>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</si>
  <si>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</si>
  <si>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</si>
  <si>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</si>
  <si>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</si>
  <si>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</si>
  <si>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</si>
  <si>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</si>
  <si>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</si>
  <si>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</si>
  <si>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</si>
  <si>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</si>
  <si>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</si>
  <si>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</si>
  <si>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</si>
  <si>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</si>
  <si>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</si>
  <si>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</si>
  <si>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</si>
  <si>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</si>
  <si>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</si>
  <si>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</si>
  <si>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</si>
  <si>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</si>
  <si>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</si>
  <si>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</si>
  <si>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</si>
  <si>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</si>
  <si>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</si>
  <si>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</si>
  <si>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</si>
  <si>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</si>
  <si>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</si>
  <si>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</si>
  <si>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</si>
  <si>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</si>
  <si>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</si>
  <si>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</si>
  <si>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</si>
  <si>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</si>
  <si>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</si>
  <si>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</si>
  <si>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</si>
  <si>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</si>
  <si>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</si>
  <si>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</si>
  <si>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</si>
  <si>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</si>
  <si>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</si>
  <si>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</si>
  <si>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</si>
  <si>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</si>
  <si>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</si>
  <si>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</si>
  <si>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</si>
  <si>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</si>
  <si>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</si>
  <si>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</si>
  <si>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</si>
  <si>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</si>
  <si>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</si>
  <si>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</si>
  <si>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</si>
  <si>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</si>
  <si>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</si>
  <si>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</si>
  <si>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</si>
  <si>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</si>
  <si>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</si>
  <si>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</si>
  <si>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</si>
  <si>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</si>
  <si>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</si>
  <si>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</si>
  <si>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</si>
  <si>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</si>
  <si>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</si>
  <si>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</si>
  <si>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</si>
  <si>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</si>
  <si>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</si>
  <si>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</si>
  <si>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</si>
  <si>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</si>
  <si>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</si>
  <si>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</si>
  <si>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</si>
  <si>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</si>
  <si>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</si>
  <si>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</si>
  <si>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</si>
  <si>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</si>
  <si>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</si>
  <si>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</si>
  <si>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</si>
  <si>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</si>
  <si>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</si>
  <si>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</si>
  <si>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</si>
  <si>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</si>
  <si>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</si>
  <si>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</si>
  <si>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</si>
  <si>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</si>
  <si>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</si>
  <si>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</si>
  <si>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</si>
  <si>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</si>
  <si>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</si>
  <si>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</si>
  <si>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</si>
  <si>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</si>
  <si>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</si>
  <si>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</si>
  <si>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</si>
  <si>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</si>
  <si>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</si>
  <si>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</si>
  <si>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</si>
  <si>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</si>
  <si>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</si>
  <si>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</si>
  <si>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</si>
  <si>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</si>
  <si>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</si>
  <si>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</si>
  <si>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</si>
  <si>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</si>
  <si>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</si>
  <si>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</si>
  <si>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</si>
  <si>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</si>
  <si>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</si>
  <si>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</si>
  <si>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</si>
  <si>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</si>
  <si>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</si>
  <si>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</si>
  <si>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</si>
  <si>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</si>
  <si>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</si>
  <si>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</si>
  <si>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</si>
  <si>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</si>
  <si>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</si>
  <si>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</si>
  <si>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</si>
  <si>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</si>
  <si>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</si>
  <si>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</si>
  <si>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</si>
  <si>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</si>
  <si>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</si>
  <si>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</si>
  <si>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</si>
  <si>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</si>
  <si>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</si>
  <si>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</si>
  <si>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</si>
  <si>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</si>
  <si>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</si>
  <si>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</si>
  <si>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</si>
  <si>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</si>
  <si>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</si>
  <si>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</si>
  <si>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</si>
  <si>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</si>
  <si>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</si>
  <si>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</si>
  <si>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</si>
  <si>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</si>
  <si>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</si>
  <si>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</si>
  <si>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</si>
  <si>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</si>
  <si>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</si>
  <si>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</si>
  <si>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</si>
  <si>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</si>
  <si>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</si>
  <si>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</si>
  <si>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</si>
  <si>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</si>
  <si>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</si>
  <si>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</si>
  <si>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</si>
  <si>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</si>
  <si>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</si>
  <si>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</si>
  <si>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</si>
  <si>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</si>
  <si>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</si>
  <si>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</si>
  <si>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</si>
  <si>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</si>
  <si>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</si>
  <si>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</si>
  <si>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</si>
  <si>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</si>
  <si>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</si>
  <si>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</si>
  <si>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</si>
  <si>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</si>
  <si>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</si>
  <si>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</si>
  <si>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</si>
  <si>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</si>
  <si>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</si>
  <si>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</si>
  <si>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</si>
  <si>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</si>
  <si>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</si>
  <si>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</si>
  <si>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</si>
  <si>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</si>
  <si>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</si>
  <si>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</si>
  <si>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</si>
  <si>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</si>
  <si>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</si>
  <si>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</si>
  <si>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</si>
  <si>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</si>
  <si>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</si>
  <si>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</si>
  <si>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</si>
  <si>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</si>
  <si>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</si>
  <si>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</si>
  <si>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</si>
  <si>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</si>
  <si>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</si>
  <si>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</si>
  <si>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</si>
  <si>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</si>
  <si>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</si>
  <si>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</si>
  <si>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</si>
  <si>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</si>
  <si>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</si>
  <si>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</si>
  <si>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</si>
  <si>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</si>
  <si>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</si>
  <si>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</si>
  <si>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</si>
  <si>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</si>
  <si>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</si>
  <si>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</si>
  <si>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</si>
  <si>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</si>
  <si>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</si>
  <si>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</si>
  <si>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</si>
  <si>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</si>
  <si>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</si>
  <si>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</si>
  <si>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</si>
  <si>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</si>
  <si>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</si>
  <si>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</si>
  <si>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</si>
  <si>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</si>
  <si>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</si>
  <si>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</si>
  <si>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</si>
  <si>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</si>
  <si>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</si>
  <si>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</si>
  <si>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</si>
  <si>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</si>
  <si>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</si>
  <si>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</si>
  <si>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</si>
  <si>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</si>
  <si>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</si>
  <si>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</si>
  <si>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</si>
  <si>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</si>
  <si>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</si>
  <si>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</si>
  <si>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</si>
  <si>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</si>
  <si>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</si>
  <si>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</si>
  <si>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</si>
  <si>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</si>
  <si>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</si>
  <si>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</si>
  <si>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</si>
  <si>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</si>
  <si>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</si>
  <si>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</si>
  <si>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</si>
  <si>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</si>
  <si>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</si>
  <si>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</si>
  <si>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</si>
  <si>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</si>
  <si>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</si>
  <si>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</si>
  <si>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</si>
  <si>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</si>
  <si>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</si>
  <si>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</si>
  <si>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</si>
  <si>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</si>
  <si>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</si>
  <si>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</si>
  <si>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</si>
  <si>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</si>
  <si>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</si>
  <si>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</si>
  <si>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</si>
  <si>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</si>
  <si>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</si>
  <si>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</si>
  <si>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</si>
  <si>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</si>
  <si>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</si>
  <si>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</si>
  <si>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</si>
  <si>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</si>
  <si>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</si>
  <si>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</si>
  <si>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</si>
  <si>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</si>
  <si>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</si>
  <si>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</si>
  <si>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</si>
  <si>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</si>
  <si>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</si>
  <si>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</si>
  <si>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</si>
  <si>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</si>
  <si>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</si>
  <si>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</si>
  <si>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</si>
  <si>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</si>
  <si>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</si>
  <si>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</si>
  <si>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</si>
  <si>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</si>
  <si>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</si>
  <si>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</si>
  <si>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</si>
  <si>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</si>
  <si>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</si>
  <si>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</si>
  <si>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</si>
  <si>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</si>
  <si>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</si>
  <si>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</si>
  <si>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</si>
  <si>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</si>
  <si>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</si>
  <si>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</si>
  <si>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</si>
  <si>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</si>
  <si>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</si>
  <si>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</si>
  <si>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</si>
  <si>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</si>
  <si>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</si>
  <si>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</si>
  <si>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</si>
  <si>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</si>
  <si>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</si>
  <si>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</si>
  <si>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</si>
  <si>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</si>
  <si>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</si>
  <si>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</si>
  <si>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</si>
  <si>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</si>
  <si>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</si>
  <si>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</si>
  <si>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</si>
  <si>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</si>
  <si>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</si>
  <si>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</si>
  <si>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</si>
  <si>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</si>
  <si>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</si>
  <si>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</si>
  <si>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</si>
  <si>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</si>
  <si>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</si>
  <si>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</si>
  <si>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</si>
  <si>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</si>
  <si>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</si>
  <si>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</si>
  <si>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</si>
  <si>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</si>
  <si>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</si>
  <si>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</si>
  <si>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</si>
  <si>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</si>
  <si>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</si>
  <si>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</si>
  <si>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</si>
  <si>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</si>
  <si>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</si>
  <si>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</si>
  <si>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</si>
  <si>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</si>
  <si>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</si>
  <si>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</si>
  <si>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</si>
  <si>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</si>
  <si>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</si>
  <si>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</si>
  <si>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</si>
  <si>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</si>
  <si>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</si>
  <si>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</si>
  <si>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</si>
  <si>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</si>
  <si>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</si>
  <si>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</si>
  <si>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</si>
  <si>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</si>
  <si>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</si>
  <si>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</si>
  <si>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</si>
  <si>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</si>
  <si>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</si>
  <si>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</si>
  <si>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</si>
  <si>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</si>
  <si>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</si>
  <si>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</si>
  <si>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</si>
  <si>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</si>
  <si>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</si>
  <si>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</si>
  <si>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</si>
  <si>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</si>
  <si>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</si>
  <si>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</si>
  <si>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</si>
  <si>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</si>
  <si>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</si>
  <si>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</si>
  <si>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</si>
  <si>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</si>
  <si>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</si>
  <si>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</si>
  <si>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</si>
  <si>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</si>
  <si>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</si>
  <si>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</si>
  <si>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</si>
  <si>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</si>
  <si>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</si>
  <si>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</si>
  <si>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</si>
  <si>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</si>
  <si>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</si>
  <si>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</si>
  <si>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</si>
  <si>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</si>
  <si>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</si>
  <si>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</si>
  <si>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</si>
  <si>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</si>
  <si>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</si>
  <si>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</si>
  <si>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</si>
  <si>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</si>
  <si>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</si>
  <si>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</si>
  <si>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</si>
  <si>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</si>
  <si>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</si>
  <si>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</si>
  <si>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</si>
  <si>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</si>
  <si>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</si>
  <si>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</si>
  <si>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</si>
  <si>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</si>
  <si>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</si>
  <si>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</si>
  <si>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</si>
  <si>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</si>
  <si>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</si>
  <si>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</si>
  <si>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</si>
  <si>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</si>
  <si>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</si>
  <si>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</si>
  <si>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</si>
  <si>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</si>
  <si>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</si>
  <si>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</si>
  <si>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</si>
  <si>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</si>
  <si>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</si>
  <si>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</si>
  <si>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</si>
  <si>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</si>
  <si>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</si>
  <si>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</si>
  <si>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</si>
  <si>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</si>
  <si>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</si>
  <si>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</si>
  <si>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</si>
  <si>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</si>
  <si>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</si>
  <si>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</si>
  <si>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</si>
  <si>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</si>
  <si>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</si>
  <si>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</si>
  <si>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</si>
  <si>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</si>
  <si>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</si>
  <si>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</si>
  <si>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</si>
  <si>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</si>
  <si>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</si>
  <si>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</si>
  <si>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</si>
  <si>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</si>
  <si>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</si>
  <si>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</si>
  <si>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</si>
  <si>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</si>
  <si>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</si>
  <si>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</si>
  <si>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</si>
  <si>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</si>
  <si>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</si>
  <si>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</si>
  <si>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</si>
  <si>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</si>
  <si>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</si>
  <si>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</si>
  <si>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</si>
  <si>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</si>
  <si>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</si>
  <si>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</si>
  <si>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</si>
  <si>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</si>
  <si>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</si>
  <si>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</si>
  <si>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</si>
  <si>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</si>
  <si>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</si>
  <si>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</si>
  <si>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</si>
  <si>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</si>
  <si>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</si>
  <si>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</si>
  <si>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</si>
  <si>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</si>
  <si>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</si>
  <si>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</si>
  <si>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</si>
  <si>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</si>
  <si>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</si>
  <si>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</si>
  <si>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</si>
  <si>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</si>
  <si>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</si>
  <si>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</si>
  <si>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</si>
  <si>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</si>
  <si>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</si>
  <si>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</si>
  <si>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</si>
  <si>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</si>
  <si>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</si>
  <si>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</si>
  <si>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</si>
  <si>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</si>
  <si>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</si>
  <si>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</si>
  <si>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</si>
  <si>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</si>
  <si>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</si>
  <si>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</si>
  <si>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</si>
  <si>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</si>
  <si>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</si>
  <si>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</si>
  <si>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</si>
  <si>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</si>
  <si>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</si>
  <si>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</si>
  <si>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</si>
  <si>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</si>
  <si>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</si>
  <si>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</si>
  <si>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</si>
  <si>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</si>
  <si>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</si>
  <si>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</si>
  <si>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</si>
  <si>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</si>
  <si>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</si>
  <si>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</si>
  <si>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</si>
  <si>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</si>
  <si>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</si>
  <si>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</si>
  <si>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</si>
  <si>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</si>
  <si>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</si>
  <si>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</si>
  <si>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</si>
  <si>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</si>
  <si>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</si>
  <si>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</si>
  <si>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</si>
  <si>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</si>
  <si>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</si>
  <si>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</si>
  <si>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</si>
  <si>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</si>
  <si>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</si>
  <si>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</si>
  <si>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</si>
  <si>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</si>
  <si>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</si>
  <si>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</si>
  <si>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</si>
  <si>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</si>
  <si>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</si>
  <si>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</si>
  <si>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</si>
  <si>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</si>
  <si>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</si>
  <si>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</si>
  <si>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</si>
  <si>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</si>
  <si>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</si>
  <si>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</si>
  <si>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</si>
  <si>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</si>
  <si>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</si>
  <si>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</si>
  <si>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</si>
  <si>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</si>
  <si>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</si>
  <si>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</si>
  <si>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</si>
  <si>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</si>
  <si>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</si>
  <si>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</si>
  <si>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</si>
  <si>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</si>
  <si>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</si>
  <si>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</si>
  <si>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</si>
  <si>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</si>
  <si>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</si>
  <si>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</si>
  <si>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</si>
  <si>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</si>
  <si>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</si>
  <si>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</si>
  <si>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</si>
  <si>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</si>
  <si>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</si>
  <si>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</si>
  <si>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</si>
  <si>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</si>
  <si>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</si>
  <si>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</si>
  <si>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</si>
  <si>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</si>
  <si>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</si>
  <si>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</si>
  <si>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</si>
  <si>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</si>
  <si>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</si>
  <si>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</si>
  <si>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</si>
  <si>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</si>
  <si>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</si>
  <si>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</si>
  <si>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</si>
  <si>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</si>
  <si>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</si>
  <si>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</si>
  <si>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</si>
  <si>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</si>
  <si>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</si>
  <si>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</si>
  <si>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</si>
  <si>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</si>
  <si>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</si>
  <si>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</si>
  <si>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</si>
  <si>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</si>
  <si>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</si>
  <si>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</si>
  <si>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</si>
  <si>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</si>
  <si>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</si>
  <si>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</si>
  <si>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</si>
  <si>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</si>
  <si>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</si>
  <si>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</si>
  <si>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</si>
  <si>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</si>
  <si>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</si>
  <si>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</si>
  <si>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</si>
  <si>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</si>
  <si>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</si>
  <si>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</si>
  <si>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</si>
  <si>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</si>
  <si>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</si>
  <si>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</si>
  <si>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</si>
  <si>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</si>
  <si>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</si>
  <si>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</si>
  <si>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</si>
  <si>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</si>
  <si>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</si>
  <si>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</si>
  <si>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</si>
  <si>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</si>
  <si>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</si>
  <si>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</si>
  <si>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</si>
  <si>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</si>
  <si>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</si>
  <si>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</si>
  <si>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</si>
  <si>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</si>
  <si>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</si>
  <si>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</si>
  <si>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</si>
  <si>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</si>
  <si>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</si>
  <si>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</si>
  <si>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</si>
  <si>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</si>
  <si>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</si>
  <si>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</si>
  <si>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</si>
  <si>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</si>
  <si>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</si>
  <si>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</si>
  <si>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</si>
  <si>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</si>
  <si>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</si>
  <si>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</si>
  <si>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</si>
  <si>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</si>
  <si>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</si>
  <si>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</si>
  <si>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</si>
  <si>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</si>
  <si>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</si>
  <si>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</si>
  <si>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</si>
  <si>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</si>
  <si>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</si>
  <si>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</si>
  <si>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</si>
  <si>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</si>
  <si>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</si>
  <si>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</si>
  <si>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</si>
  <si>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</si>
  <si>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</si>
  <si>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</si>
  <si>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</si>
  <si>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</si>
  <si>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</si>
  <si>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</si>
  <si>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</si>
  <si>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</si>
  <si>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</si>
  <si>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</si>
  <si>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</si>
  <si>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</si>
  <si>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</si>
  <si>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</si>
  <si>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</si>
  <si>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</si>
  <si>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</si>
  <si>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</si>
  <si>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</si>
  <si>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</si>
  <si>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</si>
  <si>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</si>
  <si>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</si>
  <si>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</si>
  <si>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</si>
  <si>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</si>
  <si>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</si>
  <si>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</si>
  <si>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</si>
  <si>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</si>
  <si>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</si>
  <si>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</si>
  <si>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</si>
  <si>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</si>
  <si>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</si>
  <si>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</si>
  <si>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</si>
  <si>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</si>
  <si>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</si>
  <si>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</si>
  <si>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</si>
  <si>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</si>
  <si>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</si>
  <si>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</si>
  <si>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</si>
  <si>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</si>
  <si>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</si>
  <si>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</si>
  <si>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</si>
  <si>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</si>
  <si>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</si>
  <si>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</si>
  <si>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</si>
  <si>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</si>
  <si>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</si>
  <si>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</si>
  <si>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</si>
  <si>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</si>
  <si>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</si>
  <si>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</si>
  <si>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</si>
  <si>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</si>
  <si>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</si>
  <si>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</si>
  <si>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</si>
  <si>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</si>
  <si>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</si>
  <si>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</si>
  <si>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</si>
  <si>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</si>
  <si>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</si>
  <si>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</si>
  <si>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</si>
  <si>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</si>
  <si>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</si>
  <si>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</si>
  <si>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</si>
  <si>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</si>
  <si>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</si>
  <si>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</si>
  <si>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</si>
  <si>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</si>
  <si>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</si>
  <si>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</si>
  <si>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</si>
  <si>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</si>
  <si>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</si>
  <si>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</si>
  <si>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</si>
  <si>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</si>
  <si>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</si>
  <si>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</si>
  <si>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</si>
  <si>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</si>
  <si>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</si>
  <si>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</si>
  <si>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</si>
  <si>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</si>
  <si>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</si>
  <si>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</si>
  <si>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</si>
  <si>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</si>
  <si>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</si>
  <si>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</si>
  <si>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</si>
  <si>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</si>
  <si>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</si>
  <si>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</si>
  <si>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</si>
  <si>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</si>
  <si>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</si>
  <si>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</si>
  <si>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</si>
  <si>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</si>
  <si>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</si>
  <si>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</si>
  <si>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</si>
  <si>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</si>
  <si>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</si>
  <si>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</si>
  <si>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</si>
  <si>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</si>
  <si>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</si>
  <si>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</si>
  <si>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</si>
  <si>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</si>
  <si>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</si>
  <si>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</si>
  <si>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</si>
  <si>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</si>
  <si>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</si>
  <si>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</si>
  <si>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</si>
  <si>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</si>
  <si>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</si>
  <si>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</si>
  <si>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</si>
  <si>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</si>
  <si>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</si>
  <si>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</si>
  <si>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</si>
  <si>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</si>
  <si>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</si>
  <si>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</si>
  <si>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</si>
  <si>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</si>
  <si>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</si>
  <si>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</si>
  <si>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</si>
  <si>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</si>
  <si>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</si>
  <si>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</si>
  <si>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</si>
  <si>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</si>
  <si>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</si>
  <si>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</si>
  <si>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</si>
  <si>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</si>
  <si>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</si>
  <si>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</si>
  <si>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</si>
  <si>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</si>
  <si>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</si>
  <si>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</si>
  <si>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</si>
  <si>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</si>
  <si>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</si>
  <si>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</si>
  <si>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</si>
  <si>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</si>
  <si>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</si>
  <si>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</si>
  <si>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</si>
  <si>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</si>
  <si>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</si>
  <si>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</si>
  <si>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</si>
  <si>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</si>
  <si>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</si>
  <si>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</si>
  <si>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</si>
  <si>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</si>
  <si>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</si>
  <si>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</si>
  <si>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</si>
  <si>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</si>
  <si>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</si>
  <si>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</si>
  <si>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</si>
  <si>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</si>
  <si>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</si>
  <si>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</si>
  <si>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</si>
  <si>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</si>
  <si>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</si>
  <si>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</si>
  <si>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</si>
  <si>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</si>
  <si>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</si>
  <si>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</si>
  <si>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</si>
  <si>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</si>
  <si>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</si>
  <si>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</si>
  <si>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</si>
  <si>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</si>
  <si>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</si>
  <si>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</si>
  <si>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</si>
  <si>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</si>
  <si>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</si>
  <si>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</si>
  <si>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</si>
  <si>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</si>
  <si>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</si>
  <si>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</si>
  <si>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</si>
  <si>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</si>
  <si>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</si>
  <si>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</si>
  <si>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</si>
  <si>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</si>
  <si>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</si>
  <si>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</si>
  <si>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</si>
  <si>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</si>
  <si>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</si>
  <si>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</si>
  <si>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</si>
  <si>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</si>
  <si>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</si>
  <si>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</si>
  <si>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</si>
  <si>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</si>
  <si>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</si>
  <si>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</si>
  <si>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</si>
  <si>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</si>
  <si>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</si>
  <si>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</si>
  <si>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</si>
  <si>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</si>
  <si>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</si>
  <si>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</si>
  <si>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</si>
  <si>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</si>
  <si>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</si>
  <si>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</si>
  <si>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</si>
  <si>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</si>
  <si>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</si>
  <si>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</si>
  <si>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</si>
  <si>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</si>
  <si>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</si>
  <si>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</si>
  <si>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</si>
  <si>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</si>
  <si>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</si>
  <si>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</si>
  <si>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</si>
  <si>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</si>
  <si>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</si>
  <si>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</si>
  <si>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</si>
  <si>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</si>
  <si>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</si>
  <si>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</si>
  <si>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</si>
  <si>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</si>
  <si>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</si>
  <si>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</si>
  <si>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</si>
  <si>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</si>
  <si>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</si>
  <si>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</si>
  <si>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</si>
  <si>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</si>
  <si>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</si>
  <si>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</si>
  <si>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</si>
  <si>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</si>
  <si>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</si>
  <si>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</si>
  <si>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</si>
  <si>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</si>
  <si>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</si>
  <si>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</si>
  <si>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</si>
  <si>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</si>
  <si>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</si>
  <si>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</si>
  <si>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</si>
  <si>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</si>
  <si>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</si>
  <si>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</si>
  <si>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</si>
  <si>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</si>
  <si>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</si>
  <si>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</si>
  <si>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</si>
  <si>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</si>
  <si>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</si>
  <si>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</si>
  <si>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</si>
  <si>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</si>
  <si>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</si>
  <si>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</si>
  <si>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</si>
  <si>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</si>
  <si>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</si>
  <si>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</si>
  <si>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</si>
  <si>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</si>
  <si>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</si>
  <si>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</si>
  <si>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</si>
  <si>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</si>
  <si>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</si>
  <si>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</si>
  <si>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</si>
  <si>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</si>
  <si>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</si>
  <si>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</si>
  <si>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</si>
  <si>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</si>
  <si>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</si>
  <si>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</si>
  <si>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</si>
  <si>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</si>
  <si>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</si>
  <si>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</si>
  <si>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</si>
  <si>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</si>
  <si>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</si>
  <si>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</si>
  <si>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</si>
  <si>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</si>
  <si>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</si>
  <si>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</si>
  <si>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</si>
  <si>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</si>
  <si>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</si>
  <si>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</si>
  <si>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</si>
  <si>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</si>
  <si>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</si>
  <si>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</si>
  <si>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</si>
  <si>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</si>
  <si>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</si>
  <si>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</si>
  <si>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</si>
  <si>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</si>
  <si>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</si>
  <si>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</si>
  <si>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</si>
  <si>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</si>
  <si>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</si>
  <si>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</si>
  <si>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</si>
  <si>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</si>
  <si>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</si>
  <si>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</si>
  <si>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</si>
  <si>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</si>
  <si>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</si>
  <si>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</si>
  <si>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</si>
  <si>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</si>
  <si>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</si>
  <si>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</si>
  <si>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</si>
  <si>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</si>
  <si>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</si>
  <si>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</si>
  <si>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</si>
  <si>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</si>
  <si>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</si>
  <si>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</si>
  <si>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</si>
  <si>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</si>
  <si>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</si>
  <si>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</si>
  <si>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</si>
  <si>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</si>
  <si>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</si>
  <si>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</si>
  <si>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</si>
  <si>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</si>
  <si>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</si>
  <si>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</si>
  <si>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</si>
  <si>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</si>
  <si>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</si>
  <si>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</si>
  <si>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</si>
  <si>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</si>
  <si>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</si>
  <si>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</si>
  <si>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</si>
  <si>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</si>
  <si>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</si>
  <si>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</si>
  <si>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</si>
  <si>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</si>
  <si>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</si>
  <si>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</si>
  <si>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</si>
  <si>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</si>
  <si>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</si>
  <si>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</si>
  <si>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</si>
  <si>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</si>
  <si>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</si>
  <si>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</si>
  <si>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</si>
  <si>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</si>
  <si>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</si>
  <si>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</si>
  <si>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</si>
  <si>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</si>
  <si>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</si>
  <si>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</si>
  <si>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</si>
  <si>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</si>
  <si>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</si>
  <si>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</si>
  <si>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</si>
  <si>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</si>
  <si>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</si>
  <si>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</si>
  <si>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</si>
  <si>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</si>
  <si>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</si>
  <si>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</si>
  <si>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</si>
  <si>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</si>
  <si>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</si>
  <si>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</si>
  <si>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</si>
  <si>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</si>
  <si>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</si>
  <si>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</si>
  <si>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</si>
  <si>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</si>
  <si>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</si>
  <si>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</si>
  <si>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</si>
  <si>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</si>
  <si>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</si>
  <si>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</si>
  <si>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</si>
  <si>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</si>
  <si>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</si>
  <si>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</si>
  <si>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</si>
  <si>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</si>
  <si>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</si>
  <si>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</si>
  <si>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</si>
  <si>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</si>
  <si>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</si>
  <si>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</si>
  <si>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</si>
  <si>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</si>
  <si>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</si>
  <si>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</si>
  <si>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</si>
  <si>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</si>
  <si>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</si>
  <si>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</si>
  <si>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</si>
  <si>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</si>
  <si>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</si>
  <si>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</si>
  <si>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</si>
  <si>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</si>
  <si>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</si>
  <si>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</si>
  <si>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</si>
  <si>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</si>
  <si>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</si>
  <si>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</si>
  <si>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</si>
  <si>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</si>
  <si>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</si>
  <si>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</si>
  <si>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</si>
  <si>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</si>
  <si>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</si>
  <si>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</si>
  <si>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</si>
  <si>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</si>
  <si>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</si>
  <si>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</si>
  <si>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</si>
  <si>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</si>
  <si>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</si>
  <si>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</si>
  <si>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</si>
  <si>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</si>
  <si>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</si>
  <si>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</si>
  <si>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</si>
  <si>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</si>
  <si>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</si>
  <si>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</si>
  <si>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</si>
  <si>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</si>
  <si>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</si>
  <si>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</si>
  <si>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</si>
  <si>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</si>
  <si>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</si>
  <si>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</si>
  <si>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</si>
  <si>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</si>
  <si>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</si>
  <si>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</si>
  <si>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</si>
  <si>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</si>
  <si>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</si>
  <si>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</si>
  <si>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</si>
  <si>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</si>
  <si>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</si>
  <si>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</si>
  <si>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</si>
  <si>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</si>
  <si>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</si>
  <si>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</si>
  <si>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</si>
  <si>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</si>
  <si>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</si>
  <si>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</si>
  <si>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</si>
  <si>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</si>
  <si>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</si>
  <si>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</si>
  <si>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</si>
  <si>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</si>
  <si>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</si>
  <si>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</si>
  <si>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</si>
  <si>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</si>
  <si>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</si>
  <si>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</si>
  <si>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</si>
  <si>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</si>
  <si>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</si>
  <si>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</si>
  <si>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</si>
  <si>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</si>
  <si>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</si>
  <si>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</si>
  <si>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</si>
  <si>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</si>
  <si>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</si>
  <si>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</si>
  <si>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</si>
  <si>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</si>
  <si>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</si>
  <si>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</si>
  <si>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</si>
  <si>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</si>
  <si>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</si>
  <si>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</si>
  <si>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</si>
  <si>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</si>
  <si>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</si>
  <si>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</si>
  <si>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</si>
  <si>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</si>
  <si>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</si>
  <si>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</si>
  <si>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</si>
  <si>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</si>
  <si>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</si>
  <si>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</si>
  <si>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</si>
  <si>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</si>
  <si>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</si>
  <si>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</si>
  <si>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</si>
  <si>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</si>
  <si>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</si>
  <si>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</si>
  <si>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</si>
  <si>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</si>
  <si>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</si>
  <si>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</si>
  <si>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</si>
  <si>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</si>
  <si>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</si>
  <si>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</si>
  <si>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</si>
  <si>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</si>
  <si>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</si>
  <si>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</si>
  <si>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</si>
  <si>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</si>
  <si>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</si>
  <si>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</si>
  <si>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</si>
  <si>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</si>
  <si>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</si>
  <si>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</si>
  <si>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</si>
  <si>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</si>
  <si>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</si>
  <si>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</si>
  <si>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</si>
  <si>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</si>
  <si>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</si>
  <si>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</si>
  <si>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</si>
  <si>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</si>
  <si>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</si>
  <si>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</si>
  <si>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</si>
  <si>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</si>
  <si>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</si>
  <si>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</si>
  <si>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</si>
  <si>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</si>
  <si>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</si>
  <si>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</si>
  <si>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</si>
  <si>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</si>
  <si>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</si>
  <si>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</si>
  <si>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</si>
  <si>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</si>
  <si>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</si>
  <si>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</si>
  <si>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</si>
  <si>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</si>
  <si>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</si>
  <si>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</si>
  <si>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</si>
  <si>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</si>
  <si>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</si>
  <si>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</si>
  <si>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</si>
  <si>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</si>
  <si>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</si>
  <si>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</si>
  <si>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</si>
  <si>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</si>
  <si>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</si>
  <si>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</si>
  <si>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</si>
  <si>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</si>
  <si>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</si>
  <si>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</si>
  <si>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</si>
  <si>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</si>
  <si>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</si>
  <si>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</si>
  <si>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</si>
  <si>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</si>
  <si>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</si>
  <si>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</si>
  <si>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</si>
  <si>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</si>
  <si>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</si>
  <si>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</si>
  <si>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</si>
  <si>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</si>
  <si>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</si>
  <si>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</si>
  <si>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</si>
  <si>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</si>
  <si>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</si>
  <si>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</si>
  <si>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</si>
  <si>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</si>
  <si>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</si>
  <si>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</si>
  <si>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</si>
  <si>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</si>
  <si>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</si>
  <si>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</si>
  <si>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</si>
  <si>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</si>
  <si>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</si>
  <si>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</si>
  <si>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</si>
  <si>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</si>
  <si>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</si>
  <si>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</si>
  <si>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</si>
  <si>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</si>
  <si>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</si>
  <si>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</si>
  <si>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</si>
  <si>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</si>
  <si>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</si>
  <si>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</si>
  <si>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</si>
  <si>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</si>
  <si>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</si>
  <si>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</si>
  <si>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</si>
  <si>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</si>
  <si>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</si>
  <si>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</si>
  <si>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</si>
  <si>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</si>
  <si>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</si>
  <si>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</si>
  <si>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</si>
  <si>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</si>
  <si>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</si>
  <si>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</si>
  <si>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</si>
  <si>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</si>
  <si>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</si>
  <si>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</si>
  <si>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</si>
  <si>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</si>
  <si>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</si>
  <si>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</si>
  <si>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</si>
  <si>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</si>
  <si>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</si>
  <si>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</si>
  <si>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</si>
  <si>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</si>
  <si>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</si>
  <si>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</si>
  <si>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</si>
  <si>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</si>
  <si>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</si>
  <si>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</si>
  <si>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</si>
  <si>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</si>
  <si>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</si>
  <si>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</si>
  <si>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</si>
  <si>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</si>
  <si>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</si>
  <si>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</si>
  <si>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</si>
  <si>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</si>
  <si>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</si>
  <si>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</si>
  <si>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</si>
  <si>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</si>
  <si>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</si>
  <si>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</si>
  <si>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</si>
  <si>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</si>
  <si>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</si>
  <si>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</si>
  <si>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</si>
  <si>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</si>
  <si>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</si>
  <si>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</si>
  <si>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</si>
  <si>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</si>
  <si>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</si>
  <si>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</si>
  <si>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</si>
  <si>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</si>
  <si>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</si>
  <si>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</si>
  <si>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</si>
  <si>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</si>
  <si>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</si>
  <si>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</si>
  <si>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</si>
  <si>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</si>
  <si>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</si>
  <si>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</si>
  <si>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</si>
  <si>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</si>
  <si>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</si>
  <si>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</si>
  <si>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</si>
  <si>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</si>
  <si>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</si>
  <si>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</si>
  <si>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</si>
  <si>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</si>
  <si>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</si>
  <si>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</si>
  <si>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</si>
  <si>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</si>
  <si>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</si>
  <si>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</si>
  <si>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</si>
  <si>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</si>
  <si>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</si>
  <si>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</si>
  <si>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</si>
  <si>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</si>
  <si>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</si>
  <si>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</si>
  <si>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</si>
  <si>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</si>
  <si>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</si>
  <si>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</si>
  <si>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</si>
  <si>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</si>
  <si>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</si>
  <si>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</si>
  <si>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</si>
  <si>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</si>
  <si>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</si>
  <si>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</si>
  <si>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</si>
  <si>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</si>
  <si>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</si>
  <si>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</si>
  <si>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</si>
  <si>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</si>
  <si>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</si>
  <si>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</si>
  <si>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</si>
  <si>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</si>
  <si>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</si>
  <si>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</si>
  <si>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</si>
  <si>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</si>
  <si>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</si>
  <si>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</si>
  <si>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</si>
  <si>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</si>
  <si>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</si>
  <si>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</si>
  <si>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</si>
  <si>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</si>
  <si>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</si>
  <si>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</si>
  <si>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</si>
  <si>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</si>
  <si>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</si>
  <si>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</si>
  <si>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</si>
  <si>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</si>
  <si>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</si>
  <si>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</si>
  <si>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</si>
  <si>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</si>
  <si>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</si>
  <si>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</si>
  <si>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</si>
  <si>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</si>
  <si>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</si>
  <si>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</si>
  <si>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</si>
  <si>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</si>
  <si>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</si>
  <si>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</si>
  <si>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</si>
  <si>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</si>
  <si>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</si>
  <si>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</si>
  <si>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</si>
  <si>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</si>
  <si>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</si>
  <si>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</si>
  <si>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</si>
  <si>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</si>
  <si>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</si>
  <si>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</si>
  <si>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</si>
  <si>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</si>
  <si>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</si>
  <si>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</si>
  <si>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</si>
  <si>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</si>
  <si>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</si>
  <si>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</si>
  <si>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</si>
  <si>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</si>
  <si>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</si>
  <si>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</si>
  <si>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</si>
  <si>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</si>
  <si>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</si>
  <si>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</si>
  <si>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</si>
  <si>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</si>
  <si>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</si>
  <si>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</si>
  <si>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</si>
  <si>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</si>
  <si>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</si>
  <si>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</si>
  <si>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</si>
  <si>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</si>
  <si>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</si>
  <si>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</si>
  <si>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</si>
  <si>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</si>
  <si>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</si>
  <si>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</si>
  <si>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</si>
  <si>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</si>
  <si>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</si>
  <si>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</si>
  <si>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</si>
  <si>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</si>
  <si>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</si>
  <si>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</si>
  <si>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</si>
  <si>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</si>
  <si>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</si>
  <si>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</si>
  <si>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</si>
  <si>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</si>
  <si>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</si>
  <si>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</si>
  <si>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</si>
  <si>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</si>
  <si>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</si>
  <si>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</si>
  <si>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</si>
  <si>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</si>
  <si>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</si>
  <si>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</si>
  <si>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</si>
  <si>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</si>
  <si>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</si>
  <si>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</si>
  <si>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</si>
  <si>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</si>
  <si>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</si>
  <si>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</si>
  <si>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</si>
  <si>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</si>
  <si>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</si>
  <si>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</si>
  <si>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</si>
  <si>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</si>
  <si>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</si>
  <si>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</si>
  <si>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</si>
  <si>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</si>
  <si>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</si>
  <si>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</si>
  <si>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</si>
  <si>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</si>
  <si>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</si>
  <si>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</si>
  <si>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</si>
  <si>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</si>
  <si>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</si>
  <si>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</si>
  <si>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</si>
  <si>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</si>
  <si>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</si>
  <si>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</si>
  <si>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</si>
  <si>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</si>
  <si>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</si>
  <si>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</si>
  <si>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</si>
  <si>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</si>
  <si>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</si>
  <si>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</si>
  <si>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</si>
  <si>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</si>
  <si>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</si>
  <si>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</si>
  <si>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</si>
  <si>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</si>
  <si>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</si>
  <si>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</si>
  <si>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</si>
  <si>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</si>
  <si>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</si>
  <si>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</si>
  <si>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</si>
  <si>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</si>
  <si>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</si>
  <si>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</si>
  <si>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</si>
  <si>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</si>
  <si>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</si>
  <si>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</si>
  <si>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</si>
  <si>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</si>
  <si>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</si>
  <si>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</si>
  <si>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</si>
  <si>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</si>
  <si>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</si>
  <si>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</si>
  <si>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</si>
  <si>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</si>
  <si>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</si>
  <si>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</si>
  <si>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</si>
  <si>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</si>
  <si>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</si>
  <si>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</si>
  <si>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</si>
  <si>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</si>
  <si>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</si>
  <si>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</si>
  <si>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</si>
  <si>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</si>
  <si>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</si>
  <si>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</si>
  <si>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</si>
  <si>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</si>
  <si>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</si>
  <si>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</si>
  <si>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</si>
  <si>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</si>
  <si>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</si>
  <si>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</si>
  <si>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</si>
  <si>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</si>
  <si>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</si>
  <si>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</si>
  <si>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</si>
  <si>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</si>
  <si>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</si>
  <si>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</si>
  <si>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</si>
  <si>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</si>
  <si>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</si>
  <si>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</si>
  <si>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</si>
  <si>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</si>
  <si>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</si>
  <si>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</si>
  <si>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</si>
  <si>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</si>
  <si>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</si>
  <si>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</si>
  <si>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</si>
  <si>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</si>
  <si>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</si>
  <si>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</si>
  <si>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</si>
  <si>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</si>
  <si>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</si>
  <si>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</si>
  <si>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</si>
  <si>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</si>
  <si>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</si>
  <si>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</si>
  <si>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</si>
  <si>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</si>
  <si>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</si>
  <si>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</si>
  <si>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</si>
  <si>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</si>
  <si>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</si>
  <si>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</si>
  <si>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</si>
  <si>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</si>
  <si>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</si>
  <si>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</si>
  <si>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</si>
  <si>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</si>
  <si>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</si>
  <si>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</si>
  <si>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</si>
  <si>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</si>
  <si>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</si>
  <si>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</si>
  <si>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</si>
  <si>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</si>
  <si>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</si>
  <si>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</si>
  <si>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</si>
  <si>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</si>
  <si>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</si>
  <si>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</si>
  <si>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</si>
  <si>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</si>
  <si>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</si>
  <si>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</si>
  <si>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</si>
  <si>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</si>
  <si>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</si>
  <si>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</si>
  <si>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</si>
  <si>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</si>
  <si>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</si>
  <si>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</si>
  <si>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</si>
  <si>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</si>
  <si>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</si>
  <si>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</si>
  <si>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</si>
  <si>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</si>
  <si>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</si>
  <si>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</si>
  <si>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</si>
  <si>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</si>
  <si>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</si>
  <si>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</si>
  <si>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</si>
  <si>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</si>
  <si>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</si>
  <si>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</si>
  <si>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</si>
  <si>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</si>
  <si>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</si>
  <si>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</si>
  <si>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</si>
  <si>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</si>
  <si>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</si>
  <si>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</si>
  <si>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</si>
  <si>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</si>
  <si>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</si>
  <si>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</si>
  <si>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</si>
  <si>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</si>
  <si>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</si>
  <si>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</si>
  <si>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</si>
  <si>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</si>
  <si>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</si>
  <si>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</si>
  <si>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</si>
  <si>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</si>
  <si>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</si>
  <si>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</si>
  <si>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</si>
  <si>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</si>
  <si>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</si>
  <si>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</si>
  <si>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</si>
  <si>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</si>
  <si>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</si>
  <si>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</si>
  <si>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</si>
  <si>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</si>
  <si>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</si>
  <si>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</si>
  <si>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</si>
  <si>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</si>
  <si>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</si>
  <si>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</si>
  <si>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</si>
  <si>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</si>
  <si>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</si>
  <si>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</si>
  <si>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</si>
  <si>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</si>
  <si>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</si>
  <si>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</si>
  <si>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</si>
  <si>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</si>
  <si>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</si>
  <si>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</si>
  <si>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</si>
  <si>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</si>
  <si>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</si>
  <si>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</si>
  <si>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</si>
  <si>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</si>
  <si>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</si>
  <si>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</si>
  <si>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</si>
  <si>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</si>
  <si>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</si>
  <si>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</si>
  <si>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</si>
  <si>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</si>
  <si>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</si>
  <si>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</si>
  <si>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</si>
  <si>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</si>
  <si>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</si>
  <si>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</si>
  <si>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</si>
  <si>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</si>
  <si>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</si>
  <si>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</si>
  <si>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</si>
  <si>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</si>
  <si>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</si>
  <si>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</si>
  <si>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</si>
  <si>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</si>
  <si>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</si>
  <si>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</si>
  <si>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</si>
  <si>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</si>
  <si>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</si>
  <si>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</si>
  <si>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</si>
  <si>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</si>
  <si>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</si>
  <si>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</si>
  <si>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</si>
  <si>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</si>
  <si>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</si>
  <si>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</si>
  <si>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</si>
  <si>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</si>
  <si>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</si>
  <si>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</si>
  <si>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</si>
  <si>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</si>
  <si>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</si>
  <si>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</si>
  <si>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</si>
  <si>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</si>
  <si>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</si>
  <si>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</si>
  <si>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</si>
  <si>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</si>
  <si>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</si>
  <si>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</si>
  <si>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</si>
  <si>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</si>
  <si>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</si>
  <si>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</si>
  <si>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</si>
  <si>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</si>
  <si>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</si>
  <si>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</si>
  <si>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</si>
  <si>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</si>
  <si>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</si>
  <si>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</si>
  <si>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</si>
  <si>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</si>
  <si>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</si>
  <si>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</si>
  <si>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</si>
  <si>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</si>
  <si>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</si>
  <si>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</si>
  <si>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</si>
  <si>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</si>
  <si>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</si>
  <si>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</si>
  <si>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</si>
  <si>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</si>
  <si>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</si>
  <si>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</si>
  <si>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</si>
  <si>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</si>
  <si>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</si>
  <si>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</si>
  <si>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</si>
  <si>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</si>
  <si>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</si>
  <si>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</si>
  <si>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</si>
  <si>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</si>
  <si>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</si>
  <si>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</si>
  <si>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</si>
  <si>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</si>
  <si>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</si>
  <si>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</si>
  <si>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</si>
  <si>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</si>
  <si>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</si>
  <si>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</si>
  <si>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</si>
  <si>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</si>
  <si>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</si>
  <si>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</si>
  <si>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</si>
  <si>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</si>
  <si>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</si>
  <si>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</si>
  <si>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</si>
  <si>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</si>
  <si>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</si>
  <si>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</si>
  <si>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</si>
  <si>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</si>
  <si>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</si>
  <si>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</si>
  <si>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</si>
  <si>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</si>
  <si>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</si>
  <si>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</si>
  <si>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</si>
  <si>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</si>
  <si>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</si>
  <si>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</si>
  <si>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</si>
  <si>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</si>
  <si>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</si>
  <si>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</si>
  <si>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</si>
  <si>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</si>
  <si>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</si>
  <si>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</si>
  <si>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</si>
  <si>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</si>
  <si>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</si>
  <si>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</si>
  <si>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</si>
  <si>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</si>
  <si>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</si>
  <si>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</si>
  <si>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</si>
  <si>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</si>
  <si>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</si>
  <si>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</si>
  <si>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</si>
  <si>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</si>
  <si>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</si>
  <si>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</si>
  <si>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</si>
  <si>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</si>
  <si>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</si>
  <si>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</si>
  <si>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</si>
  <si>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</si>
  <si>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</si>
  <si>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</si>
  <si>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</si>
  <si>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</si>
  <si>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</si>
  <si>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</si>
  <si>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</si>
  <si>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</si>
  <si>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</si>
  <si>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</si>
  <si>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</si>
  <si>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</si>
  <si>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</si>
  <si>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</si>
  <si>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</si>
  <si>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</si>
  <si>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</si>
  <si>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</si>
  <si>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</si>
  <si>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</si>
  <si>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</si>
  <si>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</si>
  <si>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</si>
  <si>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</si>
  <si>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</si>
  <si>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</si>
  <si>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</si>
  <si>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</si>
  <si>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</si>
  <si>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</si>
  <si>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</si>
  <si>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</si>
  <si>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</si>
  <si>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</si>
  <si>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</si>
  <si>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</si>
  <si>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</si>
  <si>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</si>
  <si>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</si>
  <si>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</si>
  <si>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</si>
  <si>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</si>
  <si>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</si>
  <si>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</si>
  <si>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</si>
  <si>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</si>
  <si>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</si>
  <si>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</si>
  <si>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</si>
  <si>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</si>
  <si>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</si>
  <si>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</si>
  <si>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</si>
  <si>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</si>
  <si>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</si>
  <si>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</si>
  <si>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</si>
  <si>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</si>
  <si>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</si>
  <si>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</si>
  <si>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</si>
  <si>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</si>
  <si>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</si>
  <si>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</si>
  <si>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</si>
  <si>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</si>
  <si>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</si>
  <si>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</si>
  <si>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</si>
  <si>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</si>
  <si>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</si>
  <si>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</si>
  <si>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</si>
  <si>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</si>
  <si>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</si>
  <si>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</si>
  <si>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</si>
  <si>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</si>
  <si>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</si>
  <si>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</si>
  <si>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</si>
  <si>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</si>
  <si>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</si>
  <si>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</si>
  <si>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</si>
  <si>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</si>
  <si>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</si>
  <si>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</si>
  <si>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</si>
  <si>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</si>
  <si>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</si>
  <si>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</si>
  <si>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</si>
  <si>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</si>
  <si>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</si>
  <si>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</si>
  <si>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</si>
  <si>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</si>
  <si>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</si>
  <si>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</si>
  <si>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</si>
  <si>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</si>
  <si>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</si>
  <si>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</si>
  <si>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</si>
  <si>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</si>
  <si>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</si>
  <si>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</si>
  <si>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</si>
  <si>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</si>
  <si>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</si>
  <si>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</si>
  <si>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</si>
  <si>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</si>
  <si>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</si>
  <si>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</si>
  <si>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</si>
  <si>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</si>
  <si>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</si>
  <si>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</si>
  <si>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</si>
  <si>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</si>
  <si>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</si>
  <si>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</si>
  <si>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</si>
  <si>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</si>
  <si>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</si>
  <si>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</si>
  <si>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</si>
  <si>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</si>
  <si>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</si>
  <si>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</si>
  <si>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</si>
  <si>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</si>
  <si>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</si>
  <si>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</si>
  <si>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</si>
  <si>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</si>
  <si>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</si>
  <si>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</si>
  <si>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</si>
  <si>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</si>
  <si>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</si>
  <si>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</si>
  <si>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</si>
  <si>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</si>
  <si>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</si>
  <si>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</si>
  <si>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</si>
  <si>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</si>
  <si>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</si>
  <si>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</si>
  <si>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</si>
  <si>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</si>
  <si>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</si>
  <si>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</si>
  <si>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</si>
  <si>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</si>
  <si>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</si>
  <si>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</si>
  <si>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</si>
  <si>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</si>
  <si>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</si>
  <si>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</si>
  <si>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</si>
  <si>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</si>
  <si>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</si>
  <si>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</si>
  <si>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</si>
  <si>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</si>
  <si>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</si>
  <si>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</si>
  <si>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</si>
  <si>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</si>
  <si>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</si>
  <si>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</si>
  <si>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</si>
  <si>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</si>
  <si>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</si>
  <si>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</si>
  <si>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</si>
  <si>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</si>
  <si>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</si>
  <si>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</si>
  <si>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</si>
  <si>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</si>
  <si>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</si>
  <si>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</si>
  <si>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</si>
  <si>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</si>
  <si>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</si>
  <si>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</si>
  <si>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</si>
  <si>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</si>
  <si>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</si>
  <si>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</si>
  <si>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</si>
  <si>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</si>
  <si>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</si>
  <si>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</si>
  <si>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</si>
  <si>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</si>
  <si>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</si>
  <si>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</si>
  <si>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</si>
  <si>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</si>
  <si>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</si>
  <si>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</si>
  <si>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</si>
  <si>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</si>
  <si>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</si>
  <si>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</si>
  <si>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</si>
  <si>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</si>
  <si>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</si>
  <si>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</si>
  <si>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</si>
  <si>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</si>
  <si>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</si>
  <si>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</si>
  <si>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</si>
  <si>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</si>
  <si>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</si>
  <si>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</si>
  <si>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</si>
  <si>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</si>
  <si>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</si>
  <si>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</si>
  <si>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</si>
  <si>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</si>
  <si>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</si>
  <si>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</si>
  <si>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</si>
  <si>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</si>
  <si>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</si>
  <si>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</si>
  <si>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</si>
  <si>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</si>
  <si>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</si>
  <si>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</si>
  <si>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</si>
  <si>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</si>
  <si>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</si>
  <si>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</si>
  <si>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</si>
  <si>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</si>
  <si>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</si>
  <si>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</si>
  <si>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</si>
  <si>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</si>
  <si>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</si>
  <si>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</si>
  <si>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</si>
  <si>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</si>
  <si>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</si>
  <si>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</si>
  <si>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</si>
  <si>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</si>
  <si>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</si>
  <si>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</si>
  <si>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</si>
  <si>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</si>
  <si>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</si>
  <si>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</si>
  <si>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</si>
  <si>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</si>
  <si>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</si>
  <si>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</si>
  <si>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</si>
  <si>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</si>
  <si>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</si>
  <si>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</si>
  <si>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</si>
  <si>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</si>
  <si>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</si>
  <si>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</si>
  <si>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</si>
  <si>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</si>
  <si>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</si>
  <si>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</si>
  <si>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</si>
  <si>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</si>
  <si>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</si>
  <si>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</si>
  <si>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</si>
  <si>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</si>
  <si>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</si>
  <si>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</si>
  <si>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</si>
  <si>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</si>
  <si>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</si>
  <si>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</si>
  <si>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</si>
  <si>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</si>
  <si>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</si>
  <si>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</si>
  <si>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</si>
  <si>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</si>
  <si>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</si>
  <si>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</si>
  <si>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</si>
  <si>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</si>
  <si>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</si>
  <si>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</si>
  <si>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</si>
  <si>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</si>
  <si>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</si>
  <si>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</si>
  <si>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</si>
  <si>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</si>
  <si>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</si>
  <si>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</si>
  <si>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</si>
  <si>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</si>
  <si>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</si>
  <si>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</si>
  <si>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</si>
  <si>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</si>
  <si>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</si>
  <si>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</si>
  <si>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</si>
  <si>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</si>
  <si>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</si>
  <si>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</si>
  <si>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</si>
  <si>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</si>
  <si>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</si>
  <si>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</si>
  <si>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</si>
  <si>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</si>
  <si>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</si>
  <si>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</si>
  <si>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</si>
  <si>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</si>
  <si>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</si>
  <si>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</si>
  <si>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</si>
  <si>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</si>
  <si>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</si>
  <si>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</si>
  <si>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</si>
  <si>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</si>
  <si>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</si>
  <si>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</si>
  <si>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</si>
  <si>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</si>
  <si>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</si>
  <si>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</si>
  <si>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</si>
  <si>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</si>
  <si>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</si>
  <si>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</si>
  <si>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</si>
  <si>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</si>
  <si>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</si>
  <si>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</si>
  <si>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</si>
  <si>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</si>
  <si>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</si>
  <si>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</si>
  <si>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</si>
  <si>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</si>
  <si>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</si>
  <si>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</si>
  <si>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</si>
  <si>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</si>
  <si>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</si>
  <si>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</si>
  <si>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</si>
  <si>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</si>
  <si>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</si>
  <si>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</si>
  <si>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</si>
  <si>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</si>
  <si>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</si>
  <si>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</si>
  <si>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</si>
  <si>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</si>
  <si>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</si>
  <si>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</si>
  <si>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</si>
  <si>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</si>
  <si>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</si>
  <si>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</si>
  <si>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</si>
  <si>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</si>
  <si>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</si>
  <si>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</si>
  <si>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</si>
  <si>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</si>
  <si>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</si>
  <si>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</si>
  <si>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</si>
  <si>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</si>
  <si>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</si>
  <si>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</si>
  <si>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</si>
  <si>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</si>
  <si>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</si>
  <si>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</si>
  <si>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</si>
  <si>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</si>
  <si>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</si>
  <si>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</si>
  <si>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</si>
  <si>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</si>
  <si>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</si>
  <si>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</si>
  <si>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</si>
  <si>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</si>
  <si>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</si>
  <si>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</si>
  <si>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</si>
  <si>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</si>
  <si>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</si>
  <si>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</si>
  <si>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</si>
  <si>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</si>
  <si>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</si>
  <si>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</si>
  <si>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</si>
  <si>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</si>
  <si>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</si>
  <si>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</si>
  <si>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</si>
  <si>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</si>
  <si>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</si>
  <si>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</si>
  <si>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</si>
  <si>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</si>
  <si>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</si>
  <si>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</si>
  <si>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</si>
  <si>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</si>
  <si>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</si>
  <si>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</si>
  <si>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</si>
  <si>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</si>
  <si>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</si>
  <si>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</si>
  <si>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</si>
  <si>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</si>
  <si>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</si>
  <si>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</si>
  <si>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</si>
  <si>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</si>
  <si>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</si>
  <si>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</si>
  <si>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</si>
  <si>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</si>
  <si>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</si>
  <si>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</si>
  <si>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</si>
  <si>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</si>
  <si>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</si>
  <si>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</si>
  <si>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</si>
  <si>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</si>
  <si>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</si>
  <si>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</si>
  <si>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</si>
  <si>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</si>
  <si>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</si>
  <si>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</si>
  <si>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</si>
  <si>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</si>
  <si>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</si>
  <si>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</si>
  <si>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</si>
  <si>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</si>
  <si>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</si>
  <si>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</si>
  <si>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</si>
  <si>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</si>
  <si>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</si>
  <si>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</si>
  <si>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</si>
  <si>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</si>
  <si>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</si>
  <si>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</si>
  <si>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</si>
  <si>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</si>
  <si>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</si>
  <si>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</si>
  <si>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</si>
  <si>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</si>
  <si>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</si>
  <si>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</si>
  <si>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</si>
  <si>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</si>
  <si>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</si>
  <si>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</si>
  <si>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</si>
  <si>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</si>
  <si>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</si>
  <si>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</si>
  <si>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</si>
  <si>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</si>
  <si>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</si>
  <si>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</si>
  <si>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</si>
  <si>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</si>
  <si>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</si>
  <si>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</si>
  <si>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</si>
  <si>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</si>
  <si>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</si>
  <si>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</si>
  <si>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</si>
  <si>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</si>
  <si>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</si>
  <si>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</si>
  <si>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</si>
  <si>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</si>
  <si>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</si>
  <si>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</si>
  <si>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</si>
  <si>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</si>
  <si>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</si>
  <si>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</si>
  <si>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</si>
  <si>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</si>
  <si>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</si>
  <si>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</si>
  <si>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</si>
  <si>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</si>
  <si>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</si>
  <si>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</si>
  <si>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</si>
  <si>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</si>
  <si>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</si>
  <si>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</si>
  <si>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</si>
  <si>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</si>
  <si>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</si>
  <si>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</si>
  <si>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</si>
  <si>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</si>
  <si>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</si>
  <si>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</si>
  <si>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</si>
  <si>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</si>
  <si>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</si>
  <si>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</si>
  <si>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</si>
  <si>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</si>
  <si>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</si>
  <si>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</si>
  <si>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</si>
  <si>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</si>
  <si>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</si>
  <si>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</si>
  <si>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</si>
  <si>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</si>
  <si>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</si>
  <si>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</si>
  <si>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</si>
  <si>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</si>
  <si>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</si>
  <si>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</si>
  <si>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</si>
  <si>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</si>
  <si>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</si>
  <si>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</si>
  <si>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</si>
  <si>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</si>
  <si>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</si>
  <si>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</si>
  <si>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</si>
  <si>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</si>
  <si>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</si>
  <si>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</si>
  <si>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</si>
  <si>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</si>
  <si>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</si>
  <si>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</si>
  <si>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</si>
  <si>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</si>
  <si>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</si>
  <si>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</si>
  <si>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</si>
  <si>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</si>
  <si>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</si>
  <si>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</si>
  <si>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</si>
  <si>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</si>
  <si>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</si>
  <si>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</si>
  <si>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</si>
  <si>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</si>
  <si>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</si>
  <si>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</si>
  <si>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</si>
  <si>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</si>
  <si>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</si>
  <si>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</si>
  <si>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</si>
  <si>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</si>
  <si>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</si>
  <si>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</si>
  <si>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</si>
  <si>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</si>
  <si>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</si>
  <si>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</si>
  <si>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</si>
  <si>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</si>
  <si>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</si>
  <si>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</si>
  <si>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</si>
  <si>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</si>
  <si>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</si>
  <si>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</si>
  <si>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</si>
  <si>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</si>
  <si>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</si>
  <si>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</si>
  <si>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</si>
  <si>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</si>
  <si>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</si>
  <si>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</si>
  <si>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</si>
  <si>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</si>
  <si>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</si>
  <si>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</si>
  <si>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</si>
  <si>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</si>
  <si>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</si>
  <si>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</si>
  <si>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</si>
  <si>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</si>
  <si>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</si>
  <si>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</si>
  <si>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</si>
  <si>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</si>
  <si>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</si>
  <si>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</si>
  <si>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</si>
  <si>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</si>
  <si>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</si>
  <si>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</si>
  <si>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</si>
  <si>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</si>
  <si>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</si>
  <si>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</si>
  <si>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</si>
  <si>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</si>
  <si>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</si>
  <si>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</si>
  <si>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</si>
  <si>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</si>
  <si>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</si>
  <si>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</si>
  <si>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</si>
  <si>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</si>
  <si>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</si>
  <si>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</si>
  <si>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</si>
  <si>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</si>
  <si>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</si>
  <si>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</si>
  <si>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</si>
  <si>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</si>
  <si>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</si>
  <si>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</si>
  <si>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</si>
  <si>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</si>
  <si>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</si>
  <si>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</si>
  <si>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</si>
  <si>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</si>
  <si>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</si>
  <si>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</si>
  <si>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</si>
  <si>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</si>
  <si>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</si>
  <si>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</si>
  <si>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</si>
  <si>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</si>
  <si>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</si>
  <si>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</si>
  <si>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</si>
  <si>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</si>
  <si>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</si>
  <si>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</si>
  <si>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</si>
  <si>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</si>
  <si>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</si>
  <si>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</si>
  <si>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</si>
  <si>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</si>
  <si>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</si>
  <si>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</si>
  <si>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</si>
  <si>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</si>
  <si>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</si>
  <si>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</si>
  <si>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</si>
  <si>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</si>
  <si>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</si>
  <si>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</si>
  <si>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</si>
  <si>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</si>
  <si>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</si>
  <si>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</si>
  <si>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</si>
  <si>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</si>
  <si>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</si>
  <si>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</si>
  <si>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</si>
  <si>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</si>
  <si>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</si>
  <si>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</si>
  <si>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</si>
  <si>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</si>
  <si>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</si>
  <si>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</si>
  <si>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</si>
  <si>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</si>
  <si>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</si>
  <si>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</si>
  <si>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</si>
  <si>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</si>
  <si>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</si>
  <si>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</si>
  <si>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</si>
  <si>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</si>
  <si>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</si>
  <si>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</si>
  <si>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</si>
  <si>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</si>
  <si>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</si>
  <si>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</si>
  <si>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</si>
  <si>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</si>
  <si>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</si>
  <si>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</si>
  <si>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</si>
  <si>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</si>
  <si>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</si>
  <si>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</si>
  <si>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</si>
  <si>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</si>
  <si>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</si>
  <si>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</si>
  <si>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</si>
  <si>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</si>
  <si>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</si>
  <si>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</si>
  <si>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</si>
  <si>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</si>
  <si>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</si>
  <si>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</si>
  <si>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</si>
  <si>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</si>
  <si>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</si>
  <si>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</si>
  <si>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</si>
  <si>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</si>
  <si>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</si>
  <si>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</si>
  <si>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</si>
  <si>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</si>
  <si>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</si>
  <si>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</si>
  <si>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</si>
  <si>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</si>
  <si>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</si>
  <si>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</si>
  <si>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</si>
  <si>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</si>
  <si>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</si>
  <si>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</si>
  <si>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</si>
  <si>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</si>
  <si>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</si>
  <si>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</si>
  <si>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</si>
  <si>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</si>
  <si>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</si>
  <si>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</si>
  <si>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</si>
  <si>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</si>
  <si>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</si>
  <si>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</si>
  <si>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</si>
  <si>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</si>
  <si>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</si>
  <si>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</si>
  <si>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</si>
  <si>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</si>
  <si>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</si>
  <si>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</si>
  <si>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</si>
  <si>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</si>
  <si>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</si>
  <si>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</si>
  <si>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</si>
  <si>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</si>
  <si>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</si>
  <si>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</si>
  <si>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</si>
  <si>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</si>
  <si>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</si>
  <si>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</si>
  <si>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</si>
  <si>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</si>
  <si>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</si>
  <si>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</si>
  <si>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</si>
  <si>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</si>
  <si>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</si>
  <si>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</si>
  <si>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</si>
  <si>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</si>
  <si>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</si>
  <si>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</si>
  <si>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</si>
  <si>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</si>
  <si>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</si>
  <si>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</si>
  <si>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</si>
  <si>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</si>
  <si>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</si>
  <si>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</si>
  <si>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</si>
  <si>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</si>
  <si>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</si>
  <si>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</si>
  <si>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</si>
  <si>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</si>
  <si>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</si>
  <si>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</si>
  <si>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</si>
  <si>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</si>
  <si>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</si>
  <si>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</si>
  <si>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</si>
  <si>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</si>
  <si>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</si>
  <si>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</si>
  <si>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</si>
  <si>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</si>
  <si>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</si>
  <si>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</si>
  <si>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</si>
  <si>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</si>
  <si>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</si>
  <si>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</si>
  <si>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</si>
  <si>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</si>
  <si>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</si>
  <si>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</si>
  <si>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</si>
  <si>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</si>
  <si>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</si>
  <si>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</si>
  <si>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</si>
  <si>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</si>
  <si>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</si>
  <si>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</si>
  <si>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</si>
  <si>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</si>
  <si>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</si>
  <si>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</si>
  <si>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</si>
  <si>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</si>
  <si>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</si>
  <si>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</si>
  <si>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</si>
  <si>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</si>
  <si>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</si>
  <si>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</si>
  <si>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</si>
  <si>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</si>
  <si>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</si>
  <si>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</si>
  <si>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</si>
  <si>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</si>
  <si>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</si>
  <si>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</si>
  <si>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</si>
  <si>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</si>
  <si>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</si>
  <si>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</si>
  <si>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</si>
  <si>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</si>
  <si>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</si>
  <si>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</si>
  <si>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</si>
  <si>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</si>
  <si>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</si>
  <si>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</si>
  <si>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</si>
  <si>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</si>
  <si>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</si>
  <si>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</si>
  <si>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</si>
  <si>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</si>
  <si>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</si>
  <si>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</si>
  <si>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</si>
  <si>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</si>
  <si>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</si>
  <si>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</si>
  <si>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</si>
  <si>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</si>
  <si>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</si>
  <si>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</si>
  <si>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</si>
  <si>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</si>
  <si>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</si>
  <si>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</si>
  <si>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</si>
  <si>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</si>
  <si>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</si>
  <si>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</si>
  <si>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</si>
  <si>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</si>
  <si>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</si>
  <si>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</si>
  <si>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</si>
  <si>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</si>
  <si>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</si>
  <si>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</si>
  <si>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</si>
  <si>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</si>
  <si>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</si>
  <si>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</si>
  <si>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</si>
  <si>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</si>
  <si>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</si>
  <si>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</si>
  <si>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</si>
  <si>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</si>
  <si>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</si>
  <si>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</si>
  <si>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</si>
  <si>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</si>
  <si>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</si>
  <si>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</si>
  <si>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</si>
  <si>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</si>
  <si>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</si>
  <si>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</si>
  <si>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</si>
  <si>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</si>
  <si>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</si>
  <si>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</si>
  <si>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</si>
  <si>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</si>
  <si>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</si>
  <si>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</si>
  <si>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</si>
  <si>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</si>
  <si>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</si>
  <si>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</si>
  <si>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</si>
  <si>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</si>
  <si>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</si>
  <si>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</si>
  <si>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</si>
  <si>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</si>
  <si>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</si>
  <si>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</si>
  <si>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</si>
  <si>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</si>
  <si>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</si>
  <si>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</si>
  <si>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</si>
  <si>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</si>
  <si>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</si>
  <si>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</si>
  <si>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</si>
  <si>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</si>
  <si>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</si>
  <si>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</si>
  <si>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</si>
  <si>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</si>
  <si>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</si>
  <si>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</si>
  <si>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</si>
  <si>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</si>
  <si>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</si>
  <si>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</si>
  <si>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</si>
  <si>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</si>
  <si>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</si>
  <si>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</si>
  <si>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</si>
  <si>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</si>
  <si>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</si>
  <si>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</si>
  <si>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</si>
  <si>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</si>
  <si>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</si>
  <si>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</si>
  <si>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</si>
  <si>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</si>
  <si>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</si>
  <si>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</si>
  <si>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</si>
  <si>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</si>
  <si>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</si>
  <si>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</si>
  <si>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</si>
  <si>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</si>
  <si>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</si>
  <si>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</si>
  <si>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</si>
  <si>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</si>
  <si>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</si>
  <si>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</si>
  <si>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</si>
  <si>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</si>
  <si>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</si>
  <si>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</si>
  <si>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</si>
  <si>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</si>
  <si>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</si>
  <si>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</si>
  <si>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</si>
  <si>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</si>
  <si>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</si>
  <si>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</si>
  <si>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</si>
  <si>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</si>
  <si>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</si>
  <si>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</si>
  <si>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</si>
  <si>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</si>
  <si>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</si>
  <si>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</si>
  <si>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</si>
  <si>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</si>
  <si>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</si>
  <si>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</si>
  <si>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</si>
  <si>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</si>
  <si>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</si>
  <si>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</si>
  <si>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</si>
  <si>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</si>
  <si>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</si>
  <si>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</si>
  <si>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</si>
  <si>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</si>
  <si>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</si>
  <si>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</si>
  <si>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</si>
  <si>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</si>
  <si>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</si>
  <si>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</si>
  <si>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</si>
  <si>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</si>
  <si>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</si>
  <si>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</si>
  <si>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</si>
  <si>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</si>
  <si>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</si>
  <si>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</si>
  <si>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</si>
  <si>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</si>
  <si>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</si>
  <si>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</si>
  <si>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</si>
  <si>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</si>
  <si>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</si>
  <si>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</si>
  <si>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</si>
  <si>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</si>
  <si>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</si>
  <si>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</si>
  <si>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</si>
  <si>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</si>
  <si>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</si>
  <si>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</si>
  <si>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</si>
  <si>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</si>
  <si>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</si>
  <si>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</si>
  <si>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</si>
  <si>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</si>
  <si>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</si>
  <si>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</si>
  <si>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</si>
  <si>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</si>
  <si>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</si>
  <si>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</si>
  <si>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</si>
  <si>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</si>
  <si>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</si>
  <si>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</si>
  <si>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</si>
  <si>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</si>
  <si>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</si>
  <si>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</si>
  <si>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</si>
  <si>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</si>
  <si>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</si>
  <si>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</si>
  <si>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</si>
  <si>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</si>
  <si>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</si>
  <si>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</si>
  <si>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</si>
  <si>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</si>
  <si>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</si>
  <si>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</si>
  <si>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</si>
  <si>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</si>
  <si>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</si>
  <si>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</si>
  <si>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</si>
  <si>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</si>
  <si>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</si>
  <si>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</si>
  <si>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</si>
  <si>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</si>
  <si>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</si>
  <si>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</si>
  <si>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</si>
  <si>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</si>
  <si>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</si>
  <si>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</si>
  <si>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</si>
  <si>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</si>
  <si>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</si>
  <si>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</si>
  <si>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</si>
  <si>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</si>
  <si>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</si>
  <si>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</si>
  <si>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</si>
  <si>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</si>
  <si>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</si>
  <si>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</si>
  <si>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</si>
  <si>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</si>
  <si>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</si>
  <si>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</si>
  <si>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</si>
  <si>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</si>
  <si>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</si>
  <si>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</si>
  <si>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</si>
  <si>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</si>
  <si>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</si>
  <si>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</si>
  <si>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</si>
  <si>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</si>
  <si>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</si>
  <si>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</si>
  <si>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</si>
  <si>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</si>
  <si>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</si>
  <si>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</si>
  <si>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</si>
  <si>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</si>
  <si>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</si>
  <si>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</si>
  <si>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</si>
  <si>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</si>
  <si>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</si>
  <si>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</si>
  <si>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</si>
  <si>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</si>
  <si>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</si>
  <si>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</si>
  <si>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</si>
  <si>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</si>
  <si>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</si>
  <si>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</si>
  <si>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</si>
  <si>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</si>
  <si>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</si>
  <si>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</si>
  <si>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</si>
  <si>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</si>
  <si>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</si>
  <si>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</si>
  <si>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</si>
  <si>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</si>
  <si>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</si>
  <si>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</si>
  <si>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</si>
  <si>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</si>
  <si>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</si>
  <si>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</si>
  <si>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</si>
  <si>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</si>
  <si>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</si>
  <si>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</si>
  <si>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</si>
  <si>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</si>
  <si>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</si>
  <si>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</si>
  <si>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</si>
  <si>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</si>
  <si>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</si>
  <si>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</si>
  <si>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</si>
  <si>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</si>
  <si>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</si>
  <si>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</si>
  <si>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</si>
  <si>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</si>
  <si>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</si>
  <si>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</si>
  <si>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</si>
  <si>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</si>
  <si>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</si>
  <si>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</si>
  <si>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</si>
  <si>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</si>
  <si>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</si>
  <si>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</si>
  <si>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</si>
  <si>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</si>
  <si>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</si>
  <si>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</si>
  <si>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</si>
  <si>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</si>
  <si>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</si>
  <si>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</si>
  <si>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</si>
  <si>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</si>
  <si>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</si>
  <si>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</si>
  <si>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</si>
  <si>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</si>
  <si>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</si>
  <si>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</si>
  <si>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</si>
  <si>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</si>
  <si>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</si>
  <si>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</si>
  <si>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</si>
  <si>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</si>
  <si>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</si>
  <si>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</si>
  <si>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</si>
  <si>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</si>
  <si>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</si>
  <si>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</si>
  <si>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</si>
  <si>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</si>
  <si>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</si>
  <si>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</si>
  <si>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</si>
  <si>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</si>
  <si>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</si>
  <si>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</si>
  <si>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</si>
  <si>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</si>
  <si>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</si>
  <si>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</si>
  <si>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</si>
  <si>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</si>
  <si>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</si>
  <si>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</si>
  <si>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</si>
  <si>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</si>
  <si>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</si>
  <si>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</si>
  <si>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</si>
  <si>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</si>
  <si>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</si>
  <si>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</si>
  <si>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</si>
  <si>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</si>
  <si>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</si>
  <si>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</si>
  <si>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</si>
  <si>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</si>
  <si>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</si>
  <si>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</si>
  <si>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</si>
  <si>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</si>
  <si>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</si>
  <si>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</si>
  <si>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</si>
  <si>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</si>
  <si>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</si>
  <si>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</si>
  <si>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</si>
  <si>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</si>
  <si>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</si>
  <si>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</si>
  <si>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</si>
  <si>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</si>
  <si>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</si>
  <si>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</si>
  <si>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</si>
  <si>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</si>
  <si>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</si>
  <si>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</si>
  <si>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</si>
  <si>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</si>
  <si>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</si>
  <si>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</si>
  <si>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</si>
  <si>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</si>
  <si>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</si>
  <si>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</si>
  <si>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</si>
  <si>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</si>
  <si>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</si>
  <si>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</si>
  <si>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</si>
  <si>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</si>
  <si>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</si>
  <si>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</si>
  <si>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</si>
  <si>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</si>
  <si>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</si>
  <si>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</si>
  <si>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</si>
  <si>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</si>
  <si>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</si>
  <si>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</si>
  <si>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</si>
  <si>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</si>
  <si>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</si>
  <si>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</si>
  <si>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</si>
  <si>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</si>
  <si>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</si>
  <si>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</si>
  <si>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</si>
  <si>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</si>
  <si>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</si>
  <si>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</si>
  <si>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</si>
  <si>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</si>
  <si>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</si>
  <si>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</si>
  <si>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</si>
  <si>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</si>
  <si>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</si>
  <si>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</si>
  <si>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</si>
  <si>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</si>
  <si>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</si>
  <si>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</si>
  <si>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</si>
  <si>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</si>
  <si>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</si>
  <si>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</si>
  <si>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</si>
  <si>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</si>
  <si>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</si>
  <si>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</si>
  <si>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</si>
  <si>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</si>
  <si>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</si>
  <si>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</si>
  <si>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</si>
  <si>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</si>
  <si>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</si>
  <si>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</si>
  <si>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</si>
  <si>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</si>
  <si>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</si>
  <si>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</si>
  <si>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</si>
  <si>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</si>
  <si>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</si>
  <si>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</si>
  <si>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</si>
  <si>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</si>
  <si>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</si>
  <si>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</si>
  <si>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</si>
  <si>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</si>
  <si>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</si>
  <si>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</si>
  <si>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</si>
  <si>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</si>
  <si>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</si>
  <si>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</si>
  <si>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</si>
  <si>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</si>
  <si>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</si>
  <si>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</si>
  <si>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</si>
  <si>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</si>
  <si>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</si>
  <si>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</si>
  <si>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</si>
  <si>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</si>
  <si>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</si>
  <si>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</si>
  <si>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</si>
  <si>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</si>
  <si>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</si>
  <si>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</si>
  <si>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</si>
  <si>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</si>
  <si>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</si>
  <si>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</si>
  <si>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</si>
  <si>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</si>
  <si>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</si>
  <si>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</si>
  <si>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</si>
  <si>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</si>
  <si>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</si>
  <si>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</si>
  <si>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</si>
  <si>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</si>
  <si>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</si>
  <si>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</si>
  <si>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</si>
  <si>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</si>
  <si>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</si>
  <si>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</si>
  <si>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</si>
  <si>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</si>
  <si>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</si>
  <si>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</si>
  <si>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</si>
  <si>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</si>
  <si>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</si>
  <si>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</si>
  <si>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</si>
  <si>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</si>
  <si>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</si>
  <si>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</si>
  <si>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</si>
  <si>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</si>
  <si>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</si>
  <si>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</si>
  <si>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</si>
  <si>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</si>
  <si>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</si>
  <si>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</si>
  <si>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</si>
  <si>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</si>
  <si>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</si>
  <si>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</si>
  <si>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</si>
  <si>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</si>
  <si>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</si>
  <si>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</si>
  <si>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</si>
  <si>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</si>
  <si>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</si>
  <si>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</si>
  <si>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</si>
  <si>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</si>
  <si>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</si>
  <si>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</si>
  <si>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</si>
  <si>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</si>
  <si>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</si>
  <si>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</si>
  <si>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</si>
  <si>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</si>
  <si>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</si>
  <si>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</si>
  <si>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</si>
  <si>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</si>
  <si>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</si>
  <si>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</si>
  <si>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</si>
  <si>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</si>
  <si>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</si>
  <si>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</si>
  <si>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</si>
  <si>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</si>
  <si>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</si>
  <si>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</si>
  <si>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</si>
  <si>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</si>
  <si>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</si>
  <si>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</si>
  <si>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</si>
  <si>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</si>
  <si>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</si>
  <si>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</si>
  <si>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</si>
  <si>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</si>
  <si>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</si>
  <si>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</si>
  <si>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</si>
  <si>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</si>
  <si>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</si>
  <si>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</si>
  <si>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</si>
  <si>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</si>
  <si>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</si>
  <si>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</si>
  <si>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</si>
  <si>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</si>
  <si>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</si>
  <si>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</si>
  <si>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</si>
  <si>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</si>
  <si>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</si>
  <si>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</si>
  <si>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</si>
  <si>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</si>
  <si>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</si>
  <si>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</si>
  <si>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</si>
  <si>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</si>
  <si>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</si>
  <si>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</si>
  <si>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</si>
  <si>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</si>
  <si>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</si>
  <si>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</si>
  <si>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</si>
  <si>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</si>
  <si>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</si>
  <si>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</si>
  <si>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</si>
  <si>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</si>
  <si>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</si>
  <si>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</si>
  <si>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</si>
  <si>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</si>
  <si>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</si>
  <si>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</si>
  <si>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</si>
  <si>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</si>
  <si>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</si>
  <si>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</si>
  <si>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</si>
  <si>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</si>
  <si>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</si>
  <si>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</si>
  <si>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</si>
  <si>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</si>
  <si>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</si>
  <si>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</si>
  <si>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</si>
  <si>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</si>
  <si>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</si>
  <si>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</si>
  <si>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</si>
  <si>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</si>
  <si>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</si>
  <si>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</si>
  <si>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</si>
  <si>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</si>
  <si>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</si>
  <si>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</si>
  <si>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</si>
  <si>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</si>
  <si>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</si>
  <si>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</si>
  <si>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</si>
  <si>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</si>
  <si>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</si>
  <si>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</si>
  <si>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</si>
  <si>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</si>
  <si>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</si>
  <si>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</si>
  <si>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</si>
  <si>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</si>
  <si>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</si>
  <si>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</si>
  <si>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</si>
  <si>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</si>
  <si>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</si>
  <si>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</si>
  <si>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</si>
  <si>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</si>
  <si>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</si>
  <si>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</si>
  <si>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</si>
  <si>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</si>
  <si>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</si>
  <si>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</si>
  <si>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</si>
  <si>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</si>
  <si>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</si>
  <si>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</si>
  <si>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</si>
  <si>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</si>
  <si>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</si>
  <si>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</si>
  <si>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</si>
  <si>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</si>
  <si>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</si>
  <si>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</si>
  <si>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</si>
  <si>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</si>
  <si>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</si>
  <si>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</si>
  <si>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</si>
  <si>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</si>
  <si>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</si>
  <si>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</si>
  <si>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</si>
  <si>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</si>
  <si>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</si>
  <si>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</si>
  <si>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</si>
  <si>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</si>
  <si>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</si>
  <si>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</si>
  <si>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</si>
  <si>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</si>
  <si>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</si>
  <si>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</si>
  <si>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</si>
  <si>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</si>
  <si>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</si>
  <si>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</si>
  <si>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</si>
  <si>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</si>
  <si>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</si>
  <si>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</si>
  <si>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</si>
  <si>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</si>
  <si>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</si>
  <si>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</si>
  <si>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</si>
  <si>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</si>
  <si>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</si>
  <si>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</si>
  <si>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</si>
  <si>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</si>
  <si>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</si>
  <si>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</si>
  <si>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</si>
  <si>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</si>
  <si>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</si>
  <si>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</si>
  <si>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</si>
  <si>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</si>
  <si>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</si>
  <si>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</si>
  <si>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</si>
  <si>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</si>
  <si>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</si>
  <si>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</si>
  <si>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</si>
  <si>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</si>
  <si>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</si>
  <si>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</si>
  <si>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</si>
  <si>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</si>
  <si>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</si>
  <si>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</si>
  <si>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</si>
  <si>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</si>
  <si>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</si>
  <si>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</si>
  <si>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</si>
  <si>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</si>
  <si>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</si>
  <si>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</si>
  <si>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</si>
  <si>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</si>
  <si>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</si>
  <si>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</si>
  <si>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</si>
  <si>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</si>
  <si>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</si>
  <si>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</si>
  <si>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</si>
  <si>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</si>
  <si>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</si>
  <si>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</si>
  <si>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</si>
  <si>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</si>
  <si>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</si>
  <si>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</si>
  <si>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</si>
  <si>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</si>
  <si>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</si>
  <si>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</si>
  <si>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</si>
  <si>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</si>
  <si>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</si>
  <si>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</si>
  <si>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</si>
  <si>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</si>
  <si>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</si>
  <si>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</si>
  <si>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</si>
  <si>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</si>
  <si>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</si>
  <si>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</si>
  <si>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</si>
  <si>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</si>
  <si>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</si>
  <si>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</si>
  <si>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</si>
  <si>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</si>
  <si>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</si>
  <si>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</si>
  <si>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</si>
  <si>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</si>
  <si>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</si>
  <si>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</si>
  <si>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</si>
  <si>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</si>
  <si>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</si>
  <si>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</si>
  <si>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</si>
  <si>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</si>
  <si>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</si>
  <si>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</si>
  <si>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</si>
  <si>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</si>
  <si>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</si>
  <si>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</si>
  <si>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</si>
  <si>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</si>
  <si>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</si>
  <si>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</si>
  <si>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</si>
  <si>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</si>
  <si>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</si>
  <si>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</si>
  <si>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</si>
  <si>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</si>
  <si>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</si>
  <si>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</si>
  <si>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</si>
  <si>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</si>
  <si>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</si>
  <si>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</si>
  <si>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</si>
  <si>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</si>
  <si>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</si>
  <si>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</si>
  <si>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</si>
  <si>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</si>
  <si>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</si>
  <si>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</si>
  <si>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</si>
  <si>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</si>
  <si>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</si>
  <si>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</si>
  <si>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</si>
  <si>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</si>
  <si>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</si>
  <si>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</si>
  <si>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</si>
  <si>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</si>
  <si>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</si>
  <si>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</si>
  <si>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</si>
  <si>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</si>
  <si>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</si>
  <si>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</si>
  <si>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</si>
  <si>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</si>
  <si>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</si>
  <si>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</si>
  <si>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</si>
  <si>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</si>
  <si>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</si>
  <si>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</si>
  <si>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</si>
  <si>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</si>
  <si>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</si>
  <si>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</si>
  <si>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</si>
  <si>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</si>
  <si>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</si>
  <si>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</si>
  <si>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</si>
  <si>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</si>
  <si>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</si>
  <si>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</si>
  <si>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</si>
  <si>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</si>
  <si>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</si>
  <si>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</si>
  <si>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</si>
  <si>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</si>
  <si>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</si>
  <si>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</si>
  <si>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</si>
  <si>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</si>
  <si>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</si>
  <si>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</si>
  <si>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</si>
  <si>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</si>
  <si>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</si>
  <si>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</si>
  <si>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</si>
  <si>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</si>
  <si>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</si>
  <si>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</si>
  <si>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</si>
  <si>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</si>
  <si>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</si>
  <si>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</si>
  <si>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</si>
  <si>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</si>
  <si>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</si>
  <si>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</si>
  <si>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</si>
  <si>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</si>
  <si>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</si>
  <si>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</si>
  <si>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</si>
  <si>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</si>
  <si>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</si>
  <si>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</si>
  <si>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</si>
  <si>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</si>
  <si>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</si>
  <si>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</si>
  <si>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</si>
  <si>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</si>
  <si>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</si>
  <si>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</si>
  <si>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</si>
  <si>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</si>
  <si>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</si>
  <si>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</si>
  <si>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</si>
  <si>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</si>
  <si>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</si>
  <si>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</si>
  <si>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</si>
  <si>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</si>
  <si>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</si>
  <si>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</si>
  <si>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</si>
  <si>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</si>
  <si>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</si>
  <si>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</si>
  <si>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</si>
  <si>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</si>
  <si>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</si>
  <si>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</si>
  <si>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</si>
  <si>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</si>
  <si>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</si>
  <si>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</si>
  <si>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</si>
  <si>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</si>
  <si>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</si>
  <si>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</si>
  <si>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</si>
  <si>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</si>
  <si>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</si>
  <si>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</si>
  <si>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</si>
  <si>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</si>
  <si>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</si>
  <si>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</si>
  <si>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</si>
  <si>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</si>
  <si>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</si>
  <si>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</si>
  <si>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</si>
  <si>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</si>
  <si>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</si>
  <si>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</si>
  <si>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</si>
  <si>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</si>
  <si>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</si>
  <si>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</si>
  <si>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</si>
  <si>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</si>
  <si>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</si>
  <si>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</si>
  <si>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</si>
  <si>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</si>
  <si>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</si>
  <si>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</si>
  <si>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</si>
  <si>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</si>
  <si>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</si>
  <si>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</si>
  <si>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</si>
  <si>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</si>
  <si>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</si>
  <si>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</si>
  <si>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</si>
  <si>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</si>
  <si>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</si>
  <si>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</si>
  <si>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</si>
  <si>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</si>
  <si>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</si>
  <si>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</si>
  <si>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</si>
  <si>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</si>
  <si>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</si>
  <si>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</si>
  <si>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</si>
  <si>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</si>
  <si>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</si>
  <si>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</si>
  <si>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</si>
  <si>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</si>
  <si>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</si>
  <si>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</si>
  <si>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</si>
  <si>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</si>
  <si>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</si>
  <si>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</si>
  <si>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</si>
  <si>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</si>
  <si>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</si>
  <si>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</si>
  <si>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</si>
  <si>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</si>
  <si>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</si>
  <si>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</si>
  <si>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</si>
  <si>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</si>
  <si>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</si>
  <si>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</si>
  <si>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</si>
  <si>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</si>
  <si>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</si>
  <si>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</si>
  <si>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</si>
  <si>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</si>
  <si>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</si>
  <si>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</si>
  <si>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</si>
  <si>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</si>
  <si>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</si>
  <si>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</si>
  <si>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</si>
  <si>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</si>
  <si>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</si>
  <si>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</si>
  <si>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</si>
  <si>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</si>
  <si>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</si>
  <si>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</si>
  <si>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</si>
  <si>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</si>
  <si>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</si>
  <si>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</si>
  <si>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</si>
  <si>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</si>
  <si>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</si>
  <si>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</si>
  <si>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</si>
  <si>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</si>
  <si>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</si>
  <si>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</si>
  <si>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</si>
  <si>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</si>
  <si>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</si>
  <si>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</si>
  <si>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</si>
  <si>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</si>
  <si>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</si>
  <si>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</si>
  <si>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</si>
  <si>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</si>
  <si>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</si>
  <si>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</si>
  <si>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</si>
  <si>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</si>
  <si>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</si>
  <si>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</si>
  <si>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</si>
  <si>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</si>
  <si>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</si>
  <si>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</si>
  <si>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</si>
  <si>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</si>
  <si>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</si>
  <si>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</si>
  <si>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</si>
  <si>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</si>
  <si>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</si>
  <si>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</si>
  <si>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</si>
  <si>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</si>
  <si>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</si>
  <si>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</si>
  <si>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</si>
  <si>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</si>
  <si>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</si>
  <si>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</si>
  <si>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</si>
  <si>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</si>
  <si>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</si>
  <si>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</si>
  <si>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</si>
  <si>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</si>
  <si>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</si>
  <si>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</si>
  <si>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</si>
  <si>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</si>
  <si>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</si>
  <si>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</si>
  <si>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</si>
  <si>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</si>
  <si>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</si>
  <si>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</si>
  <si>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</si>
  <si>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</si>
  <si>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</si>
  <si>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</si>
  <si>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</si>
  <si>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</si>
  <si>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</si>
  <si>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</si>
  <si>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</si>
  <si>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</si>
  <si>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</si>
  <si>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</si>
  <si>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</si>
  <si>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</si>
  <si>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</si>
  <si>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</si>
  <si>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</si>
  <si>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</si>
  <si>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</si>
  <si>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</si>
  <si>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</si>
  <si>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</si>
  <si>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</si>
  <si>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</si>
  <si>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</si>
  <si>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</si>
  <si>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</si>
  <si>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</si>
  <si>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</si>
  <si>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</si>
  <si>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</si>
  <si>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</si>
  <si>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</si>
  <si>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</si>
  <si>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</si>
  <si>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</si>
  <si>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</si>
  <si>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</si>
  <si>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</si>
  <si>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</si>
  <si>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</si>
  <si>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</si>
  <si>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</si>
  <si>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</si>
  <si>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</si>
  <si>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</si>
  <si>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</si>
  <si>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</si>
  <si>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</si>
  <si>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</si>
  <si>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</si>
  <si>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</si>
  <si>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</si>
  <si>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</si>
  <si>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</si>
  <si>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</si>
  <si>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</si>
  <si>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</si>
  <si>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</si>
  <si>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</si>
  <si>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</si>
  <si>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</si>
  <si>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</si>
  <si>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</si>
  <si>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</si>
  <si>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</si>
  <si>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</si>
  <si>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</si>
  <si>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</si>
  <si>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</si>
  <si>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</si>
  <si>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</si>
  <si>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</si>
  <si>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</si>
  <si>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</si>
  <si>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</si>
  <si>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</si>
  <si>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</si>
  <si>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</si>
  <si>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</si>
  <si>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</si>
  <si>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</si>
  <si>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</si>
  <si>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</si>
  <si>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</si>
  <si>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</si>
  <si>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</si>
  <si>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</si>
  <si>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</si>
  <si>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</si>
  <si>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</si>
  <si>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</si>
  <si>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</si>
  <si>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</si>
  <si>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</si>
  <si>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</si>
  <si>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</si>
  <si>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</si>
  <si>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</si>
  <si>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</si>
  <si>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</si>
  <si>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</si>
  <si>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</si>
  <si>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</si>
  <si>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</si>
  <si>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</si>
  <si>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</si>
  <si>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</si>
  <si>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</si>
  <si>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</si>
  <si>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</si>
  <si>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</si>
  <si>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</si>
  <si>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</si>
  <si>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</si>
  <si>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</si>
  <si>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</si>
  <si>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</si>
  <si>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</si>
  <si>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</si>
  <si>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</si>
  <si>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</si>
  <si>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</si>
  <si>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</si>
  <si>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</si>
  <si>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</si>
  <si>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</si>
  <si>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</si>
  <si>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</si>
  <si>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</si>
  <si>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</si>
  <si>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</si>
  <si>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</si>
  <si>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</si>
  <si>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</si>
  <si>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</si>
  <si>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</si>
  <si>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</si>
  <si>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</si>
  <si>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</si>
  <si>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</si>
  <si>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</si>
  <si>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</si>
  <si>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</si>
  <si>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</si>
  <si>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</si>
  <si>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</si>
  <si>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</si>
  <si>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</si>
  <si>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</si>
  <si>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</si>
  <si>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</si>
  <si>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</si>
  <si>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</si>
  <si>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</si>
  <si>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</si>
  <si>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</si>
  <si>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</si>
  <si>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</si>
  <si>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</si>
  <si>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</si>
  <si>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</si>
  <si>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</si>
  <si>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</si>
  <si>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</si>
  <si>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</si>
  <si>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</si>
  <si>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</si>
  <si>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</si>
  <si>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</si>
  <si>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</si>
  <si>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</si>
  <si>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</si>
  <si>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</si>
  <si>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</si>
  <si>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</si>
  <si>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</si>
  <si>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</si>
  <si>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</si>
  <si>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</si>
  <si>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</si>
  <si>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</si>
  <si>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</si>
  <si>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</si>
  <si>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</si>
  <si>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</si>
  <si>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</si>
  <si>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</si>
  <si>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</si>
  <si>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</si>
  <si>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</si>
  <si>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</si>
  <si>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</si>
  <si>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</si>
  <si>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</si>
  <si>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</si>
  <si>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</si>
  <si>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</si>
  <si>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</si>
  <si>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</si>
  <si>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</si>
  <si>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</si>
  <si>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</si>
  <si>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</si>
  <si>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</si>
  <si>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</si>
  <si>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</si>
  <si>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</si>
  <si>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</si>
  <si>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</si>
  <si>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</si>
  <si>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</si>
  <si>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</si>
  <si>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</si>
  <si>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</si>
  <si>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</si>
  <si>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</si>
  <si>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</si>
  <si>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</si>
  <si>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</si>
  <si>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</si>
  <si>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</si>
  <si>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</si>
  <si>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</si>
  <si>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</si>
  <si>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</si>
  <si>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</si>
  <si>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</si>
  <si>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</si>
  <si>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</si>
  <si>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</si>
  <si>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</si>
  <si>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</si>
  <si>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</si>
  <si>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</si>
  <si>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</si>
  <si>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</si>
  <si>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</si>
  <si>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</si>
  <si>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</si>
  <si>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</si>
  <si>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</si>
  <si>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</si>
  <si>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</si>
  <si>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</si>
  <si>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</si>
  <si>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</si>
  <si>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</si>
  <si>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</si>
  <si>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</si>
  <si>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</si>
  <si>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</si>
  <si>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</si>
  <si>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</si>
  <si>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</si>
  <si>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</si>
  <si>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</si>
  <si>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</si>
  <si>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</si>
  <si>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</si>
  <si>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</si>
  <si>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</si>
  <si>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</si>
  <si>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</si>
  <si>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</si>
  <si>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</si>
  <si>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</si>
  <si>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</si>
  <si>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</si>
  <si>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</si>
  <si>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</si>
  <si>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</si>
  <si>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</si>
  <si>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</si>
  <si>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</si>
  <si>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</si>
  <si>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</si>
  <si>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</si>
  <si>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</si>
  <si>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</si>
  <si>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</si>
  <si>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</si>
  <si>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</si>
  <si>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</si>
  <si>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</si>
  <si>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</si>
  <si>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</si>
  <si>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</si>
  <si>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</si>
  <si>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</si>
  <si>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</si>
  <si>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</si>
  <si>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</si>
  <si>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</si>
  <si>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</si>
  <si>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</si>
  <si>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</si>
  <si>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</si>
  <si>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</si>
  <si>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</si>
  <si>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</si>
  <si>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</si>
  <si>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</si>
  <si>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</si>
  <si>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</si>
  <si>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</si>
  <si>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</si>
  <si>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</si>
  <si>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</si>
  <si>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</si>
  <si>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</si>
  <si>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</si>
  <si>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</si>
  <si>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</si>
  <si>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</si>
  <si>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</si>
  <si>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</si>
  <si>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</si>
  <si>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</si>
  <si>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</si>
  <si>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</si>
  <si>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</si>
  <si>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</si>
  <si>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</si>
  <si>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</si>
  <si>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</si>
  <si>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</si>
  <si>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</si>
  <si>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</si>
  <si>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</si>
  <si>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</si>
  <si>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</si>
  <si>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</si>
  <si>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</si>
  <si>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</si>
  <si>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</si>
  <si>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</si>
  <si>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</si>
  <si>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</si>
  <si>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</si>
  <si>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</si>
  <si>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</si>
  <si>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</si>
  <si>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</si>
  <si>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</si>
  <si>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</si>
  <si>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</si>
  <si>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</si>
  <si>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</si>
  <si>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</si>
  <si>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</si>
  <si>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</si>
  <si>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</si>
  <si>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</si>
  <si>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</si>
  <si>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</si>
  <si>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</si>
  <si>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</si>
  <si>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</si>
  <si>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</si>
  <si>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</si>
  <si>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</si>
  <si>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</si>
  <si>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</si>
  <si>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</si>
  <si>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</si>
  <si>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</si>
  <si>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</si>
  <si>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</si>
  <si>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</si>
  <si>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</si>
  <si>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</si>
  <si>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</si>
  <si>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</si>
  <si>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</si>
  <si>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</si>
  <si>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</si>
  <si>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</si>
  <si>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</si>
  <si>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</si>
  <si>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</si>
  <si>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</si>
  <si>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</si>
  <si>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</si>
  <si>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</si>
  <si>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</si>
  <si>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</si>
  <si>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</si>
  <si>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</si>
  <si>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</si>
  <si>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</si>
  <si>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</si>
  <si>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</si>
  <si>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</si>
  <si>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</si>
  <si>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</si>
  <si>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</si>
  <si>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</si>
  <si>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</si>
  <si>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</si>
  <si>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</si>
  <si>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</si>
  <si>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</si>
  <si>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</si>
  <si>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</si>
  <si>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</si>
  <si>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</si>
  <si>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</si>
  <si>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</si>
  <si>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</si>
  <si>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</si>
  <si>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</si>
  <si>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</si>
  <si>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</si>
  <si>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</si>
  <si>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</si>
  <si>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</si>
  <si>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</si>
  <si>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</si>
  <si>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</si>
  <si>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</si>
  <si>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</si>
  <si>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</si>
  <si>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</si>
  <si>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</si>
  <si>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</si>
  <si>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</si>
  <si>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</si>
  <si>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</si>
  <si>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</si>
  <si>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</si>
  <si>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</si>
  <si>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</si>
  <si>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</si>
  <si>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</si>
  <si>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</si>
  <si>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</si>
  <si>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</si>
  <si>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</si>
  <si>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</si>
  <si>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</si>
  <si>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</si>
  <si>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</si>
  <si>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</si>
  <si>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</si>
  <si>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</si>
  <si>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</si>
  <si>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</si>
  <si>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</si>
  <si>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</si>
  <si>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</si>
  <si>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</si>
  <si>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</si>
  <si>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</si>
  <si>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</si>
  <si>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</si>
  <si>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</si>
  <si>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</si>
  <si>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</si>
  <si>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</si>
  <si>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</si>
  <si>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</si>
  <si>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</si>
  <si>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</si>
  <si>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</si>
  <si>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</si>
  <si>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</si>
  <si>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</si>
  <si>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</si>
  <si>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</si>
  <si>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</si>
  <si>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</si>
  <si>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</si>
  <si>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</si>
  <si>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</si>
  <si>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</si>
  <si>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</si>
  <si>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</si>
  <si>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</si>
  <si>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</si>
  <si>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</si>
  <si>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</si>
  <si>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</si>
  <si>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</si>
  <si>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</si>
  <si>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</si>
  <si>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</si>
  <si>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</si>
  <si>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</si>
  <si>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</si>
  <si>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</si>
  <si>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</si>
  <si>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</si>
  <si>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</si>
  <si>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</si>
  <si>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</si>
  <si>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</si>
  <si>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</si>
  <si>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</si>
  <si>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</si>
  <si>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</si>
  <si>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</si>
  <si>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</si>
  <si>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</si>
  <si>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</si>
  <si>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</si>
  <si>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</si>
  <si>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</si>
  <si>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</si>
  <si>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</si>
  <si>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</si>
  <si>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</si>
  <si>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</si>
  <si>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</si>
  <si>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</si>
  <si>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</si>
  <si>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</si>
  <si>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</si>
  <si>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</si>
  <si>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</si>
  <si>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</si>
  <si>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</si>
  <si>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</si>
  <si>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</si>
  <si>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</si>
  <si>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</si>
  <si>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</si>
  <si>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</si>
  <si>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</si>
  <si>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</si>
  <si>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</si>
  <si>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</si>
  <si>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</si>
  <si>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</si>
  <si>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</si>
  <si>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</si>
  <si>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</si>
  <si>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</si>
  <si>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</si>
  <si>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</si>
  <si>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</si>
  <si>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</si>
  <si>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</si>
  <si>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</si>
  <si>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</si>
  <si>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</si>
  <si>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</si>
  <si>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</si>
  <si>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</si>
  <si>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</si>
  <si>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</si>
  <si>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</si>
  <si>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</si>
  <si>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</si>
  <si>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</si>
  <si>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</si>
  <si>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</si>
  <si>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</si>
  <si>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</si>
  <si>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</si>
  <si>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</si>
  <si>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</si>
  <si>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</si>
  <si>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</si>
  <si>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</si>
  <si>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</si>
  <si>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</si>
  <si>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</si>
  <si>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</si>
  <si>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</si>
  <si>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</si>
  <si>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</si>
  <si>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</si>
  <si>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</si>
  <si>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</si>
  <si>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</si>
  <si>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</si>
  <si>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</si>
  <si>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</si>
  <si>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</si>
  <si>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</si>
  <si>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</si>
  <si>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</si>
  <si>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</si>
  <si>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</si>
  <si>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</si>
  <si>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</si>
  <si>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</si>
  <si>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</si>
  <si>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</si>
  <si>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</si>
  <si>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</si>
  <si>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</si>
  <si>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</si>
  <si>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</si>
  <si>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</si>
  <si>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</si>
  <si>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</si>
  <si>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</si>
  <si>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</si>
  <si>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</si>
  <si>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</si>
  <si>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</si>
  <si>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</si>
  <si>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</si>
  <si>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</si>
  <si>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</si>
  <si>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</si>
  <si>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</si>
  <si>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</si>
  <si>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</si>
  <si>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</si>
  <si>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</si>
  <si>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</si>
  <si>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</si>
  <si>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</si>
  <si>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</si>
  <si>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</si>
  <si>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</si>
  <si>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</si>
  <si>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</si>
  <si>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</si>
  <si>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</si>
  <si>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</si>
  <si>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</si>
  <si>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</si>
  <si>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</si>
  <si>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</si>
  <si>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</si>
  <si>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</si>
  <si>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</si>
  <si>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</si>
  <si>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</si>
  <si>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</si>
  <si>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</si>
  <si>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</si>
  <si>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</si>
  <si>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</si>
  <si>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</si>
  <si>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</si>
  <si>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</si>
  <si>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</si>
  <si>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</si>
  <si>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</si>
  <si>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</si>
  <si>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</si>
  <si>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</si>
  <si>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</si>
  <si>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</si>
  <si>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</si>
  <si>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</si>
  <si>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</si>
  <si>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</si>
  <si>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</si>
  <si>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</si>
  <si>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</si>
  <si>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</si>
  <si>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</si>
  <si>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</si>
  <si>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</si>
  <si>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</si>
  <si>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</si>
  <si>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</si>
  <si>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</si>
  <si>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</si>
  <si>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</si>
  <si>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</si>
  <si>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</si>
  <si>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</si>
  <si>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</si>
  <si>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</si>
  <si>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</si>
  <si>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</si>
  <si>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</si>
  <si>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</si>
  <si>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</si>
  <si>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</si>
  <si>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</si>
  <si>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</si>
  <si>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</si>
  <si>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</si>
  <si>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</si>
  <si>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</si>
  <si>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</si>
  <si>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</si>
  <si>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</si>
  <si>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</si>
  <si>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</si>
  <si>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</si>
  <si>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</si>
  <si>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</si>
  <si>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</si>
  <si>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</si>
  <si>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</si>
  <si>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</si>
  <si>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</si>
  <si>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</si>
  <si>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</si>
  <si>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</si>
  <si>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</si>
  <si>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</si>
  <si>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</si>
  <si>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</si>
  <si>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</si>
  <si>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</si>
  <si>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</si>
  <si>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</si>
  <si>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</si>
  <si>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</si>
  <si>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</si>
  <si>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</si>
  <si>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</si>
  <si>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</si>
  <si>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</si>
  <si>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</si>
  <si>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</si>
  <si>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</si>
  <si>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</si>
  <si>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</si>
  <si>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</si>
  <si>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</si>
  <si>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</si>
  <si>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</si>
  <si>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</si>
  <si>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</si>
  <si>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</si>
  <si>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</si>
  <si>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</si>
  <si>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</si>
  <si>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</si>
  <si>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</si>
  <si>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</si>
  <si>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</si>
  <si>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</si>
  <si>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</si>
  <si>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</si>
  <si>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</si>
  <si>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</si>
  <si>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</si>
  <si>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</si>
  <si>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</si>
  <si>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</si>
  <si>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</si>
  <si>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</si>
  <si>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</si>
  <si>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</si>
  <si>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</si>
  <si>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</si>
  <si>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</si>
  <si>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</si>
  <si>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</si>
  <si>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</si>
  <si>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</si>
  <si>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</si>
  <si>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</si>
  <si>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</si>
  <si>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</si>
  <si>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</si>
  <si>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</si>
  <si>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</si>
  <si>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</si>
  <si>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</si>
  <si>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</si>
  <si>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</si>
  <si>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</si>
  <si>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</si>
  <si>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</si>
  <si>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</si>
  <si>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</si>
  <si>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</si>
  <si>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</si>
  <si>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</si>
  <si>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</si>
  <si>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</si>
  <si>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</si>
  <si>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</si>
  <si>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</si>
  <si>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</si>
  <si>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</si>
  <si>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</si>
  <si>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</si>
  <si>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</si>
  <si>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</si>
  <si>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</si>
  <si>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</si>
  <si>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</si>
  <si>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</si>
  <si>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</si>
  <si>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</si>
  <si>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</si>
  <si>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</si>
  <si>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</si>
  <si>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</si>
  <si>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</si>
  <si>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</si>
  <si>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</si>
  <si>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</si>
  <si>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</si>
  <si>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</si>
  <si>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</si>
  <si>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</si>
  <si>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</si>
  <si>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</si>
  <si>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</si>
  <si>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</si>
  <si>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</si>
  <si>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</si>
  <si>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</si>
  <si>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</si>
  <si>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</si>
  <si>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</si>
  <si>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</si>
  <si>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</si>
  <si>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</si>
  <si>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</si>
  <si>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</si>
  <si>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</si>
  <si>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</si>
  <si>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</si>
  <si>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</si>
  <si>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</si>
  <si>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</si>
  <si>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</si>
  <si>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</si>
  <si>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</si>
  <si>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</si>
  <si>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</si>
  <si>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</si>
  <si>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</si>
  <si>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</si>
  <si>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</si>
  <si>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</si>
  <si>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</si>
  <si>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</si>
  <si>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</si>
  <si>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</si>
  <si>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</si>
  <si>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</si>
  <si>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</si>
  <si>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</si>
  <si>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</si>
  <si>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</si>
  <si>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</si>
  <si>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</si>
  <si>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</si>
  <si>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</si>
  <si>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</si>
  <si>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</si>
  <si>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</si>
  <si>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</si>
  <si>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</si>
  <si>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</si>
  <si>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</si>
  <si>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</si>
  <si>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</si>
  <si>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</si>
  <si>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</si>
  <si>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</si>
  <si>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</si>
  <si>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</si>
  <si>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</si>
  <si>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</si>
  <si>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</si>
  <si>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</si>
  <si>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</si>
  <si>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</si>
  <si>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</si>
  <si>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</si>
  <si>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</si>
  <si>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</si>
  <si>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</si>
  <si>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</si>
  <si>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</si>
  <si>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</si>
  <si>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</si>
  <si>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</si>
  <si>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</si>
  <si>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</si>
  <si>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</si>
  <si>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</si>
  <si>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</si>
  <si>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</si>
  <si>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</si>
  <si>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</si>
  <si>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</si>
  <si>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</si>
  <si>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</si>
  <si>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</si>
  <si>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</si>
  <si>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</si>
  <si>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</si>
  <si>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</si>
  <si>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</si>
  <si>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</si>
  <si>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</si>
  <si>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</si>
  <si>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</si>
  <si>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</si>
  <si>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</si>
  <si>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</si>
  <si>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</si>
  <si>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</si>
  <si>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</si>
  <si>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</si>
  <si>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</si>
  <si>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</si>
  <si>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</si>
  <si>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</si>
  <si>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</si>
  <si>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</si>
  <si>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</si>
  <si>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</si>
  <si>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</si>
  <si>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</si>
  <si>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</si>
  <si>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</si>
  <si>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</si>
  <si>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</si>
  <si>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</si>
  <si>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</si>
  <si>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</si>
  <si>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</si>
  <si>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</si>
  <si>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</si>
  <si>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</si>
  <si>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</si>
  <si>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</si>
  <si>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</si>
  <si>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</si>
  <si>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</si>
  <si>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</si>
  <si>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</si>
  <si>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</si>
  <si>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</si>
  <si>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</si>
  <si>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</si>
  <si>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</si>
  <si>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</si>
  <si>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</si>
  <si>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</si>
  <si>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</si>
  <si>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</si>
  <si>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</si>
  <si>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</si>
  <si>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</si>
  <si>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</si>
  <si>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</si>
  <si>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</si>
  <si>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</si>
  <si>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</si>
  <si>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</si>
  <si>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</si>
  <si>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</si>
  <si>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</si>
  <si>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</si>
  <si>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</si>
  <si>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</si>
  <si>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</si>
  <si>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</si>
  <si>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</si>
  <si>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</si>
  <si>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</si>
  <si>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</si>
  <si>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</si>
  <si>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</si>
  <si>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</si>
  <si>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</si>
  <si>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</si>
  <si>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</si>
  <si>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</si>
  <si>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</si>
  <si>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</si>
  <si>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</si>
  <si>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</si>
  <si>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</si>
  <si>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</si>
  <si>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</si>
  <si>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</si>
  <si>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</si>
  <si>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</si>
  <si>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</si>
  <si>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CID002568</t>
  </si>
  <si>
    <t>CID001404</t>
  </si>
  <si>
    <t>CID001879</t>
  </si>
  <si>
    <t>CID003013</t>
  </si>
  <si>
    <t>CID000169</t>
  </si>
  <si>
    <t>CID000295</t>
  </si>
  <si>
    <t>CID001434</t>
  </si>
  <si>
    <t>CID000304</t>
  </si>
  <si>
    <t>CID000307</t>
  </si>
  <si>
    <t>CID000313</t>
  </si>
  <si>
    <t>CID002593</t>
  </si>
  <si>
    <t>CID000617</t>
  </si>
  <si>
    <t>CID000572</t>
  </si>
  <si>
    <t>CID001412</t>
  </si>
  <si>
    <t>CID001449</t>
  </si>
  <si>
    <t>CID000992</t>
  </si>
  <si>
    <t>CID003024</t>
  </si>
  <si>
    <t>CID001234</t>
  </si>
  <si>
    <t>CID001409</t>
  </si>
  <si>
    <t>CID002042</t>
  </si>
  <si>
    <t>CID000484</t>
  </si>
  <si>
    <t>CID002644</t>
  </si>
  <si>
    <t>CID002864</t>
  </si>
  <si>
    <t>CID002648</t>
  </si>
  <si>
    <t>CID001839</t>
  </si>
  <si>
    <t>CID002554</t>
  </si>
  <si>
    <t>CID002899</t>
  </si>
  <si>
    <t>CID003088</t>
  </si>
  <si>
    <t>CID002825</t>
  </si>
  <si>
    <t>CID000059</t>
  </si>
  <si>
    <t>CID002809</t>
  </si>
  <si>
    <t>CID002596</t>
  </si>
  <si>
    <t>CID000092</t>
  </si>
  <si>
    <t>CID002851</t>
  </si>
  <si>
    <t>CID002716</t>
  </si>
  <si>
    <t>CID000141</t>
  </si>
  <si>
    <t>CID000190</t>
  </si>
  <si>
    <t>CID000208</t>
  </si>
  <si>
    <t>CID000213</t>
  </si>
  <si>
    <t>CID000236</t>
  </si>
  <si>
    <t>CID000239</t>
  </si>
  <si>
    <t>CID002786</t>
  </si>
  <si>
    <t>CID000278</t>
  </si>
  <si>
    <t>CID000284</t>
  </si>
  <si>
    <t>CID000288</t>
  </si>
  <si>
    <t>CID000291</t>
  </si>
  <si>
    <t>CID000296</t>
  </si>
  <si>
    <t>CID003448</t>
  </si>
  <si>
    <t>CID003402</t>
  </si>
  <si>
    <t>CID002570</t>
  </si>
  <si>
    <t>CID002592</t>
  </si>
  <si>
    <t>CID000306</t>
  </si>
  <si>
    <t>CID000315</t>
  </si>
  <si>
    <t>CID000328</t>
  </si>
  <si>
    <t>CID000333</t>
  </si>
  <si>
    <t>CID002349</t>
  </si>
  <si>
    <t>CID002518</t>
  </si>
  <si>
    <t>CID000345</t>
  </si>
  <si>
    <t>CID000376</t>
  </si>
  <si>
    <t>CID004060</t>
  </si>
  <si>
    <t>CID000413</t>
  </si>
  <si>
    <t>CID000410</t>
  </si>
  <si>
    <t>CID002590</t>
  </si>
  <si>
    <t>CID001322</t>
  </si>
  <si>
    <t>CID000466</t>
  </si>
  <si>
    <t>CID000465</t>
  </si>
  <si>
    <t>CID000498</t>
  </si>
  <si>
    <t>CID000499</t>
  </si>
  <si>
    <t>CID000520</t>
  </si>
  <si>
    <t>CID000523</t>
  </si>
  <si>
    <t>CID002531</t>
  </si>
  <si>
    <t>CID000868</t>
  </si>
  <si>
    <t>CID002536</t>
  </si>
  <si>
    <t>CID002848</t>
  </si>
  <si>
    <t>CID002859</t>
  </si>
  <si>
    <t>CID000553</t>
  </si>
  <si>
    <t>CID000564</t>
  </si>
  <si>
    <t>CID000605</t>
  </si>
  <si>
    <t>CID000611</t>
  </si>
  <si>
    <t>CID002274</t>
  </si>
  <si>
    <t>CID000626</t>
  </si>
  <si>
    <t>CID000628</t>
  </si>
  <si>
    <t>CID002849</t>
  </si>
  <si>
    <t>CID002546</t>
  </si>
  <si>
    <t>CID000654</t>
  </si>
  <si>
    <t>CID000670</t>
  </si>
  <si>
    <t>CID000683</t>
  </si>
  <si>
    <t>CID002519</t>
  </si>
  <si>
    <t>CID000718</t>
  </si>
  <si>
    <t>CID000720</t>
  </si>
  <si>
    <t>CID000731</t>
  </si>
  <si>
    <t>CID002635</t>
  </si>
  <si>
    <t>CID002739</t>
  </si>
  <si>
    <t>CID000760</t>
  </si>
  <si>
    <t>CID002365</t>
  </si>
  <si>
    <t>CID002579</t>
  </si>
  <si>
    <t>CID002904</t>
  </si>
  <si>
    <t>CID000840</t>
  </si>
  <si>
    <t>CID000244</t>
  </si>
  <si>
    <t>CID002493</t>
  </si>
  <si>
    <t>CID002647</t>
  </si>
  <si>
    <t>CID002535</t>
  </si>
  <si>
    <t>CID002819</t>
  </si>
  <si>
    <t>CID000884</t>
  </si>
  <si>
    <t>CID000909</t>
  </si>
  <si>
    <t>CID003191</t>
  </si>
  <si>
    <t>CID000934</t>
  </si>
  <si>
    <t>CID000963</t>
  </si>
  <si>
    <t>CID000973</t>
  </si>
  <si>
    <t>CID000991</t>
  </si>
  <si>
    <t>CID002281</t>
  </si>
  <si>
    <t>CID001063</t>
  </si>
  <si>
    <t>CID002382</t>
  </si>
  <si>
    <t>CID001098</t>
  </si>
  <si>
    <t>CID001112</t>
  </si>
  <si>
    <t>CID002652</t>
  </si>
  <si>
    <t>CID002847</t>
  </si>
  <si>
    <t>CID001136</t>
  </si>
  <si>
    <t>CID001143</t>
  </si>
  <si>
    <t>CID001172</t>
  </si>
  <si>
    <t>CID001177</t>
  </si>
  <si>
    <t>CID001179</t>
  </si>
  <si>
    <t>CID002866</t>
  </si>
  <si>
    <t>CID002386</t>
  </si>
  <si>
    <t>CID001246</t>
  </si>
  <si>
    <t>CID002285</t>
  </si>
  <si>
    <t>CID001313</t>
  </si>
  <si>
    <t>CID001332</t>
  </si>
  <si>
    <t>CID003395</t>
  </si>
  <si>
    <t>CID001356</t>
  </si>
  <si>
    <t>CID001368</t>
  </si>
  <si>
    <t>CID002540</t>
  </si>
  <si>
    <t>CID002556</t>
  </si>
  <si>
    <t>CID003396</t>
  </si>
  <si>
    <t>CID002532</t>
  </si>
  <si>
    <t>CID002581</t>
  </si>
  <si>
    <t>CID002776</t>
  </si>
  <si>
    <t>CID001438</t>
  </si>
  <si>
    <t>CID002530</t>
  </si>
  <si>
    <t>CID001448</t>
  </si>
  <si>
    <t>CID002829</t>
  </si>
  <si>
    <t>CID002870</t>
  </si>
  <si>
    <t>CID001456</t>
  </si>
  <si>
    <t>CID002757</t>
  </si>
  <si>
    <t>CID001419</t>
  </si>
  <si>
    <t>CID001471</t>
  </si>
  <si>
    <t>CID002479</t>
  </si>
  <si>
    <t>CID001515</t>
  </si>
  <si>
    <t>CID002510</t>
  </si>
  <si>
    <t>CID002914</t>
  </si>
  <si>
    <t>CID002538</t>
  </si>
  <si>
    <t>CID001567</t>
  </si>
  <si>
    <t>CID001573</t>
  </si>
  <si>
    <t>CID001604</t>
  </si>
  <si>
    <t>CID001606</t>
  </si>
  <si>
    <t>CID001605</t>
  </si>
  <si>
    <t>CID001607</t>
  </si>
  <si>
    <t>CID001612</t>
  </si>
  <si>
    <t>CID001616</t>
  </si>
  <si>
    <t>CID002614</t>
  </si>
  <si>
    <t>CID001634</t>
  </si>
  <si>
    <t>CID001692</t>
  </si>
  <si>
    <t>CID001694</t>
  </si>
  <si>
    <t>CID001731</t>
  </si>
  <si>
    <t>CID002408</t>
  </si>
  <si>
    <t>CID001745</t>
  </si>
  <si>
    <t>CID001748</t>
  </si>
  <si>
    <t>CID001783</t>
  </si>
  <si>
    <t>CID001826</t>
  </si>
  <si>
    <t>CID000948</t>
  </si>
  <si>
    <t>Al Ghaith Gold</t>
  </si>
  <si>
    <t>AMG Mining Mibra Mine</t>
  </si>
  <si>
    <t>An Thai Minerals Co., Ltd.</t>
  </si>
  <si>
    <t>Anhui Herrman Impex Co.</t>
  </si>
  <si>
    <t>Arco Alloys</t>
  </si>
  <si>
    <t>ARY Aurum Plus</t>
  </si>
  <si>
    <t>AURA-II</t>
  </si>
  <si>
    <t>Austin powder</t>
  </si>
  <si>
    <t>Bauer Walser AG</t>
  </si>
  <si>
    <t>BESEEM MINING CO., LTD.</t>
  </si>
  <si>
    <t>Brinkmann Chemie AG</t>
  </si>
  <si>
    <t>Central Bank of the DPR of Korea</t>
  </si>
  <si>
    <t>Changsanjiao Elc.</t>
  </si>
  <si>
    <t>Changzhou Chemical Research Institute Co. Ltd.</t>
  </si>
  <si>
    <t>Hong Kong</t>
  </si>
  <si>
    <t>China Gold Deal Investment Co., Ltd.</t>
  </si>
  <si>
    <t>China Minmetals Non-ferrous Metals Holding Co., Ltd.</t>
  </si>
  <si>
    <t>China National Non Ferrous</t>
  </si>
  <si>
    <t>Chofu Works</t>
  </si>
  <si>
    <t>Codelco</t>
  </si>
  <si>
    <t>Colt Refining</t>
  </si>
  <si>
    <t>Cooperativa Metalurgica de Rondonia Ltda.</t>
  </si>
  <si>
    <t>Cooperativa Metalurgica de Rondônia Ltda.</t>
  </si>
  <si>
    <t>CP Metals Inc.</t>
  </si>
  <si>
    <t>CV Ayi Jaya</t>
  </si>
  <si>
    <t>CV Dua Sekawan</t>
  </si>
  <si>
    <t>CV Duta Putra Bangka</t>
  </si>
  <si>
    <t>CV Gita Pesona</t>
  </si>
  <si>
    <t>CV JusTindo</t>
  </si>
  <si>
    <t>CV United Smelting</t>
  </si>
  <si>
    <t>Daejin Indus Co., Ltd.</t>
  </si>
  <si>
    <t>DaeryongENC</t>
  </si>
  <si>
    <t>Daido Steel</t>
  </si>
  <si>
    <t>Dayu Jincheng Tungsten Industry Co., Ltd.</t>
  </si>
  <si>
    <t>Dayu Weiliang Tungsten Co., Ltd.</t>
  </si>
  <si>
    <t>DONG GUAN SHI XI DA HAN XI PRODUCT CO., LTD</t>
  </si>
  <si>
    <t>Dongguan City Xida Soldering Tin Products Co.</t>
  </si>
  <si>
    <t>DONGKUK INDUSTRIES CO., LTD.</t>
  </si>
  <si>
    <t>Duoluoshan</t>
  </si>
  <si>
    <t>E.S.R. Electronics</t>
  </si>
  <si>
    <t>Feinhütte Halsbrücke GmbH</t>
  </si>
  <si>
    <t>Fuji Metal Mining Corp.</t>
  </si>
  <si>
    <t>Fujian Jinxin Tungsten Co., Ltd.</t>
  </si>
  <si>
    <t>Gannon &amp; Scott</t>
  </si>
  <si>
    <t>Gansu-based Baiyin Nonferrous Metals Corporation (BNMC)/Baiyin Nonferrous Metals Corporation</t>
  </si>
  <si>
    <t>Ganxian Shirui New Material Co., Ltd.</t>
  </si>
  <si>
    <t>Ganzhou Non-ferrous Metals Smelting Co., Ltd.</t>
  </si>
  <si>
    <t>Ganzhou Yatai Tungsten Co., Ltd.</t>
  </si>
  <si>
    <t>Gejiu Fengming Metallurgy Chemical Plant</t>
  </si>
  <si>
    <t>Gejiu Jinye Mineral Company</t>
  </si>
  <si>
    <t>Gejiu Yunxi Group Corp.</t>
  </si>
  <si>
    <t>Global Advanced Metals</t>
  </si>
  <si>
    <t>Gold Bell Group</t>
  </si>
  <si>
    <t>Guangdong Hua Jian Trade Co., Ltd.</t>
  </si>
  <si>
    <t>GUANGDONG JINXIAN GAOXIN CAI LIAO GONG SI</t>
  </si>
  <si>
    <t>Guangdong Rising Rare Metals-EO Materials Ltd.</t>
  </si>
  <si>
    <t>Guangxi Hua Tin Gold Minute Fee, Ltd.</t>
  </si>
  <si>
    <t>Guangxi Nonferrous Metals Group</t>
  </si>
  <si>
    <t>Guangxi Zhongshan Jin Yi Smelting Co., Ltd.</t>
  </si>
  <si>
    <t>Guanyang Guida Nonferrous Metal Smelting Plant</t>
  </si>
  <si>
    <t>H.C. Starck GmbH Laufenburg</t>
  </si>
  <si>
    <t>H.C. Starck Group</t>
  </si>
  <si>
    <t>Hang Seng Technology</t>
  </si>
  <si>
    <t>HC Starck GmbH</t>
  </si>
  <si>
    <t>Henan Yuguang Gold &amp; Lead Co., Ltd.</t>
  </si>
  <si>
    <t>Hetai Gold Mineral Guangdong Co., Ltd.</t>
  </si>
  <si>
    <t>Hezhou Jinwei Tin Co., Ltd.</t>
  </si>
  <si>
    <t>Hi-Temp Specialty Metals, Inc.</t>
  </si>
  <si>
    <t>Hongqiao Metals (Kunshan) Co., Ltd.</t>
  </si>
  <si>
    <t>Hop Hing Electroplating Factory Zhejiang</t>
  </si>
  <si>
    <t>Huichang Jinshunda Tin Co., Ltd.</t>
  </si>
  <si>
    <t>Hunan Chuangda Vanadium Tungsten Co., Ltd. Wuji</t>
  </si>
  <si>
    <t>Hung Cheong Metal Manufacturing Limited</t>
  </si>
  <si>
    <t>Jiangxi Ketai Advanced Material Co., Ltd.</t>
  </si>
  <si>
    <t>Jiangxi Rare Earth &amp; Rare Metals Tungsten Group Corp</t>
  </si>
  <si>
    <t>Jiangxi Richsea New Materials Co., Ltd.</t>
  </si>
  <si>
    <t>Jiangxi Xianglu Tungsten Co., Ltd.</t>
  </si>
  <si>
    <t>Jiangxi Xiushui Xianggan Nonferrous Metals Co., Ltd.</t>
  </si>
  <si>
    <t>Jin Jinyin Refining Co., Ltd.</t>
  </si>
  <si>
    <t>Jinlong Copper Co., Ltd.</t>
  </si>
  <si>
    <t>Jiujiang Janny New Material Co., Ltd.</t>
  </si>
  <si>
    <t>Ju Tai Industrial Co., Ltd.</t>
  </si>
  <si>
    <t>KEMET Blue Powder</t>
  </si>
  <si>
    <t>KEMET Corp.</t>
  </si>
  <si>
    <t>King-Tan Tantalum Industry Ltd.</t>
  </si>
  <si>
    <t>Kovohute Pribram nastupnicka, a. s.</t>
  </si>
  <si>
    <t>Lian Jing</t>
  </si>
  <si>
    <t>Linwu Xianggui Smelter Co</t>
  </si>
  <si>
    <t>M/s ECO Tropical Resources</t>
  </si>
  <si>
    <t>Ma An Shan Shu Guang Smelter Corp.</t>
  </si>
  <si>
    <t>Materials Eco-Refining Co., Ltd.</t>
  </si>
  <si>
    <t>Medeko cast, s.r.o.</t>
  </si>
  <si>
    <t>Slovakia</t>
  </si>
  <si>
    <t>Mehra Ferro-Alloys Pvt. Ltd.</t>
  </si>
  <si>
    <t>Meta Materials</t>
  </si>
  <si>
    <t>NORTH MACEDONIA, REPUBLIC OF</t>
  </si>
  <si>
    <t>Minchali Metal Industry Co., Ltd.</t>
  </si>
  <si>
    <t>Ming Li Jia Smelt Metal Factory</t>
  </si>
  <si>
    <t>Minmetals Ganzhou Tin Co. Ltd.</t>
  </si>
  <si>
    <t>Morris and Watson Gold Coast</t>
  </si>
  <si>
    <t>Nantong Tongjie Electrical Co., Ltd.</t>
  </si>
  <si>
    <t>Nathan Trotter &amp; Co., Inc.</t>
  </si>
  <si>
    <t>Ney Metals and Alloys</t>
  </si>
  <si>
    <t>Nyrstar Metals</t>
  </si>
  <si>
    <t>Old City Metals Processing Co., Ltd.</t>
  </si>
  <si>
    <t>Omodeo A. E S. Metalleghe SRL</t>
  </si>
  <si>
    <t>Pan Light Corporation</t>
  </si>
  <si>
    <t>Plansee SE</t>
  </si>
  <si>
    <t>Plansee SE Liezen</t>
  </si>
  <si>
    <t>Plansee SE Reutte</t>
  </si>
  <si>
    <t>PM Kalco Inc</t>
  </si>
  <si>
    <t>Pobedit, JSC</t>
  </si>
  <si>
    <t>Precious Metals Sales Corp.</t>
  </si>
  <si>
    <t>PT Bangka Kudai Tin</t>
  </si>
  <si>
    <t>PT Bangka Prima Tin</t>
  </si>
  <si>
    <t>PT Bangka Putra Karya</t>
  </si>
  <si>
    <t>PT DS Jaya Abadi</t>
  </si>
  <si>
    <t>PT Eunindo Usaha Mandiri</t>
  </si>
  <si>
    <t>PT Inti Stania Prima</t>
  </si>
  <si>
    <t>PT Karimun Mining</t>
  </si>
  <si>
    <t>PT Kijang Jaya Mandiri</t>
  </si>
  <si>
    <t>PT Koba Tin</t>
  </si>
  <si>
    <t>PT Lautan Harmonis Sejahtera</t>
  </si>
  <si>
    <t>PT Natari</t>
  </si>
  <si>
    <t>PT O.M. Indonesia</t>
  </si>
  <si>
    <t>PT Premium Tin Indonesia</t>
  </si>
  <si>
    <t>PT Rajehan Ariq</t>
  </si>
  <si>
    <t>PT Sumber Jaya Indah</t>
  </si>
  <si>
    <t>PT Wahana Perkit Jaya</t>
  </si>
  <si>
    <t>Realized the Enterprise Co., Ltd.</t>
  </si>
  <si>
    <t>Republic Metals Corporation</t>
  </si>
  <si>
    <t>Rio Tinto Group</t>
  </si>
  <si>
    <t>Sanher Tungsten Vietnam Co., Ltd.</t>
  </si>
  <si>
    <t>Sanmenxia Hengsheng science and technology, research and development Co., LTD</t>
  </si>
  <si>
    <t>Schone Edelmetaal B.V.</t>
  </si>
  <si>
    <t>Shan Tou Shi Yong Yuan Jin Shu Zai Sheng Co., Ltd.</t>
  </si>
  <si>
    <t>Shandon Jin Jinyin Refining Limited</t>
  </si>
  <si>
    <t>Shandong Hengbang Smelter Co., Ltd.</t>
  </si>
  <si>
    <t>Shandong Penglai Gold Smelter</t>
  </si>
  <si>
    <t>Shandong Yanggu Xiangguang Co., Ltd.</t>
  </si>
  <si>
    <t>Shanghai Jiangxi Metals Co., Ltd.</t>
  </si>
  <si>
    <t>Shenzhen Heng Zhong Industry Co., Ltd.</t>
  </si>
  <si>
    <t>Shenzhen Hong Chang Metal Manufacturing Factory</t>
  </si>
  <si>
    <t>Sichuan Guanghan Jiangnan Casting Smelters</t>
  </si>
  <si>
    <t>Sigma Tin Alloy Co., Ltd.</t>
  </si>
  <si>
    <t>Sino-Platinum Metals Co., Ltd.</t>
  </si>
  <si>
    <t>Sizer Metals PTE Ltd</t>
  </si>
  <si>
    <t>Standard Bank</t>
  </si>
  <si>
    <t>Suzhou Xingrui Noble</t>
  </si>
  <si>
    <t>TaeguTec Ltd.</t>
  </si>
  <si>
    <t>Tantalite Resources</t>
  </si>
  <si>
    <t>Westmetall GmbH &amp; Co.KG</t>
  </si>
  <si>
    <t>XTC,XTC Haicang,XTC H.C.</t>
  </si>
  <si>
    <t>Yan Nan Xi Ye Electrical Limited</t>
  </si>
  <si>
    <t>Yantai Zhaojin Lifu Precious Metals Co., Ltd.</t>
  </si>
  <si>
    <t>Noord-Holland, not available, Yoshimasa Uozumi, Yoshimasa Uozumi
Mr. Masahiko Endo</t>
  </si>
  <si>
    <t>cyuozumi@asaka.co.jp, cyuozumi@asaka.co.jp
smendo@asaka.co.jp, not available</t>
  </si>
  <si>
    <t>0, R/S, RCOI confirmed per RMI, Recycled, Scrap, Recycled, Scrap | Recycled/Scrap, Recycled/Scrap | not available | Recycled, Scrap, Recyled/Scrap, Unknown, but some recycled/scrap</t>
  </si>
  <si>
    <t>Includes Covered Countries, Mineral sourcing R/S based on RMAP-RMI's RCOI data, No known country of origin | Recycled/Scrap | Recycled/Scrap Only | No known country of origin | R/S | Does not source from DRC or covered countries | 47 Aza Maseguchi, Kanaya Tamura-machi, Koriyama-shi, Fukushima, 963-0725, JAPAN | R/S | Mineral sourcing R/S, R/S | Recycled/Scrap | 47 Aza Maseguchi, Kanaya Tamura-machi, Koriyama-shi, Fukushima, 963-0725, JAPAN, R/S, CC, HR, RCOI confirmed per RMI, Recycled/Scrap, Recycled/Scrap Only, Recyled/Scrap, Unspecified covered country, recycled/scrap</t>
  </si>
  <si>
    <t>No, Yes</t>
  </si>
  <si>
    <t>Compliant, Compliant Conformant, Conformant, Conformant Smelter, Conformant smelter according to RMI, audit valid until 2021, Conformant Smelter according to RMI, last cycle in 25.08.2020 with a cycle of 1 Year, RCOI confirmed per RMI, RMAP Conformant</t>
  </si>
  <si>
    <t>8035 West Calumet Road</t>
  </si>
  <si>
    <t>Milwaukee</t>
  </si>
  <si>
    <t>aura2@execpc.com</t>
  </si>
  <si>
    <t>Recycled and scrap</t>
  </si>
  <si>
    <t>No. 79, Block C, 8-11 layer,Beijing Desheng International Center, Deshengmenwai Street,</t>
  </si>
  <si>
    <t>Beijing</t>
  </si>
  <si>
    <t>albetter@albetter.com</t>
  </si>
  <si>
    <t>Rondonia</t>
  </si>
  <si>
    <t>customer care, Ronaldo Barbacena (General Manager)</t>
  </si>
  <si>
    <t>gerencia.adm@coopermetalro.com.br, phone 55-69- 3516.9123</t>
  </si>
  <si>
    <t>Warren</t>
  </si>
  <si>
    <t>Due diligence activities have started</t>
  </si>
  <si>
    <t>Listed on Conformant Smelter &amp;amp; Refiner Lists</t>
  </si>
  <si>
    <t>Indra Tukimin, Robi</t>
  </si>
  <si>
    <t>ayi_jaya@yahoo.com, indra@arinaresources.com</t>
  </si>
  <si>
    <t>0, Not disclosed by supplier,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</si>
  <si>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Argentina, Australia, Austria, Belgium, Brazil, Cambodia, Canada, Chile, China, Ecuador, Ethiopia, Germany, Guyana, Hungary, India, Indonesia, Japan, Kazakhstan, Korea, Luxembourg, Malaysia, Mongolia, Myanmar, Namibia, Peru, Portugal, Recycled/Scrap, Russian Federation, Taiwan, Excludes Covered Countries and CAHRA, Mineral sourcing L1, Myanmar, Cambodia, Malaysia, Kazakhstan, Portugal, Austria, Mongolia, Luxembourg, Republic Of Korea, Guyana, Brazil, Chile, Laos, Ecuador, Argentina, Hungary, Japan, India, Canada, Belgium, Namibia, China, Peru, Germany, Ethiopia, Russia, Vietnam, Singapore, USA, Egypt, Sierra Leone, Madagascar, Ivory Coast, Thailand, Bolivia, Netherlands, Ireland, Slovakia, France, Nigeria, United Kingdom, Switzerland, Spain, Djibouti, Czech Republic, Zimbabwe, Suriname, Israel, Australia, Indonesia, Estonia, Colombia, Recycled/Scrap, Myanmar, Cambodia, Malaysia, Kazakhstan, Portugal, Mongolia, Austria, Luxembourg, Brazil, Guyana, Korea, Republic of, Chile, Laos, Ecuador, Argentina, Hungary, Japan, India, Canada, Belgium, Namibia, Taiwan, Peru, Germany, Ethiopia, Russian Federation, Singapore, Viet Nam, United States, Egypt, Sierra Leone, Madagascar, Ivory Coast, Thailand, Bolivia, Netherlands, Ireland, China, Slovakia, France, Nigeria, United Kingdom, Switzerland, Spain, Djibouti, Czech Republic, Zimbabwe, Suriname, Israel, Australia, Indonesia, Estonia, Myanmar, Cambodia, Malaysia, Kazakhstan, Portugal, Mongolia, Austria, Luxembourg, Korea, Republic of, Brazil, Guyana, Chile, Laos, Ecuador, Argentina, Hungary, Japan, India, Canada, Belgium, Namibia, Taiwan, Peru, Germany, Ethiopia, Russian Federation, Singapore, Viet Nam, United States, Egypt, Sierra Leone, Madagascar, Ivory Coast, Bolivia, Thailand, Netherlands, China, Ireland, Slovakia, France, Nigeria, United Kingdom, Switzerland, Spain, Djibouti, Czech Republic, Zimbabwe, Suriname, Israel, Australia, Indonesia, Estonia, Recycled/Scrap, Indonesia, India, Brazil, Argentina, Austria, Belgium, Cambodia, Canada, Chile, Ecuador, Ethiopia, Germany, Guyana, Hungary, Japan, Kazakhstan, Korea, Luxembourg, Malaysia, Mongolia, Myanmar, Namibia, Peru, Portugal, Australia, China, Djibouti, Egypt, Estonia, France, Ireland, Israel, Madagascar, Netherlands, Niger, Nigeria, Sierra Leone, Singapore, Slovakia, Spain, Suriname, Switzerland, Thailand, United Kingdom, United States, Zimbabwe, Colombia, Unknown</t>
  </si>
  <si>
    <t>0, Active, Active smelter - completing RMAP, Compliant, COMPLIANT 09/22/2015</t>
  </si>
  <si>
    <t>Rudi Sahwani, Rudi Sahwani (Director)</t>
  </si>
  <si>
    <t>cv.duasekawan01@gmail.com</t>
  </si>
  <si>
    <t>Not disclosed by supplier, Unknown</t>
  </si>
  <si>
    <t>Mineral sourcing not disclosed per RMI, Unknown</t>
  </si>
  <si>
    <t>Contact: Gian Fierra /     CEO name : Achmad FadriMobile Phone : 62-821-85847374, Mr. Syafrizal, Mr. Syafrizal (ST, Head of Mining Engineering)</t>
  </si>
  <si>
    <t>Contact: Gian Fierra Email: gianfierra21@outlook.com, syafrizal_srmi@yahoo.co.id, syafrizl_srmi@yahoo.co.id</t>
  </si>
  <si>
    <t>Mineral sourcing not disclosed per RMI, N/A, Unknown</t>
  </si>
  <si>
    <t xml:space="preserve">ACTIVE 09/22/2015, under investigation / recertification </t>
  </si>
  <si>
    <t>Pangkalan</t>
  </si>
  <si>
    <t>Conflidential, Firmino Silva, Mr Irving, Mr. Johanes Irving Tedy</t>
  </si>
  <si>
    <t>Confidential, fsilva.ersa@csn.com.br, United Smelting &amp;lt;utdsmelt@yahoo.com&amp;gt;, utdsmelt@yahoo.com</t>
  </si>
  <si>
    <t>From Pangkal Pinang, Bangka Island Indonesia, Unspecified mine in Pangkal Pinang, Bangka Island, Indonesia</t>
  </si>
  <si>
    <t>Indonesia, Mineral sourcing from Indonesia, Mineral sourcing L1, Indonesia</t>
  </si>
  <si>
    <t>COMPLIANT 09/22/2015, http://www.conflictfreesourcing.org/media/docs/ConflictMineralsPolicy-CVUnitedSmelting.pdf, This smelter is CFS.
http://www.conflictfreesmelter.org/CompliantTinSmelterList.htm</t>
  </si>
  <si>
    <t>Randy S. Ju (Marketing Manager)</t>
  </si>
  <si>
    <t>ibyunvi@naver.com</t>
  </si>
  <si>
    <t>R/S, Recycled/scrap only</t>
  </si>
  <si>
    <t>Korea, R/S, Recycled/scrap only</t>
  </si>
  <si>
    <t xml:space="preserve">Conformant, under investigation / recertification </t>
  </si>
  <si>
    <t>Dayu Country</t>
  </si>
  <si>
    <t>No.35, Shuikousi Road, Nan'An Town, Dayu County China</t>
  </si>
  <si>
    <t>Sihui City</t>
  </si>
  <si>
    <t xml:space="preserve">DUOLUOSHAN </t>
  </si>
  <si>
    <t>dlsnsy@aliyun.com</t>
  </si>
  <si>
    <t xml:space="preserve">COMPLIANT 09/22/2015, under investigation / recertification </t>
  </si>
  <si>
    <t>6427 Springer Street</t>
  </si>
  <si>
    <t>Houston</t>
  </si>
  <si>
    <t>recycle@esrinc.com</t>
  </si>
  <si>
    <t>100% scrap and recycle</t>
  </si>
  <si>
    <t>Scrap and recycle</t>
  </si>
  <si>
    <t>Jackson</t>
  </si>
  <si>
    <t xml:space="preserve">COMPLIANT 09/22/2015, https://elemetal.com/documents/Conflict_Free_Policy.pdf, under investigation / recertification </t>
  </si>
  <si>
    <t>Yanshi</t>
  </si>
  <si>
    <t>Nick, Nick, Senlin Wang</t>
  </si>
  <si>
    <t>nizhihongwork@foxmail.com, nizhihongwork@foxmail.com, wangsenlinly@126.com</t>
  </si>
  <si>
    <t>Recycled, Scrap and mines, Recycled, Scrap and mines | RCOI confirmed as per RMI, Recycled, Scrap and mines, not disclosed by supplier,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</si>
  <si>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Taiwan, Thailand, United Kingdom, USA, Vietnam, Zimbabwe, recycled/scrap, L1, R/S, L1, R/S | RCOI confirmed as per RMI | Myanmar, Cambodia, Malaysia, Kazakhstan, Portugal, Mongolia, Austria, Luxembourg, Korea, Republic of, Guyana, Brazil, Chile, Laos, Colombia, Ecuador, Argentina, Hungary, Japan, India, Canada, Belgium, Namibia, Taiwan, Peru, Germany, Ethiopia, Russian Fede | NO.1 Jinxin Road, Yanshi Town, Longyan, Fujian, China | Excludes Covered Countries, Myanmar, Cambodia, Malaysia, Kazakhstan, Portugal, Austria, Mongolia, Luxembourg, Brazil, Guyana, Republic Of Korea, Chile, Laos, Colombia, Ecuador,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Recycled/Scrap, China, Philippines, DRC or an adjoining country (Covered Countries), Unknown</t>
  </si>
  <si>
    <t xml:space="preserve">Compliant Conformant, Conformant Smelter, Listed on Conformant Smelter &amp;amp; Refiner Lists, RCOI confirmed per RMI / approved by TI-CMC, under investigation / recertification </t>
  </si>
  <si>
    <t>MEILIN AVENUE</t>
  </si>
  <si>
    <t>Ganxian County</t>
  </si>
  <si>
    <t>ACTIVE 09/22/2015 TI-CMC Category A</t>
  </si>
  <si>
    <t>Li Chunhui, Ms. Li Chunhui , Ms. Li Chunhui (李春慧)</t>
  </si>
  <si>
    <t>hh6822@163.com</t>
  </si>
  <si>
    <t>0, RCOI confirmed as per RMI., Recycled and scrap, and mines not disclosed by supplier, Some are recycled or scrap sourced but not all. , Unknown, but some recycled/scrap</t>
  </si>
  <si>
    <t>0, Brazil, China, Indonesia, recycled/scrap, Excludes Covered Countries and CAHRA, Mineral sourcing L1 based on RMAP-RMI's RCOI data, RCOI confirmed as per RMI., Some are recycled or scrap sourced but not all. , Some are recycled or scrap sourced but not all. | Excludes Covered Countries and CAHRA, Some are recycled/ scrap but not all, Unknown</t>
  </si>
  <si>
    <t>0, Compliant, Conformant, Conformant Smelter according to RMI, last cycle in 30.10.2018 with a cycle of 1 Year, RCOI Confirmed as per RMAP, this smelter is only used in product WE-XTAL</t>
  </si>
  <si>
    <t>Jijie</t>
  </si>
  <si>
    <t>Yunnan</t>
  </si>
  <si>
    <t>Excludes Covered Countries, Unknown</t>
  </si>
  <si>
    <t>Compliant</t>
  </si>
  <si>
    <t>Conflidential, Miranda Zi, Miranda Zi
Sandy Liu (Supervisor of Operation Department), Mr. Zheng Huiquan, Sandy Liu, Sandy Liu (Supervisor of Operation Department), Shandong</t>
  </si>
  <si>
    <t>cnts723@126.com, Confidential, zh_ctns@126.com, zh_ctns@126.com
cnts723@126.com</t>
  </si>
  <si>
    <t>Not disclosed by supplier, Scrap and mines from Guangdong Province, Some are recycled, scrap, cover countries or DRC sourced but not all., Unspecified mines in Guangdong province, China and recycled/scrap</t>
  </si>
  <si>
    <t>China, recycled/scrap, DRC, DRC- Congo (Kinshasa), Myanmar, Angola, Cambodia, Malaysia, Kazakhstan, Portugal, Austria, Mongolia, Mozambique, Luxembourg, Korea, Republic of, Brazil, Guyana, Chile, Laos, Ecuador, Colombia, Argentina, South Sudan, Hungary, Japan, Tanzania, Zambia, Congo (Brazzaville), India, Canada, Belgium, Namibia, Taiwan, South Africa, Central African Republic, Peru, Germany, Ethiopia, Russian Federation, Burundi, Viet Nam, Singapore, United States, Egypt, Madagascar, Sierra Leone, Ivory Coast, Thailand, Bolivia, Netherlands, China, Ireland, Slovakia, Nigeria, France, Niger, Rwanda, United Kingdom, Kenya, Switzerland, Spain, Djibouti, Czech Republic, Uganda, Zimbabwe, Suriname, Israel, Australia, Indonesia, Estonia, DRC- Congo (Kinshasa), Myanmar, Angola, Cambodia, Malaysia, Kazakhstan, Portugal, Mongolia, Austria, Mozambique, Luxembourg, Brazil, Korea, Republic of, Guyana, Chile, Laos, Colombia, Ecuador, Argentina, South Sudan, Hungary, Japan, Tanzania, Zambia, Congo (Brazzaville), India, Canada, Belgium, Namibia, Taiwan, South Africa, Central African Republic, Peru, Germany, Ethiopia, Burundi, Russian Federation, Singapore, Viet Nam, United States, Egypt, Sierra Leone, Madagascar, Ivory Coast, Thailand, Bolivia, Netherlands, Ireland, China, Slovakia, France, Nigeria, Niger, Rwanda, United Kingdom, Kenya, Switzerland, Spain, Djibouti, Czech Republic, Uganda, Zimbabwe, Suriname, Israel, Australia, Indonesia, Estonia, DRC- Congo (Kinshasa), Myanmar, Angola, Cambodia, Malaysia, Kazakhstan, Portugal, Mongolia, Austria, Mozambique, Luxembourg, Guyana, Brazil, Korea, Republic of, Chile, Laos, Ecuador, Colombia, Argentina, Hungary, South Sudan, Japan, Tanzania, Zambia, Congo (Brazzaville), India, Canada, Belgium, Namibia, Taiwan, South Africa, Central African Republic, Peru, Germany, Ethiopia, Burundi, Russian Federation, Singapore, Viet Nam, United States, Egypt, Sierra Leone, Madagascar, Ivory Coast, Thailand, Bolivia, Netherlands, China, Ireland, Slovakia, France, Nigeria, Niger, Rwanda, United Kingdom, Kenya, Switzerland, Spain, Djibouti, Czech Republic, Zimbabwe, Uganda, Suriname, Israel, Australia, Indonesia, Estonia, DRC- Congo (Kinshasa), Myanmar, Angola, Cambodia, Malaysia, Kazakhstan, Portugal, Mongolia, Austria, Mozambique, Luxembourg, Korea, Republic of, Brazil, Guyana, Chile, Laos, Colombia, Ecuador, Argentina, South Sudan, Hungary, Japan, Tanzania, Zambia, Congo (Brazzaville), India, Canada, Belgium, Namibia, Taiwan, South Africa, Central African Republic, Peru, Ethiopia, Germany, Russian Federation, Burundi, Viet Nam, Singapore, United States, Egypt, Madagascar, Sierra Leone, Ivory Coast, Bolivia, Thailand, Netherlands, China, Ireland, Slovakia, Nigeria, France, Niger, Rwanda, United Kingdom, Kenya, Switzerland, Spain, Djibouti, Czech Republic, Uganda, Zimbabwe, Suriname, Israel, Australia, Estonia, Indonesia, Mineral sourcing L1 based on RMAP-RMI's RCOI data, Mineral sourcing L1,DRC, Not disclosed by supplier</t>
  </si>
  <si>
    <t xml:space="preserve">COMPLIANT 09/22/2015, Conformant, Conformant Smelter according to RMI, last cycle in 25.12.2018 with a cycle of 1 Year, This smelter is CFS. http://www.responsiblemineralsinitiative.org/tantalum-conformant-smelters/, This smelter is CFS.
http://www.conflictfreesmelter.org/CompliantTantalumSmelterList.htm, under investigation / recertification </t>
  </si>
  <si>
    <t>Guanyang</t>
  </si>
  <si>
    <t>Wen Zhun, Wen Zhun (Finance Manager)</t>
  </si>
  <si>
    <t>1426373297@qq.com, 1426376297@qq.com</t>
  </si>
  <si>
    <t>Not disclosed by supplier, Not disclosed by supplier | RCOI confirmed as per RMI, Unknown, but some recycled/scrap</t>
  </si>
  <si>
    <t>Excludes Covered Countries, L1, R/S, L1, R/S | RCOI confirmed as per RMI | No known country of origin | Not Available | 广西灌阳县西山坪工业区 / Xishanping Industrial Park, Guilin City, Guanyang County, Guangxi | Excludes Covered Countries, Unspecified Level 1 country, recycled/scrap</t>
  </si>
  <si>
    <t>Compliant Conformant, Conformant Smelter, Conformant Smelter according to RMI, last cycle in 21.01.2018 with a cycle of 3 Years, RCOI confirmed per RMI, RMAP Conformant Smelter/Refiner</t>
  </si>
  <si>
    <t>355 Sills Rd</t>
  </si>
  <si>
    <t>Yaphank</t>
  </si>
  <si>
    <t>Minas Gerais, Mr Wang, Mr. Xie Jinja
Wennie Wen
Mr Wang, Mr. Xie Jinja; Wennie Wen, Mr. Xie Jinja; Wennie Wen; Mr Wang, Tin, Xie Jinja, Wennie Wen</t>
  </si>
  <si>
    <t>353192154@qq.com (Mr. Xie Jinja)
hcjsdxy@163.com (Wennie Wen)
hcjsdxy@163.com (Mr. Wang), 353192154@qq.com (Mr. Xie Jinja); hcjsdxy@163.com (Wennie Wen), 353192154@qq.com (Mr. Xie Jinja); hcjsdxy@163.com (Wennie Wen); hcjsdxy@163.com (Mr Wang), 353192154@qq.com, hcjsdxy@163.com, hcjsdxy@163.com, Huichang Shun Tin Kam Industries, Ltd.</t>
  </si>
  <si>
    <t>CHINA, Not disclosed by supplier, Not disclosed by supplier | RCOI confirmed as per RMI, Unknown, but some recycled/scrap</t>
  </si>
  <si>
    <t>China, Japan, Thailand, recycled/scrap, China, Recycled/Scrap, Japan, Thailand, CID000760, Excludes Covered Countries, L1 | RCOI confirmed as per RMI | Not Available | Excludes Covered Countries | Huichang County, Jiangxi Ganzhou, Mineral sourcing L1 based on RMAP-RMI's RCOI data</t>
  </si>
  <si>
    <t>No, RMI</t>
  </si>
  <si>
    <t xml:space="preserve">Compliant Conformant, Conformant, Conformant Smelter according to RMI, last cycle in 26.06.2018 with a cycle of 3 Years, None, RCOI confirmed per RMI, under investigation / recertification </t>
  </si>
  <si>
    <t>Minas gerais, Yang Mei, Yang Mei (Vice General Manager)</t>
  </si>
  <si>
    <t>yangmei@hengdong-wolfram.com</t>
  </si>
  <si>
    <t>Not disclosed by supplier, Not disclosed by supplier | RCOI Confirmed as per RMI, Unknown, but some recycled/scrap</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</si>
  <si>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Spain, Suriname, Switzerland, Thailand, United Kingdom, USA, Vietnam, Zimbabwe, recycled/scrap, L1 | LR | RCOI Confirmed as per RMI | Myanmar, Cambodia, Malaysia, Kazakhstan, Portugal, Austria, Mongolia, Luxembourg, Brazil, Korea, Republic of, Guyana, Chile, Laos, Ecuador, Colombia, Argentina, Hungary, Japan, India, Canada, Belgium, Namibia, Taiwan, Peru, Ethiopia, Germany, Russian Fede | Excludes Covered Countries | Hengyang, Hunan, China, LR, Mineral sourcing not disclosed, Myanmar, Cambodia, Malaysia, Kazakhstan, Portugal, Austria, Mongolia, Luxembourg, Republic Of Korea, Brazil, Guyana, Chile, Laos, Colombia, Ecuador, Argentina, Hungary, Japan, India, Canada, Belgium, Namibia, China, Peru, Ethiopia, Germany, Russia, Vietnam, Singapore, USA, Egypt, Sierra Leone, Madagascar, Thailand, Bolivia, Netherlands, Ireland, Slovakia, Nigeria, France, United Kingdom, Switzerland, Spain, Djibouti, Czech Republic, Zimbabwe, Suriname, Israel, Australia, Indonesia, Estonia, Ivory Coast, Recycled/Scrap, Unknown</t>
  </si>
  <si>
    <t>Compliant Conformant, Conformant, Conformant Smelter, Conformant Smelter according to RMI, last cycle in 28.05.2019 with a cycle of 1 Year, RCOI confirmed per RMI / approved by TI-CMC</t>
  </si>
  <si>
    <t>Jiangxi Ketai Advanced Material Co., Ltd., Minna Shu</t>
  </si>
  <si>
    <t>gxk@lzyic.com.cn, Sales@china-raremetal.com</t>
  </si>
  <si>
    <t>Excludes Covered Countries, Mineral sourcing L1, Not disclosed by  supplier, Unknown</t>
  </si>
  <si>
    <t xml:space="preserve">Compliant, COMPLIANT 09/22/2015, under investigation / recertification </t>
  </si>
  <si>
    <t>NINGHUA XINGLUOKENG TUNGSTEN MINING CO., LTD</t>
  </si>
  <si>
    <t>Huanglong</t>
  </si>
  <si>
    <t>Listed on Active smelters &amp;amp; Refiner Lists</t>
  </si>
  <si>
    <t>Herman Herman</t>
  </si>
  <si>
    <t>herman@jiujiangjx.com</t>
  </si>
  <si>
    <t>L1, Unknown</t>
  </si>
  <si>
    <t>no, Unknown</t>
  </si>
  <si>
    <t>Conformant</t>
  </si>
  <si>
    <t>Carlota Garza, Marc Runyan</t>
  </si>
  <si>
    <t>CarlotaGarza@kemet.com, marcrunyan@kemet.com</t>
  </si>
  <si>
    <t>N/A, Unknown</t>
  </si>
  <si>
    <t>Shishi Industry Zone, Shishi Town, Yifeng Country</t>
  </si>
  <si>
    <t>Balin Dol</t>
  </si>
  <si>
    <t>Ray Power , Simon Harris, Toscana</t>
  </si>
  <si>
    <t>r@prgplc.eu, simon.harris@metalysis.com</t>
  </si>
  <si>
    <t>Compliant, Compliant Conformant, Conformant, Conformant Smelter, Conformant smelter according to RMI, audit valid until 2021, Conformant Smelter according to RMI, last cycle in 16.10.2020 with a cycle of 1 Year, Part or all material comes from Covered Country, RCOI confirmed per RMI, RMAP Conformant</t>
  </si>
  <si>
    <t>Gold Coast</t>
  </si>
  <si>
    <t>UNITED STATES</t>
  </si>
  <si>
    <t>241 W Stewart Huston Drive</t>
  </si>
  <si>
    <t>Coatesville</t>
  </si>
  <si>
    <t>Liezen</t>
  </si>
  <si>
    <t>Styria</t>
  </si>
  <si>
    <t>Metallwerk-Plansee-Straße 71</t>
  </si>
  <si>
    <t>Reutte</t>
  </si>
  <si>
    <t>Tyrol</t>
  </si>
  <si>
    <t>info@plansee.com, info@plansee.com;info@plansee.com;info@plansee.com;info@plansee.com;info@plansee.com</t>
  </si>
  <si>
    <t>Zavodskaya Str. Vladikavkaz,</t>
  </si>
  <si>
    <t>Russia</t>
  </si>
  <si>
    <t>purchasing@wolframcompany.ru</t>
  </si>
  <si>
    <t>Air Mesu</t>
  </si>
  <si>
    <t>Andi Kurniawan, Chris Susanto, http://www.responsiblemineralsinitiative.org/media/docs/PT_Bangka_Prima_Tin_CM_Policy.pdf</t>
  </si>
  <si>
    <t>chris@arinaresouces.com, http://www.responsiblemineralsinitiative.org/media/docs/PT_Bangka_Prima_Tin_CM_Policy.pdf, Yoanbz_dahsyat@yahoo.com</t>
  </si>
  <si>
    <t>Due diligence results pending, Mineral sourcing L1, Not disclosed by supplier, Unknown</t>
  </si>
  <si>
    <t>customer care, Hardi Salim, Mr. Hardi Salim</t>
  </si>
  <si>
    <t>(0717)7001988 437472, aheuw@dsja-tin.com, aheuwnee@gmail.com, aheuwnee@gmail.com, Aheuw@dsja-tin.com</t>
  </si>
  <si>
    <t>From Bangka Belitung Province, Indonesia, Unknown</t>
  </si>
  <si>
    <t xml:space="preserve">COMPLIANT 09/22/2015, Conflict Free Smelter, under investigation / recertification </t>
  </si>
  <si>
    <t>Karimun</t>
  </si>
  <si>
    <t>Elin Ling</t>
  </si>
  <si>
    <t>&amp;lt;elinling.49@gmail.com&amp;gt;</t>
  </si>
  <si>
    <t>From Kepulauan Riau, Riau Islands, Unknown</t>
  </si>
  <si>
    <t>Excludes Covered Countries, Mineral sourcing L1, Indonesia, Unknown</t>
  </si>
  <si>
    <t xml:space="preserve">Compliant, COMPLIANT 09/22/2015, http://www.eunindo.com/, under investigation / recertification </t>
  </si>
  <si>
    <t>Adis Imam</t>
  </si>
  <si>
    <t>adis_im@yahoo.com</t>
  </si>
  <si>
    <t>L1, Not disclosed by supplier, Unknown</t>
  </si>
  <si>
    <t>L1, Mineral sourcing L1, Not disclosed by supplier, Unknown</t>
  </si>
  <si>
    <t xml:space="preserve">COMPLIANT 09/22/2015, Conformant, under investigation / recertification </t>
  </si>
  <si>
    <t>Kevin Oei</t>
  </si>
  <si>
    <t>s3362498@gmail.com, s3362498@gmail.com, kevin@unionmetal.co</t>
  </si>
  <si>
    <t xml:space="preserve">under investigation / recertification </t>
  </si>
  <si>
    <t>Yohanes</t>
  </si>
  <si>
    <t>zzhenghe@gmail.com</t>
  </si>
  <si>
    <t>Indonesia, Unknown</t>
  </si>
  <si>
    <t>Pasir Putih</t>
  </si>
  <si>
    <t>Cyril (Hongshi) Xie</t>
  </si>
  <si>
    <t>cyril@3vusainc.com, lautanhs@gmail.com</t>
  </si>
  <si>
    <t>China, Indonesia, recycled/scrap, Excludes Covered Countries, Recycled/Scrap, Recycled/Scrap, Indonesia, China, India</t>
  </si>
  <si>
    <t>0, Active smelter - completing RMAP, Compliant</t>
  </si>
  <si>
    <t>Bekasi</t>
  </si>
  <si>
    <t>Central Kalimantan</t>
  </si>
  <si>
    <t>David Moeis</t>
  </si>
  <si>
    <t>d.moeis@gmail.com</t>
  </si>
  <si>
    <t>Due diligence results pending, Excludes Covered Countries and CAHRA, Mineral sourcing not disclosed per RMI, Unknown</t>
  </si>
  <si>
    <t>Darmansyah (Manager), Mr. Hermanto, NA</t>
  </si>
  <si>
    <t>darmansyah919@gmail.com, syahdarman87@yahoo.co.id, hermanto.home@gmail.com, NA</t>
  </si>
  <si>
    <t>0, Excludes Covered Countries, LR, NA, Not disclosed by supplier, RCOI confirmed as per RMI., RCOI confirmed per RMI, Unknown</t>
  </si>
  <si>
    <t>Argentina, Australia, Austria, Belgium, Bolivia, Brazil, Cambodia, Canada, Chile, China, Colombia, Czech Republic, Djibouti, Ecuador, Egypt, Estonia, Ethiopia, France, Germany, Guyana, Hungary, India, Indonesia, Ireland, Israel, Ivory Coast, Japan, Kazakhstan, Laos, Luxembourg, Madagascar, Malaysia, Mongolia, Myanmar, Namibia, Netherlands, Nigeria, Peru, Portugal, Republic of Korea, Russia, Sierra Leone, Singapore, Slovakia, South Africa, Spain, Suriname, Switzerland, Thailand, United Kingdom, USA, Vietnam, Zimbabwe, Excludes Covered Countries, Excludes Covered Countries and CAHRA, 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 Indonesia, India, Belgium, Brazil, Argentina, Austria, Canada, China, Germany, Guyana, Japan, Namibia, Ethiopia, Malaysia, Mongolia, Peru, Portugal, Australia, Niger, Nigeria, Sierra Leone, Spain, Thailand, United States, Zimbabwe, Cambodia, Chile, Colombia, Ecuador, Hungary, Kazakhstan, Singapore, Korea, Luxembourg, Myanmar, Djibouti, Egypt, Estonia, France, Ireland, Israel, Madagascar, Slovakia, Netherlands, Suriname, Switzerland, United Kingdom, South Africa, Recycled/Scrap, Ghana, Guinea, Mexico, Mozambique, Russian Federation;Myanmar, Cambodia, Malaysia, Kazakhstan, Portugal, Mongolia, Austria, Luxembourg, Brazil, Guyana, Republic Of Korea, Chile, Laos, Ecuador, Colombia, Argentina, Hungary, Japan, India, Canada, Belgium, Namibia, China, Peru, Ethiopia, Germany, Russia, Singap, Mineral sourcing LR based on RMAP-RMI's RCOI data, 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 NA, RCOI confirmed as per RMI., RCOI confirmed per RMI</t>
  </si>
  <si>
    <t>Compliant, Conformant, Conformant smelter according to RMI, audit valid until 2021, reassessment in progress, Conformant Smelter according to RMI, last cycle in 04.08.2018 with a cycle of 1 Year, Listed as 2020 Conformant Smelter by RMI, RCOI confirmed per RMI, RMAP Conformant, RMAP Conformant Smelter</t>
  </si>
  <si>
    <t>customer care, Eri Irwanto, Mr Eri Irwanto, Mr Ramot Sihombing, Mr. Eri Irwanto</t>
  </si>
  <si>
    <t>(+)62 717 938 46, eri.irwanto@gmail.com, eriirwanto@gmail.com, rs@bangkatinind.com</t>
  </si>
  <si>
    <t>Bangaka Tin, From BANGAKA TIN</t>
  </si>
  <si>
    <t>Due diligence results pending, Indonesia, Mineral sourcing L1, from Indonesia, Mineral sourcing L1, Indonesia</t>
  </si>
  <si>
    <t>Mr. Sendy Pranata (Owner), Sendy Pranata</t>
  </si>
  <si>
    <t>sumberjayaindah@gmail.com</t>
  </si>
  <si>
    <t>Mineral sourcing L1, Not disclosed by supplier, Unknown</t>
  </si>
  <si>
    <t>Topang Island</t>
  </si>
  <si>
    <t>Riau Province</t>
  </si>
  <si>
    <t>Miami</t>
  </si>
  <si>
    <t>Drew Bloomberg</t>
  </si>
  <si>
    <t>dbloomberg@republicmetalscorp.com</t>
  </si>
  <si>
    <t>Excludes Covered Countries, N/A, Unknown</t>
  </si>
  <si>
    <t>Huyen Nhon Trach</t>
  </si>
  <si>
    <t>Tinh Dong Nai</t>
  </si>
  <si>
    <t>Amsterdam</t>
  </si>
  <si>
    <t>Alec Sellem</t>
  </si>
  <si>
    <t>alec@sellemindustries.com</t>
  </si>
  <si>
    <t>Liechtenstein, Unknown</t>
  </si>
  <si>
    <t>Dinesh Jain</t>
  </si>
  <si>
    <t>gurgaon@kotharimetals.in</t>
  </si>
  <si>
    <t>7/F Yunxoi Hotel Ni 36 North</t>
  </si>
  <si>
    <t>Kumming City</t>
  </si>
  <si>
    <t>Yuan Nan</t>
  </si>
  <si>
    <t>Mr. Liu</t>
  </si>
  <si>
    <t>CFSI Unrecognized</t>
  </si>
  <si>
    <t>Jean-Paul Meutcheho</t>
  </si>
  <si>
    <t>Sprecher + Schuh</t>
  </si>
  <si>
    <t>06-1968418</t>
  </si>
  <si>
    <t>821 Southlake Blvd. Richmond, VA 23236</t>
  </si>
  <si>
    <t>https://www.sprecherschuh.com/library/approvals/compliance.html</t>
  </si>
  <si>
    <t>Sprecher + Schuh's "Respect For Supply Chain Activities" and "Supplier Code of Conduct" documents condem all forms of forced compulsory labor and exploitative child labor, and encourage our supplier to have similar ethics and compliance programs.  Sprecher + Schuh also has a "Sprecher + Schuh Conflict Minerals Supply Chain Statement" .  These are available on our website.  See link in question B.</t>
  </si>
  <si>
    <t>Jimmy Alvarez</t>
  </si>
  <si>
    <t>jalvarez3@ra.rockwell.com</t>
  </si>
  <si>
    <t>440-264-3330</t>
  </si>
  <si>
    <t>Product Marketing Engineer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</si>
</sst>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7">
    <font>
      <sz val="10"/>
      <name val="Verdana"/>
    </font>
    <font>
      <sz val="11"/>
      <color theme="1"/>
      <name val="Calibri"/>
      <family val="2"/>
      <scheme val="minor"/>
    </font>
    <font>
      <sz val="11"/>
      <color theme="0"/>
      <name val="Calibri"/>
      <family val="2"/>
      <scheme val="minor"/>
    </font>
    <font>
      <sz val="11"/>
      <color rgb="FF9C0006"/>
      <name val="ＭＳ Ｐゴシック"/>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font>
    <font>
      <sz val="11"/>
      <name val="Calibri"/>
      <family val="2"/>
      <scheme val="minor"/>
    </font>
    <font>
      <sz val="11"/>
      <name val="맑은 고딕"/>
      <charset val="129"/>
    </font>
    <font>
      <sz val="11"/>
      <name val="Arial"/>
      <family val="2"/>
    </font>
    <font>
      <sz val="11"/>
      <name val="ＭＳ Ｐゴシック"/>
      <charset val="128"/>
    </font>
    <font>
      <sz val="11"/>
      <name val="돋움"/>
      <charset val="129"/>
    </font>
    <font>
      <sz val="11"/>
      <name val="Calibri1"/>
    </font>
    <font>
      <sz val="7"/>
      <name val="Verdana"/>
      <family val="2"/>
    </font>
    <font>
      <sz val="12"/>
      <name val="Calibri"/>
      <family val="2"/>
      <scheme val="minor"/>
    </font>
    <font>
      <sz val="12"/>
      <name val="Arial"/>
      <family val="2"/>
    </font>
    <font>
      <sz val="11"/>
      <name val="ＭＳ Ｐゴシック"/>
    </font>
    <font>
      <sz val="10"/>
      <name val="Verdana"/>
      <family val="2"/>
    </font>
    <font>
      <sz val="11"/>
      <color rgb="FF000000"/>
      <name val="Calibri"/>
      <family val="2"/>
    </font>
    <font>
      <b/>
      <sz val="9"/>
      <name val="Tahoma"/>
      <family val="2"/>
    </font>
    <font>
      <sz val="9"/>
      <name val="Tahom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392">
    <xf numFmtId="0" fontId="0" fillId="0" borderId="0" xfId="0"/>
    <xf numFmtId="174" fontId="0" fillId="0" borderId="0" xfId="0" applyNumberFormat="1"/>
    <xf numFmtId="0" fontId="0" fillId="33" borderId="10" xfId="0" applyFill="1" applyBorder="1" applyAlignment="1">
      <alignment vertical="top" wrapText="1"/>
    </xf>
    <xf numFmtId="0" fontId="0" fillId="33" borderId="11" xfId="0" applyFill="1" applyBorder="1" applyAlignment="1">
      <alignment vertical="top" wrapText="1"/>
    </xf>
    <xf numFmtId="174" fontId="0" fillId="33" borderId="11" xfId="0" applyNumberFormat="1" applyFill="1" applyBorder="1" applyAlignment="1">
      <alignment vertical="top" wrapText="1"/>
    </xf>
    <xf numFmtId="0" fontId="0" fillId="33" borderId="12" xfId="0" applyFill="1" applyBorder="1"/>
    <xf numFmtId="0" fontId="31" fillId="33" borderId="0" xfId="0" applyFont="1" applyFill="1"/>
    <xf numFmtId="0" fontId="0" fillId="33" borderId="0" xfId="0" applyFill="1"/>
    <xf numFmtId="174" fontId="0" fillId="33" borderId="0" xfId="0" applyNumberFormat="1" applyFill="1"/>
    <xf numFmtId="0" fontId="0" fillId="33" borderId="14" xfId="0" applyFill="1" applyBorder="1" applyAlignment="1">
      <alignment horizontal="center"/>
    </xf>
    <xf numFmtId="174" fontId="31" fillId="33" borderId="0" xfId="0" applyNumberFormat="1" applyFont="1" applyFill="1"/>
    <xf numFmtId="0" fontId="32" fillId="33" borderId="0" xfId="0" applyFont="1" applyFill="1" applyAlignment="1">
      <alignment horizontal="left"/>
    </xf>
    <xf numFmtId="0" fontId="32" fillId="33" borderId="0" xfId="0" applyFont="1" applyFill="1" applyAlignment="1">
      <alignment horizontal="center" vertical="center" wrapText="1"/>
    </xf>
    <xf numFmtId="174" fontId="32" fillId="33" borderId="0" xfId="0" applyNumberFormat="1" applyFont="1" applyFill="1" applyAlignment="1">
      <alignment horizontal="center" vertical="center" wrapText="1"/>
    </xf>
    <xf numFmtId="0" fontId="33" fillId="33" borderId="0" xfId="0" applyFont="1" applyFill="1" applyAlignment="1">
      <alignment horizontal="left"/>
    </xf>
    <xf numFmtId="0" fontId="33" fillId="33" borderId="0" xfId="0" applyFont="1" applyFill="1" applyAlignment="1">
      <alignment horizontal="center" vertical="center"/>
    </xf>
    <xf numFmtId="174" fontId="33" fillId="33" borderId="0" xfId="0" applyNumberFormat="1" applyFont="1" applyFill="1" applyAlignment="1">
      <alignment horizontal="center" vertical="center"/>
    </xf>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Border="1" applyAlignment="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Border="1" applyAlignment="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Border="1" applyAlignment="1">
      <alignment horizontal="center" vertical="top" wrapText="1"/>
    </xf>
    <xf numFmtId="0" fontId="0" fillId="33" borderId="24" xfId="0" applyFill="1" applyBorder="1" applyAlignment="1">
      <alignment horizontal="center"/>
    </xf>
    <xf numFmtId="0" fontId="39" fillId="0" borderId="25" xfId="0" applyFont="1" applyBorder="1" applyAlignment="1" applyProtection="1">
      <alignment vertical="center" wrapText="1"/>
      <protection hidden="1"/>
    </xf>
    <xf numFmtId="0" fontId="40" fillId="0" borderId="0" xfId="0" applyFont="1" applyAlignment="1">
      <alignment wrapText="1"/>
    </xf>
    <xf numFmtId="0" fontId="41" fillId="0" borderId="26" xfId="0" applyFont="1" applyBorder="1" applyAlignment="1" applyProtection="1">
      <alignment vertical="center" wrapText="1"/>
      <protection hidden="1"/>
    </xf>
    <xf numFmtId="0" fontId="39" fillId="0" borderId="26" xfId="0" applyFont="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Font="1" applyBorder="1" applyAlignment="1" applyProtection="1">
      <alignment vertical="center" wrapText="1"/>
      <protection hidden="1"/>
    </xf>
    <xf numFmtId="0" fontId="39" fillId="0" borderId="26" xfId="0" applyFont="1" applyBorder="1" applyAlignment="1" applyProtection="1">
      <alignment vertical="top" wrapText="1"/>
      <protection hidden="1"/>
    </xf>
    <xf numFmtId="0" fontId="39" fillId="35" borderId="26" xfId="0" applyFont="1" applyFill="1" applyBorder="1" applyAlignment="1" applyProtection="1">
      <alignment vertical="center" wrapText="1"/>
      <protection hidden="1"/>
    </xf>
    <xf numFmtId="0" fontId="40" fillId="34" borderId="26" xfId="0" applyFont="1" applyFill="1" applyBorder="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Border="1" applyAlignment="1" applyProtection="1">
      <alignment horizontal="center"/>
      <protection hidden="1"/>
    </xf>
    <xf numFmtId="0" fontId="0" fillId="33" borderId="13" xfId="0" applyFill="1" applyBorder="1"/>
    <xf numFmtId="0" fontId="39" fillId="33" borderId="28" xfId="0" applyFont="1" applyFill="1" applyBorder="1" applyAlignment="1" applyProtection="1">
      <alignment horizontal="left" wrapText="1"/>
      <protection hidden="1"/>
    </xf>
    <xf numFmtId="0" fontId="39" fillId="33" borderId="28" xfId="0" applyFont="1" applyFill="1" applyBorder="1" applyAlignment="1" applyProtection="1">
      <alignment horizontal="left" vertical="top" wrapText="1"/>
      <protection hidden="1"/>
    </xf>
    <xf numFmtId="0" fontId="0" fillId="33" borderId="22" xfId="0" applyFill="1" applyBorder="1"/>
    <xf numFmtId="0" fontId="0" fillId="0" borderId="23" xfId="0" applyBorder="1"/>
    <xf numFmtId="0" fontId="0" fillId="33" borderId="13" xfId="0" applyFill="1" applyBorder="1" applyAlignment="1">
      <alignment vertical="top" wrapText="1"/>
    </xf>
    <xf numFmtId="0" fontId="30" fillId="33" borderId="30" xfId="0" applyFont="1" applyFill="1" applyBorder="1" applyAlignment="1">
      <alignment vertical="center" wrapText="1"/>
    </xf>
    <xf numFmtId="0" fontId="33" fillId="33" borderId="31" xfId="0" applyFont="1" applyFill="1" applyBorder="1" applyAlignment="1">
      <alignment vertical="center"/>
    </xf>
    <xf numFmtId="0" fontId="45" fillId="33" borderId="14" xfId="0" applyFont="1" applyFill="1" applyBorder="1" applyAlignment="1">
      <alignment vertical="center"/>
    </xf>
    <xf numFmtId="0" fontId="39" fillId="0" borderId="0" xfId="0" applyFont="1" applyAlignment="1">
      <alignment wrapText="1"/>
    </xf>
    <xf numFmtId="0" fontId="0" fillId="0" borderId="0" xfId="0" applyAlignment="1">
      <alignment wrapText="1"/>
    </xf>
    <xf numFmtId="0" fontId="46" fillId="33" borderId="35" xfId="0" applyFont="1" applyFill="1" applyBorder="1" applyAlignment="1" applyProtection="1">
      <alignment horizontal="right" wrapText="1"/>
      <protection hidden="1"/>
    </xf>
    <xf numFmtId="0" fontId="31" fillId="33" borderId="0" xfId="0" applyFont="1" applyFill="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Alignment="1" applyProtection="1">
      <alignment horizontal="center" vertical="center" wrapText="1"/>
      <protection hidden="1"/>
    </xf>
    <xf numFmtId="0" fontId="49" fillId="0" borderId="0" xfId="0" applyFont="1" applyAlignment="1" applyProtection="1">
      <alignment horizontal="right" wrapText="1"/>
      <protection hidden="1"/>
    </xf>
    <xf numFmtId="0" fontId="0" fillId="36" borderId="16" xfId="0" applyFill="1" applyBorder="1"/>
    <xf numFmtId="0" fontId="32" fillId="33" borderId="0" xfId="0" applyFont="1" applyFill="1" applyAlignment="1" applyProtection="1">
      <alignment horizontal="center" vertical="center" wrapText="1"/>
      <protection hidden="1"/>
    </xf>
    <xf numFmtId="0" fontId="40" fillId="0" borderId="0" xfId="0" applyFont="1" applyAlignment="1">
      <alignment horizontal="center" wrapText="1"/>
    </xf>
    <xf numFmtId="0" fontId="50" fillId="33" borderId="13" xfId="0" applyFont="1" applyFill="1" applyBorder="1" applyAlignment="1">
      <alignment vertical="top" wrapText="1"/>
    </xf>
    <xf numFmtId="0" fontId="33" fillId="33" borderId="0" xfId="0" applyFont="1" applyFill="1" applyAlignment="1" applyProtection="1">
      <alignment horizontal="center" vertical="top"/>
      <protection hidden="1"/>
    </xf>
    <xf numFmtId="0" fontId="0" fillId="0" borderId="0" xfId="0" applyAlignment="1">
      <alignment vertical="top"/>
    </xf>
    <xf numFmtId="0" fontId="0" fillId="33" borderId="0" xfId="0" applyFill="1" applyAlignment="1">
      <alignment vertical="top"/>
    </xf>
    <xf numFmtId="0" fontId="33" fillId="33" borderId="37" xfId="0" applyFont="1" applyFill="1" applyBorder="1" applyAlignment="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lignment vertical="center"/>
    </xf>
    <xf numFmtId="0" fontId="51" fillId="33" borderId="33" xfId="0" applyFont="1" applyFill="1" applyBorder="1" applyAlignment="1">
      <alignment vertical="center" wrapText="1"/>
    </xf>
    <xf numFmtId="0" fontId="0" fillId="33" borderId="16" xfId="0" applyFill="1" applyBorder="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Alignment="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lignment vertical="center"/>
    </xf>
    <xf numFmtId="0" fontId="32" fillId="33" borderId="0" xfId="0" applyFont="1" applyFill="1" applyAlignment="1" applyProtection="1">
      <alignment wrapText="1"/>
      <protection hidden="1"/>
    </xf>
    <xf numFmtId="0" fontId="33" fillId="33" borderId="0" xfId="0" applyFont="1" applyFill="1" applyAlignment="1" applyProtection="1">
      <alignment vertical="center"/>
      <protection hidden="1"/>
    </xf>
    <xf numFmtId="0" fontId="57" fillId="33" borderId="0" xfId="0" applyFont="1" applyFill="1" applyAlignment="1">
      <alignment horizontal="left" wrapText="1"/>
    </xf>
    <xf numFmtId="0" fontId="56" fillId="33" borderId="0" xfId="487" applyFont="1" applyFill="1" applyAlignment="1" applyProtection="1">
      <alignment vertical="center"/>
    </xf>
    <xf numFmtId="0" fontId="40" fillId="0" borderId="13" xfId="0" applyFont="1" applyBorder="1" applyAlignment="1">
      <alignment wrapText="1"/>
    </xf>
    <xf numFmtId="0" fontId="33" fillId="33" borderId="45" xfId="0" applyFont="1" applyFill="1" applyBorder="1" applyAlignment="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lignment vertical="center"/>
    </xf>
    <xf numFmtId="0" fontId="32" fillId="33" borderId="36" xfId="0" applyFont="1" applyFill="1" applyBorder="1" applyAlignment="1" applyProtection="1">
      <alignment wrapText="1"/>
      <protection hidden="1"/>
    </xf>
    <xf numFmtId="0" fontId="51" fillId="33" borderId="0" xfId="0" applyFont="1" applyFill="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Alignment="1">
      <alignment vertical="center"/>
    </xf>
    <xf numFmtId="0" fontId="55" fillId="0" borderId="13" xfId="0" applyFont="1" applyBorder="1" applyAlignment="1">
      <alignment wrapText="1"/>
    </xf>
    <xf numFmtId="0" fontId="32" fillId="33" borderId="29" xfId="0" applyFont="1" applyFill="1" applyBorder="1" applyAlignment="1" applyProtection="1">
      <alignment horizontal="right" vertical="center"/>
      <protection hidden="1"/>
    </xf>
    <xf numFmtId="0" fontId="33" fillId="33" borderId="0" xfId="0" applyFont="1" applyFill="1" applyAlignment="1">
      <alignment vertical="center"/>
    </xf>
    <xf numFmtId="0" fontId="32" fillId="33" borderId="0" xfId="0" applyFont="1" applyFill="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58" fillId="33" borderId="0" xfId="0" applyFont="1" applyFill="1" applyAlignment="1">
      <alignment horizontal="right" vertical="center"/>
    </xf>
    <xf numFmtId="0" fontId="58" fillId="33" borderId="0" xfId="0" applyFont="1" applyFill="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Alignment="1">
      <alignment vertical="top" wrapText="1"/>
    </xf>
    <xf numFmtId="0" fontId="51" fillId="33" borderId="0" xfId="0" applyFont="1" applyFill="1" applyAlignment="1" applyProtection="1">
      <alignment horizontal="center" vertical="center"/>
      <protection hidden="1"/>
    </xf>
    <xf numFmtId="0" fontId="51" fillId="33" borderId="0" xfId="0" applyFont="1" applyFill="1" applyAlignment="1" applyProtection="1">
      <alignment horizontal="left" vertical="center"/>
      <protection hidden="1"/>
    </xf>
    <xf numFmtId="0" fontId="62" fillId="33" borderId="0" xfId="0" applyFont="1" applyFill="1" applyAlignment="1">
      <alignment vertical="center"/>
    </xf>
    <xf numFmtId="0" fontId="33" fillId="33" borderId="35" xfId="0" applyFont="1" applyFill="1" applyBorder="1" applyAlignment="1">
      <alignment vertical="center"/>
    </xf>
    <xf numFmtId="0" fontId="62" fillId="33" borderId="36" xfId="0" applyFont="1" applyFill="1" applyBorder="1" applyAlignment="1">
      <alignment vertical="center"/>
    </xf>
    <xf numFmtId="0" fontId="63" fillId="0" borderId="0" xfId="0" applyFont="1" applyAlignment="1">
      <alignment horizontal="right" wrapText="1"/>
    </xf>
    <xf numFmtId="0" fontId="33" fillId="33" borderId="0" xfId="0" applyFont="1" applyFill="1" applyAlignment="1" applyProtection="1">
      <alignment horizontal="left" vertical="center"/>
      <protection hidden="1"/>
    </xf>
    <xf numFmtId="0" fontId="33" fillId="33" borderId="47" xfId="0" applyFont="1" applyFill="1" applyBorder="1" applyAlignment="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lignment vertical="center"/>
    </xf>
    <xf numFmtId="0" fontId="40" fillId="0" borderId="13" xfId="0" applyFont="1" applyBorder="1" applyAlignment="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lignment horizontal="center" vertical="center"/>
    </xf>
    <xf numFmtId="0" fontId="51" fillId="33" borderId="33" xfId="0" applyFont="1" applyFill="1" applyBorder="1" applyAlignment="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Alignment="1">
      <alignment horizontal="center" vertical="center"/>
    </xf>
    <xf numFmtId="0" fontId="45" fillId="33" borderId="24" xfId="0" applyFont="1" applyFill="1" applyBorder="1" applyAlignment="1">
      <alignment vertical="center"/>
    </xf>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Alignment="1" applyProtection="1">
      <alignment horizontal="center"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Alignment="1" applyProtection="1">
      <alignment horizontal="center" vertical="center" wrapText="1"/>
      <protection hidden="1"/>
    </xf>
    <xf numFmtId="0" fontId="73" fillId="33" borderId="0" xfId="0" applyFont="1" applyFill="1" applyAlignment="1" applyProtection="1">
      <alignment horizontal="center" vertical="center" wrapText="1"/>
      <protection hidden="1"/>
    </xf>
    <xf numFmtId="0" fontId="68" fillId="0" borderId="0" xfId="0" applyFont="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Alignment="1" applyProtection="1">
      <alignment horizontal="center" vertical="center" wrapText="1"/>
      <protection hidden="1"/>
    </xf>
    <xf numFmtId="0" fontId="0" fillId="33" borderId="16" xfId="0" applyFill="1"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hidden="1"/>
    </xf>
    <xf numFmtId="0" fontId="0" fillId="0" borderId="16" xfId="0"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74" fillId="0" borderId="0" xfId="0" applyFont="1" applyAlignment="1" applyProtection="1">
      <alignment vertical="center" wrapText="1"/>
      <protection locked="0"/>
    </xf>
    <xf numFmtId="0" fontId="0" fillId="36"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lignment horizontal="center" vertical="center" wrapText="1"/>
    </xf>
    <xf numFmtId="0" fontId="33" fillId="33" borderId="61" xfId="0" applyFont="1" applyFill="1" applyBorder="1" applyAlignment="1">
      <alignment vertical="center" wrapText="1"/>
    </xf>
    <xf numFmtId="0" fontId="0" fillId="0" borderId="0" xfId="0" applyProtection="1">
      <protection hidden="1"/>
    </xf>
    <xf numFmtId="0" fontId="0" fillId="0" borderId="0" xfId="0" applyAlignment="1" applyProtection="1">
      <alignment wrapText="1"/>
      <protection hidden="1"/>
    </xf>
    <xf numFmtId="0" fontId="76" fillId="0" borderId="0" xfId="0" applyFont="1" applyAlignment="1" applyProtection="1">
      <alignment horizontal="center"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Protection="1">
      <protection hidden="1"/>
    </xf>
    <xf numFmtId="3" fontId="0" fillId="36" borderId="0" xfId="0" applyNumberFormat="1" applyFill="1" applyProtection="1">
      <protection hidden="1"/>
    </xf>
    <xf numFmtId="0" fontId="0" fillId="36" borderId="0" xfId="0" applyFill="1" applyProtection="1">
      <protection hidden="1"/>
    </xf>
    <xf numFmtId="0" fontId="77" fillId="0" borderId="0" xfId="0" applyFont="1"/>
    <xf numFmtId="0" fontId="0" fillId="35" borderId="0" xfId="0" applyFill="1" applyProtection="1">
      <protection hidden="1"/>
    </xf>
    <xf numFmtId="1" fontId="0" fillId="36" borderId="0" xfId="0" applyNumberForma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Protection="1">
      <protection locked="0"/>
    </xf>
    <xf numFmtId="49" fontId="0" fillId="0" borderId="0" xfId="0" applyNumberFormat="1"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Protection="1">
      <protection locked="0"/>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vertical="center"/>
      <protection hidden="1"/>
    </xf>
    <xf numFmtId="0" fontId="31"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81" fillId="0" borderId="0" xfId="0" applyFont="1" applyAlignment="1">
      <alignment vertical="top" wrapText="1"/>
    </xf>
    <xf numFmtId="0" fontId="0" fillId="35" borderId="16" xfId="0" applyFill="1" applyBorder="1" applyAlignment="1">
      <alignment vertical="center" wrapText="1"/>
    </xf>
    <xf numFmtId="174" fontId="93" fillId="0" borderId="0" xfId="480"/>
    <xf numFmtId="0" fontId="81" fillId="35" borderId="16" xfId="0" applyFont="1" applyFill="1" applyBorder="1" applyAlignment="1">
      <alignment vertical="center" wrapText="1"/>
    </xf>
    <xf numFmtId="174" fontId="81" fillId="0" borderId="0" xfId="480" applyFont="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ill="1" applyBorder="1" applyAlignment="1">
      <alignment vertical="top" wrapText="1"/>
    </xf>
    <xf numFmtId="174" fontId="77" fillId="0" borderId="0" xfId="480" applyFont="1" applyAlignment="1">
      <alignment vertical="top" wrapText="1"/>
    </xf>
    <xf numFmtId="0" fontId="77" fillId="0" borderId="0" xfId="0" applyFont="1" applyAlignment="1">
      <alignment vertical="top" wrapText="1"/>
    </xf>
    <xf numFmtId="0" fontId="81" fillId="35" borderId="16" xfId="502" applyFont="1" applyFill="1" applyBorder="1" applyAlignment="1">
      <alignment vertical="top" wrapText="1"/>
    </xf>
    <xf numFmtId="0" fontId="77" fillId="0" borderId="0" xfId="502" applyFont="1" applyAlignment="1">
      <alignment horizontal="left" vertical="top" wrapText="1"/>
    </xf>
    <xf numFmtId="0" fontId="83" fillId="0" borderId="0" xfId="502" applyFont="1" applyAlignment="1">
      <alignment horizontal="left" vertical="top" wrapText="1"/>
    </xf>
    <xf numFmtId="0" fontId="77" fillId="0" borderId="0" xfId="0" applyFont="1" applyAlignment="1">
      <alignment horizontal="left" vertical="top" wrapText="1"/>
    </xf>
    <xf numFmtId="0" fontId="81" fillId="0" borderId="0" xfId="502" applyFont="1" applyAlignment="1">
      <alignment horizontal="left" vertical="top" wrapText="1"/>
    </xf>
    <xf numFmtId="0" fontId="77" fillId="0" borderId="0" xfId="569" applyFont="1" applyAlignment="1">
      <alignment vertical="top" wrapText="1"/>
    </xf>
    <xf numFmtId="0" fontId="81" fillId="0" borderId="0" xfId="506" applyFont="1" applyAlignment="1">
      <alignment horizontal="left" vertical="top" wrapText="1"/>
    </xf>
    <xf numFmtId="0" fontId="84" fillId="0" borderId="0" xfId="507" applyFont="1" applyAlignment="1">
      <alignment horizontal="left" vertical="top" wrapText="1"/>
    </xf>
    <xf numFmtId="0" fontId="81" fillId="35" borderId="16" xfId="502"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Font="1" applyBorder="1" applyAlignment="1" applyProtection="1">
      <alignment vertical="top" wrapText="1"/>
      <protection hidden="1"/>
    </xf>
    <xf numFmtId="0" fontId="86" fillId="0" borderId="0" xfId="0" applyFont="1" applyAlignment="1">
      <alignment vertical="top" wrapText="1"/>
    </xf>
    <xf numFmtId="174" fontId="81" fillId="0" borderId="0" xfId="480" applyFont="1" applyAlignment="1">
      <alignment vertical="top" wrapText="1"/>
    </xf>
    <xf numFmtId="0" fontId="81" fillId="0" borderId="0" xfId="0" applyFont="1" applyAlignment="1">
      <alignment horizontal="left" vertical="top" wrapText="1"/>
    </xf>
    <xf numFmtId="0" fontId="87" fillId="0" borderId="0" xfId="0" applyFont="1" applyAlignment="1">
      <alignment vertical="top" wrapText="1"/>
    </xf>
    <xf numFmtId="0" fontId="29" fillId="0" borderId="0" xfId="592" applyAlignment="1">
      <alignment vertical="top" wrapText="1"/>
    </xf>
    <xf numFmtId="9" fontId="0" fillId="0" borderId="0" xfId="0" applyNumberFormat="1" applyAlignment="1">
      <alignment horizontal="left" vertical="top" wrapText="1"/>
    </xf>
    <xf numFmtId="9" fontId="0" fillId="35" borderId="16" xfId="0" applyNumberFormat="1" applyFill="1" applyBorder="1" applyAlignment="1">
      <alignment vertical="center" wrapText="1"/>
    </xf>
    <xf numFmtId="9" fontId="83" fillId="0" borderId="0" xfId="0" applyNumberFormat="1" applyFont="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Alignment="1">
      <alignment horizontal="left" vertical="top" wrapText="1"/>
    </xf>
    <xf numFmtId="0" fontId="0" fillId="0" borderId="0" xfId="0" applyAlignment="1">
      <alignment horizontal="justify" vertical="top"/>
    </xf>
    <xf numFmtId="0" fontId="81" fillId="0" borderId="0" xfId="502" applyFont="1" applyAlignment="1">
      <alignment horizontal="justify" vertical="top"/>
    </xf>
    <xf numFmtId="0" fontId="83" fillId="0" borderId="0" xfId="502" applyFont="1" applyAlignment="1">
      <alignment horizontal="justify" vertical="top"/>
    </xf>
    <xf numFmtId="0" fontId="77" fillId="0" borderId="0" xfId="502" applyFont="1" applyAlignment="1">
      <alignment horizontal="justify" vertical="top"/>
    </xf>
    <xf numFmtId="0" fontId="77" fillId="0" borderId="0" xfId="0" applyFont="1" applyAlignment="1">
      <alignment horizontal="left" vertical="top"/>
    </xf>
    <xf numFmtId="0" fontId="88" fillId="0" borderId="0" xfId="502" applyFont="1" applyAlignment="1">
      <alignment horizontal="justify" vertical="top"/>
    </xf>
    <xf numFmtId="0" fontId="0" fillId="0" borderId="0" xfId="0" applyAlignment="1">
      <alignment horizontal="left" vertical="top" wrapText="1"/>
    </xf>
    <xf numFmtId="0" fontId="89" fillId="0" borderId="0" xfId="502" applyFont="1" applyAlignment="1">
      <alignment horizontal="left" vertical="top" wrapText="1"/>
    </xf>
    <xf numFmtId="0" fontId="88" fillId="0" borderId="0" xfId="502" applyFont="1" applyAlignment="1">
      <alignment horizontal="left" vertical="top" wrapText="1"/>
    </xf>
    <xf numFmtId="0" fontId="34" fillId="35" borderId="16" xfId="0" applyFont="1" applyFill="1" applyBorder="1" applyAlignment="1">
      <alignment vertical="center" wrapText="1"/>
    </xf>
    <xf numFmtId="0" fontId="90" fillId="0" borderId="0" xfId="502" applyFont="1" applyAlignment="1">
      <alignment vertical="top" wrapText="1"/>
    </xf>
    <xf numFmtId="0" fontId="83" fillId="0" borderId="0" xfId="502" applyFont="1" applyAlignment="1">
      <alignment vertical="top" wrapText="1"/>
    </xf>
    <xf numFmtId="0" fontId="91" fillId="0" borderId="0" xfId="0" applyFont="1"/>
    <xf numFmtId="0" fontId="81" fillId="0" borderId="0" xfId="0" applyFont="1" applyAlignment="1" applyProtection="1">
      <alignment vertical="top" wrapText="1"/>
      <protection hidden="1"/>
    </xf>
    <xf numFmtId="174" fontId="81" fillId="0" borderId="0" xfId="480" applyFont="1" applyAlignment="1" applyProtection="1">
      <alignment horizontal="left" vertical="top" wrapText="1"/>
      <protection hidden="1"/>
    </xf>
    <xf numFmtId="0" fontId="86" fillId="0" borderId="0" xfId="527" applyFont="1" applyAlignment="1">
      <alignment vertical="top" wrapText="1"/>
    </xf>
    <xf numFmtId="0" fontId="92" fillId="0" borderId="0" xfId="527" applyFont="1" applyAlignment="1">
      <alignment horizontal="left" vertical="top" wrapText="1"/>
    </xf>
    <xf numFmtId="0" fontId="93" fillId="0" borderId="0" xfId="589"/>
    <xf numFmtId="0" fontId="31" fillId="0" borderId="0" xfId="589" applyFont="1"/>
    <xf numFmtId="0" fontId="93" fillId="0" borderId="20" xfId="0" applyFont="1" applyBorder="1" applyAlignment="1" applyProtection="1">
      <alignment horizontal="left" vertical="center" wrapText="1"/>
      <protection locked="0" hidden="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Border="1" applyAlignment="1">
      <alignment horizontal="center" vertical="top" wrapText="1"/>
    </xf>
    <xf numFmtId="0" fontId="37" fillId="0" borderId="21" xfId="570" applyFont="1" applyBorder="1" applyAlignment="1">
      <alignment horizontal="center" vertical="top" wrapText="1"/>
    </xf>
    <xf numFmtId="0" fontId="37" fillId="0" borderId="18" xfId="570" applyFont="1" applyBorder="1" applyAlignment="1">
      <alignment horizontal="center" vertical="top" wrapText="1"/>
    </xf>
    <xf numFmtId="174" fontId="37" fillId="0" borderId="20" xfId="570" applyNumberFormat="1" applyFont="1" applyBorder="1" applyAlignment="1">
      <alignment horizontal="center" vertical="top" wrapText="1"/>
    </xf>
    <xf numFmtId="174" fontId="37" fillId="0" borderId="21" xfId="570" applyNumberFormat="1" applyFont="1" applyBorder="1" applyAlignment="1">
      <alignment horizontal="center" vertical="top" wrapText="1"/>
    </xf>
    <xf numFmtId="174" fontId="37" fillId="0" borderId="18" xfId="570" applyNumberFormat="1" applyFont="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Alignment="1">
      <alignment horizontal="center"/>
    </xf>
    <xf numFmtId="0" fontId="34" fillId="33" borderId="0" xfId="0" applyFont="1" applyFill="1" applyAlignment="1">
      <alignment horizontal="center" vertical="center" wrapText="1"/>
    </xf>
    <xf numFmtId="0" fontId="34" fillId="33" borderId="15" xfId="0" applyFont="1" applyFill="1" applyBorder="1" applyAlignment="1">
      <alignment horizontal="center" vertical="center"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1" fillId="0" borderId="32" xfId="0" applyNumberFormat="1" applyFont="1" applyBorder="1" applyAlignment="1" applyProtection="1">
      <alignment horizontal="left" vertical="center" wrapText="1"/>
      <protection locked="0"/>
    </xf>
    <xf numFmtId="49" fontId="51" fillId="0" borderId="33" xfId="0" applyNumberFormat="1" applyFont="1" applyBorder="1" applyAlignment="1" applyProtection="1">
      <alignment horizontal="left" vertical="center" wrapText="1"/>
      <protection locked="0"/>
    </xf>
    <xf numFmtId="49" fontId="51" fillId="0" borderId="34" xfId="0" applyNumberFormat="1" applyFont="1" applyBorder="1" applyAlignment="1" applyProtection="1">
      <alignment horizontal="left" vertical="center"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32" fillId="33" borderId="36" xfId="0" applyFont="1" applyFill="1" applyBorder="1" applyAlignment="1" applyProtection="1">
      <alignment horizontal="left" wrapText="1"/>
      <protection hidden="1"/>
    </xf>
    <xf numFmtId="0" fontId="51" fillId="0" borderId="32" xfId="0" applyFont="1" applyBorder="1" applyAlignment="1" applyProtection="1">
      <alignment horizontal="left" vertical="center"/>
      <protection locked="0"/>
    </xf>
    <xf numFmtId="0" fontId="51" fillId="0" borderId="34" xfId="0" applyFont="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2" fillId="33" borderId="33" xfId="0" applyFont="1" applyFill="1" applyBorder="1" applyAlignment="1" applyProtection="1">
      <alignment horizontal="left" wrapText="1"/>
      <protection hidden="1"/>
    </xf>
    <xf numFmtId="0" fontId="64" fillId="33" borderId="32" xfId="487" applyFont="1" applyFill="1" applyBorder="1" applyAlignment="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lignment horizontal="center" vertical="top" wrapText="1"/>
    </xf>
    <xf numFmtId="0" fontId="0" fillId="33" borderId="11" xfId="0" applyFill="1" applyBorder="1" applyAlignment="1">
      <alignment horizontal="center" vertical="top" wrapText="1"/>
    </xf>
    <xf numFmtId="0" fontId="0" fillId="33" borderId="12" xfId="0" applyFill="1" applyBorder="1" applyAlignment="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32" fillId="33" borderId="0" xfId="0" applyFont="1" applyFill="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lignment horizontal="left" vertical="center" wrapText="1"/>
      <protection locked="0"/>
    </xf>
    <xf numFmtId="49" fontId="52" fillId="33" borderId="33" xfId="487" applyNumberFormat="1" applyFont="1" applyFill="1" applyBorder="1" applyAlignment="1">
      <alignment horizontal="left" vertical="center" wrapText="1"/>
      <protection locked="0"/>
    </xf>
    <xf numFmtId="49" fontId="52" fillId="33" borderId="34" xfId="487" applyNumberFormat="1" applyFont="1" applyFill="1" applyBorder="1" applyAlignment="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61" fillId="0" borderId="36" xfId="487" applyFont="1" applyFill="1" applyBorder="1" applyAlignment="1" applyProtection="1">
      <alignment horizontal="center"/>
      <protection hidden="1"/>
    </xf>
    <xf numFmtId="0" fontId="59" fillId="0" borderId="36" xfId="487" applyFont="1" applyFill="1" applyBorder="1" applyAlignment="1" applyProtection="1">
      <alignment horizontal="center" wrapText="1"/>
      <protection hidden="1"/>
    </xf>
    <xf numFmtId="0" fontId="57" fillId="33" borderId="0" xfId="0" applyFont="1" applyFill="1" applyAlignment="1">
      <alignment horizontal="center" wrapText="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51" fillId="33" borderId="33" xfId="0" applyFont="1" applyFill="1" applyBorder="1" applyAlignment="1">
      <alignment horizontal="center" vertical="center"/>
    </xf>
    <xf numFmtId="0" fontId="33" fillId="33" borderId="33" xfId="0" applyFont="1" applyFill="1" applyBorder="1" applyAlignment="1">
      <alignment horizontal="left" vertical="center" wrapText="1"/>
    </xf>
    <xf numFmtId="0" fontId="0" fillId="0" borderId="32" xfId="0" applyBorder="1" applyAlignment="1" applyProtection="1">
      <alignment horizontal="left" wrapText="1"/>
      <protection locked="0"/>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31"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72550" y="212090"/>
          <a:ext cx="647700"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53700" y="176371"/>
          <a:ext cx="333375"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1411"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73815"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8750" y="0"/>
          <a:ext cx="742043"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50500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jalvarez3@ra.rockwell.com" TargetMode="External"/><Relationship Id="rId2" Type="http://schemas.openxmlformats.org/officeDocument/2006/relationships/hyperlink" Target="mailto:jalvarez3@ra.rockwell.com" TargetMode="External"/><Relationship Id="rId1" Type="http://schemas.openxmlformats.org/officeDocument/2006/relationships/hyperlink" Target="https://www.sprecherschuh.com/library/approvals/compliance.html"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2.75"/>
  <cols>
    <col min="1" max="1" width="0.875" customWidth="1"/>
    <col min="2" max="2" width="8" customWidth="1"/>
    <col min="3" max="3" width="8.625" customWidth="1"/>
    <col min="4" max="4" width="13" style="1" customWidth="1"/>
    <col min="5" max="5" width="42.375" customWidth="1"/>
    <col min="6" max="6" width="53.375" customWidth="1"/>
    <col min="7" max="7" width="0.875" customWidth="1"/>
    <col min="8" max="8" width="9" customWidth="1"/>
  </cols>
  <sheetData>
    <row r="1" spans="1:7">
      <c r="A1" s="2"/>
      <c r="B1" s="3"/>
      <c r="C1" s="3"/>
      <c r="D1" s="4"/>
      <c r="E1" s="3"/>
      <c r="F1" s="3"/>
      <c r="G1" s="5"/>
    </row>
    <row r="2" spans="1:7">
      <c r="A2" s="301"/>
      <c r="B2" s="6" t="s">
        <v>0</v>
      </c>
      <c r="C2" s="7"/>
      <c r="D2" s="8"/>
      <c r="E2" s="7"/>
      <c r="F2" s="7"/>
      <c r="G2" s="9"/>
    </row>
    <row r="3" spans="1:7">
      <c r="A3" s="301"/>
      <c r="B3" s="7" t="s">
        <v>1</v>
      </c>
      <c r="C3" s="6"/>
      <c r="D3" s="10"/>
      <c r="E3" s="7"/>
      <c r="F3" s="6"/>
      <c r="G3" s="9"/>
    </row>
    <row r="4" spans="1:7" ht="15.75">
      <c r="A4" s="301"/>
      <c r="B4" s="11" t="s">
        <v>2</v>
      </c>
      <c r="C4" s="12"/>
      <c r="D4" s="13"/>
      <c r="E4" s="7"/>
      <c r="F4" s="12"/>
      <c r="G4" s="9"/>
    </row>
    <row r="5" spans="1:7">
      <c r="A5" s="301"/>
      <c r="B5" s="14" t="s">
        <v>3</v>
      </c>
      <c r="C5" s="15"/>
      <c r="D5" s="16"/>
      <c r="E5" s="7"/>
      <c r="F5" s="15"/>
      <c r="G5" s="9"/>
    </row>
    <row r="6" spans="1:7">
      <c r="A6" s="301"/>
      <c r="B6" s="7"/>
      <c r="C6" s="7"/>
      <c r="D6" s="8"/>
      <c r="E6" s="7"/>
      <c r="F6" s="7"/>
      <c r="G6" s="9"/>
    </row>
    <row r="7" spans="1:7">
      <c r="A7" s="301"/>
      <c r="B7" s="7"/>
      <c r="C7" s="7"/>
      <c r="D7" s="8"/>
      <c r="E7" s="7"/>
      <c r="F7" s="7"/>
      <c r="G7" s="9"/>
    </row>
    <row r="8" spans="1:7">
      <c r="A8" s="301"/>
      <c r="B8" s="7"/>
      <c r="C8" s="7"/>
      <c r="D8" s="8"/>
      <c r="E8" s="7"/>
      <c r="F8" s="7"/>
      <c r="G8" s="9"/>
    </row>
    <row r="9" spans="1:7">
      <c r="A9" s="301"/>
      <c r="B9" s="304" t="s">
        <v>4</v>
      </c>
      <c r="C9" s="304"/>
      <c r="D9" s="304"/>
      <c r="E9" s="304"/>
      <c r="F9" s="304"/>
      <c r="G9" s="9"/>
    </row>
    <row r="10" spans="1:7" ht="27" customHeight="1">
      <c r="A10" s="301"/>
      <c r="B10" s="305" t="s">
        <v>5</v>
      </c>
      <c r="C10" s="305"/>
      <c r="D10" s="305"/>
      <c r="E10" s="305"/>
      <c r="F10" s="305"/>
      <c r="G10" s="9"/>
    </row>
    <row r="11" spans="1:7" ht="27" customHeight="1">
      <c r="A11" s="301"/>
      <c r="B11" s="306"/>
      <c r="C11" s="306"/>
      <c r="D11" s="306"/>
      <c r="E11" s="306"/>
      <c r="F11" s="306"/>
      <c r="G11" s="9"/>
    </row>
    <row r="12" spans="1:7">
      <c r="A12" s="301"/>
      <c r="B12" s="17" t="s">
        <v>6</v>
      </c>
      <c r="C12" s="18" t="s">
        <v>7</v>
      </c>
      <c r="D12" s="19" t="s">
        <v>8</v>
      </c>
      <c r="E12" s="18" t="s">
        <v>9</v>
      </c>
      <c r="F12" s="18" t="s">
        <v>10</v>
      </c>
      <c r="G12" s="9"/>
    </row>
    <row r="13" spans="1:7" ht="33.75">
      <c r="A13" s="301"/>
      <c r="B13" s="20">
        <v>1</v>
      </c>
      <c r="C13" s="21" t="s">
        <v>11</v>
      </c>
      <c r="D13" s="22" t="s">
        <v>12</v>
      </c>
      <c r="E13" s="23" t="s">
        <v>13</v>
      </c>
      <c r="F13" s="23"/>
      <c r="G13" s="9"/>
    </row>
    <row r="14" spans="1:7" ht="33.75">
      <c r="A14" s="301"/>
      <c r="B14" s="20">
        <v>2</v>
      </c>
      <c r="C14" s="21" t="s">
        <v>11</v>
      </c>
      <c r="D14" s="22" t="s">
        <v>14</v>
      </c>
      <c r="E14" s="23" t="s">
        <v>15</v>
      </c>
      <c r="F14" s="23" t="s">
        <v>16</v>
      </c>
      <c r="G14" s="9"/>
    </row>
    <row r="15" spans="1:7" ht="89.1" customHeight="1">
      <c r="A15" s="301"/>
      <c r="B15" s="286">
        <v>2.0099999999999998</v>
      </c>
      <c r="C15" s="298" t="s">
        <v>11</v>
      </c>
      <c r="D15" s="307" t="s">
        <v>17</v>
      </c>
      <c r="E15" s="24" t="s">
        <v>18</v>
      </c>
      <c r="F15" s="24" t="s">
        <v>19</v>
      </c>
      <c r="G15" s="9"/>
    </row>
    <row r="16" spans="1:7" ht="99" customHeight="1">
      <c r="A16" s="301"/>
      <c r="B16" s="287"/>
      <c r="C16" s="299"/>
      <c r="D16" s="308"/>
      <c r="E16" s="25"/>
      <c r="F16" s="25" t="s">
        <v>20</v>
      </c>
      <c r="G16" s="9"/>
    </row>
    <row r="17" spans="1:7" ht="63" customHeight="1">
      <c r="A17" s="301"/>
      <c r="B17" s="288"/>
      <c r="C17" s="300"/>
      <c r="D17" s="309"/>
      <c r="E17" s="21"/>
      <c r="F17" s="21" t="s">
        <v>21</v>
      </c>
      <c r="G17" s="9"/>
    </row>
    <row r="18" spans="1:7" ht="117" customHeight="1">
      <c r="A18" s="301"/>
      <c r="B18" s="286">
        <v>2.02</v>
      </c>
      <c r="C18" s="298" t="s">
        <v>11</v>
      </c>
      <c r="D18" s="307" t="s">
        <v>22</v>
      </c>
      <c r="E18" s="24" t="s">
        <v>23</v>
      </c>
      <c r="F18" s="24" t="s">
        <v>24</v>
      </c>
      <c r="G18" s="9"/>
    </row>
    <row r="19" spans="1:7" ht="71.099999999999994" customHeight="1">
      <c r="A19" s="301"/>
      <c r="B19" s="287"/>
      <c r="C19" s="299"/>
      <c r="D19" s="308"/>
      <c r="E19" s="25" t="s">
        <v>25</v>
      </c>
      <c r="F19" s="25" t="s">
        <v>26</v>
      </c>
      <c r="G19" s="9"/>
    </row>
    <row r="20" spans="1:7" ht="90.75" customHeight="1">
      <c r="A20" s="301"/>
      <c r="B20" s="287"/>
      <c r="C20" s="299"/>
      <c r="D20" s="308"/>
      <c r="E20" s="25"/>
      <c r="F20" s="25" t="s">
        <v>27</v>
      </c>
      <c r="G20" s="9"/>
    </row>
    <row r="21" spans="1:7" ht="74.25" customHeight="1">
      <c r="A21" s="301"/>
      <c r="B21" s="288"/>
      <c r="C21" s="300"/>
      <c r="D21" s="309"/>
      <c r="E21" s="21"/>
      <c r="F21" s="21" t="s">
        <v>28</v>
      </c>
      <c r="G21" s="9"/>
    </row>
    <row r="22" spans="1:7" ht="90" customHeight="1">
      <c r="A22" s="301"/>
      <c r="B22" s="292">
        <v>2.0299999999999998</v>
      </c>
      <c r="C22" s="292" t="s">
        <v>29</v>
      </c>
      <c r="D22" s="295" t="s">
        <v>30</v>
      </c>
      <c r="E22" s="298" t="s">
        <v>31</v>
      </c>
      <c r="F22" s="24" t="s">
        <v>32</v>
      </c>
      <c r="G22" s="9"/>
    </row>
    <row r="23" spans="1:7" ht="109.5" customHeight="1">
      <c r="A23" s="301"/>
      <c r="B23" s="293"/>
      <c r="C23" s="293"/>
      <c r="D23" s="296"/>
      <c r="E23" s="299"/>
      <c r="F23" s="25" t="s">
        <v>33</v>
      </c>
      <c r="G23" s="9"/>
    </row>
    <row r="24" spans="1:7" ht="74.25" customHeight="1">
      <c r="A24" s="301"/>
      <c r="B24" s="294"/>
      <c r="C24" s="294"/>
      <c r="D24" s="297"/>
      <c r="E24" s="300"/>
      <c r="F24" s="21" t="s">
        <v>34</v>
      </c>
      <c r="G24" s="9"/>
    </row>
    <row r="25" spans="1:7" ht="72" customHeight="1">
      <c r="A25" s="301"/>
      <c r="B25" s="20" t="s">
        <v>35</v>
      </c>
      <c r="C25" s="21" t="s">
        <v>36</v>
      </c>
      <c r="D25" s="22" t="s">
        <v>37</v>
      </c>
      <c r="E25" s="21" t="s">
        <v>38</v>
      </c>
      <c r="F25" s="21" t="s">
        <v>39</v>
      </c>
      <c r="G25" s="9"/>
    </row>
    <row r="26" spans="1:7" ht="98.1" customHeight="1">
      <c r="A26" s="301"/>
      <c r="B26" s="289">
        <v>3</v>
      </c>
      <c r="C26" s="286" t="s">
        <v>40</v>
      </c>
      <c r="D26" s="307" t="s">
        <v>41</v>
      </c>
      <c r="E26" s="298" t="s">
        <v>42</v>
      </c>
      <c r="F26" s="24" t="s">
        <v>43</v>
      </c>
      <c r="G26" s="9"/>
    </row>
    <row r="27" spans="1:7" ht="90" customHeight="1">
      <c r="A27" s="301"/>
      <c r="B27" s="290"/>
      <c r="C27" s="287"/>
      <c r="D27" s="308"/>
      <c r="E27" s="299"/>
      <c r="F27" s="25" t="s">
        <v>44</v>
      </c>
      <c r="G27" s="9"/>
    </row>
    <row r="28" spans="1:7" ht="19.350000000000001" customHeight="1">
      <c r="A28" s="301"/>
      <c r="B28" s="290"/>
      <c r="C28" s="287"/>
      <c r="D28" s="308"/>
      <c r="E28" s="299"/>
      <c r="F28" s="25" t="s">
        <v>45</v>
      </c>
      <c r="G28" s="9"/>
    </row>
    <row r="29" spans="1:7" ht="74.650000000000006" customHeight="1">
      <c r="A29" s="301"/>
      <c r="B29" s="290"/>
      <c r="C29" s="287"/>
      <c r="D29" s="308"/>
      <c r="E29" s="299"/>
      <c r="F29" s="25" t="s">
        <v>46</v>
      </c>
      <c r="G29" s="9"/>
    </row>
    <row r="30" spans="1:7" ht="62.65" customHeight="1">
      <c r="A30" s="301"/>
      <c r="B30" s="290"/>
      <c r="C30" s="287"/>
      <c r="D30" s="308"/>
      <c r="E30" s="299"/>
      <c r="F30" s="25" t="s">
        <v>47</v>
      </c>
      <c r="G30" s="9"/>
    </row>
    <row r="31" spans="1:7" ht="81" customHeight="1">
      <c r="A31" s="301"/>
      <c r="B31" s="290"/>
      <c r="C31" s="287"/>
      <c r="D31" s="308"/>
      <c r="E31" s="299"/>
      <c r="F31" s="25" t="s">
        <v>48</v>
      </c>
      <c r="G31" s="9"/>
    </row>
    <row r="32" spans="1:7" ht="48.75" customHeight="1">
      <c r="A32" s="301"/>
      <c r="B32" s="290"/>
      <c r="C32" s="287"/>
      <c r="D32" s="308"/>
      <c r="E32" s="299"/>
      <c r="F32" s="25" t="s">
        <v>49</v>
      </c>
      <c r="G32" s="9"/>
    </row>
    <row r="33" spans="1:7" ht="98.65" customHeight="1">
      <c r="A33" s="301"/>
      <c r="B33" s="290"/>
      <c r="C33" s="287"/>
      <c r="D33" s="308"/>
      <c r="E33" s="299"/>
      <c r="F33" s="25" t="s">
        <v>50</v>
      </c>
      <c r="G33" s="9"/>
    </row>
    <row r="34" spans="1:7" ht="89.1" customHeight="1">
      <c r="A34" s="301"/>
      <c r="B34" s="290"/>
      <c r="C34" s="287"/>
      <c r="D34" s="308"/>
      <c r="E34" s="299"/>
      <c r="F34" s="25" t="s">
        <v>51</v>
      </c>
      <c r="G34" s="9"/>
    </row>
    <row r="35" spans="1:7" ht="29.1" customHeight="1">
      <c r="A35" s="301"/>
      <c r="B35" s="290"/>
      <c r="C35" s="287"/>
      <c r="D35" s="308"/>
      <c r="E35" s="299"/>
      <c r="F35" s="25" t="s">
        <v>52</v>
      </c>
      <c r="G35" s="9"/>
    </row>
    <row r="36" spans="1:7" ht="126.75">
      <c r="A36" s="301"/>
      <c r="B36" s="291"/>
      <c r="C36" s="288"/>
      <c r="D36" s="309"/>
      <c r="E36" s="300"/>
      <c r="F36" s="27" t="s">
        <v>53</v>
      </c>
      <c r="G36" s="9"/>
    </row>
    <row r="37" spans="1:7" ht="112.5">
      <c r="A37" s="301"/>
      <c r="B37" s="26">
        <v>3.01</v>
      </c>
      <c r="C37" s="28" t="s">
        <v>40</v>
      </c>
      <c r="D37" s="22" t="s">
        <v>54</v>
      </c>
      <c r="E37" s="29" t="s">
        <v>55</v>
      </c>
      <c r="F37" s="30" t="s">
        <v>56</v>
      </c>
      <c r="G37" s="9"/>
    </row>
    <row r="38" spans="1:7" ht="101.25">
      <c r="A38" s="301"/>
      <c r="B38" s="26">
        <v>3.02</v>
      </c>
      <c r="C38" s="28" t="s">
        <v>57</v>
      </c>
      <c r="D38" s="22" t="s">
        <v>58</v>
      </c>
      <c r="E38" s="29" t="s">
        <v>59</v>
      </c>
      <c r="F38" s="30" t="s">
        <v>60</v>
      </c>
      <c r="G38" s="9"/>
    </row>
    <row r="39" spans="1:7" ht="101.25">
      <c r="A39" s="301"/>
      <c r="B39" s="31">
        <v>4</v>
      </c>
      <c r="C39" s="32" t="s">
        <v>61</v>
      </c>
      <c r="D39" s="22" t="s">
        <v>62</v>
      </c>
      <c r="E39" s="21" t="s">
        <v>63</v>
      </c>
      <c r="F39" s="21" t="s">
        <v>64</v>
      </c>
      <c r="G39" s="9"/>
    </row>
    <row r="40" spans="1:7" ht="56.25">
      <c r="A40" s="301"/>
      <c r="B40" s="26">
        <v>4.01</v>
      </c>
      <c r="C40" s="32" t="s">
        <v>61</v>
      </c>
      <c r="D40" s="22" t="s">
        <v>65</v>
      </c>
      <c r="E40" s="21" t="s">
        <v>66</v>
      </c>
      <c r="F40" s="21" t="s">
        <v>67</v>
      </c>
      <c r="G40" s="9"/>
    </row>
    <row r="41" spans="1:7" ht="56.25">
      <c r="A41" s="301"/>
      <c r="B41" s="26" t="s">
        <v>68</v>
      </c>
      <c r="C41" s="32" t="s">
        <v>61</v>
      </c>
      <c r="D41" s="22" t="s">
        <v>69</v>
      </c>
      <c r="E41" s="21" t="s">
        <v>70</v>
      </c>
      <c r="F41" s="21" t="s">
        <v>71</v>
      </c>
      <c r="G41" s="9"/>
    </row>
    <row r="42" spans="1:7" ht="56.25">
      <c r="A42" s="301"/>
      <c r="B42" s="26" t="s">
        <v>72</v>
      </c>
      <c r="C42" s="32" t="s">
        <v>61</v>
      </c>
      <c r="D42" s="22" t="s">
        <v>73</v>
      </c>
      <c r="E42" s="21" t="s">
        <v>38</v>
      </c>
      <c r="F42" s="21" t="s">
        <v>74</v>
      </c>
      <c r="G42" s="9"/>
    </row>
    <row r="43" spans="1:7" ht="123.75">
      <c r="A43" s="301"/>
      <c r="B43" s="33">
        <v>4.0999999999999996</v>
      </c>
      <c r="C43" s="32" t="s">
        <v>75</v>
      </c>
      <c r="D43" s="34">
        <v>42867</v>
      </c>
      <c r="E43" s="35" t="s">
        <v>76</v>
      </c>
      <c r="F43" s="21" t="s">
        <v>77</v>
      </c>
      <c r="G43" s="9"/>
    </row>
    <row r="44" spans="1:7" ht="78.75">
      <c r="A44" s="301"/>
      <c r="B44" s="33">
        <v>4.2</v>
      </c>
      <c r="C44" s="32" t="s">
        <v>75</v>
      </c>
      <c r="D44" s="34">
        <v>42704</v>
      </c>
      <c r="E44" s="35" t="s">
        <v>78</v>
      </c>
      <c r="F44" s="21" t="s">
        <v>79</v>
      </c>
      <c r="G44" s="9"/>
    </row>
    <row r="45" spans="1:7" ht="157.5">
      <c r="A45" s="301"/>
      <c r="B45" s="36">
        <v>5</v>
      </c>
      <c r="C45" s="32" t="s">
        <v>75</v>
      </c>
      <c r="D45" s="34">
        <v>42867</v>
      </c>
      <c r="E45" s="35" t="s">
        <v>80</v>
      </c>
      <c r="F45" s="21" t="s">
        <v>81</v>
      </c>
      <c r="G45" s="9"/>
    </row>
    <row r="46" spans="1:7" ht="45">
      <c r="A46" s="301"/>
      <c r="B46" s="33">
        <v>5.01</v>
      </c>
      <c r="C46" s="32" t="s">
        <v>75</v>
      </c>
      <c r="D46" s="34">
        <v>42907</v>
      </c>
      <c r="E46" s="35" t="s">
        <v>82</v>
      </c>
      <c r="F46" s="21" t="s">
        <v>81</v>
      </c>
      <c r="G46" s="9"/>
    </row>
    <row r="47" spans="1:7" ht="67.5">
      <c r="A47" s="301"/>
      <c r="B47" s="33">
        <v>5.0999999999999996</v>
      </c>
      <c r="C47" s="32" t="s">
        <v>75</v>
      </c>
      <c r="D47" s="34">
        <v>43070</v>
      </c>
      <c r="E47" s="35" t="s">
        <v>83</v>
      </c>
      <c r="F47" s="21" t="s">
        <v>84</v>
      </c>
      <c r="G47" s="9"/>
    </row>
    <row r="48" spans="1:7" ht="56.25">
      <c r="A48" s="301"/>
      <c r="B48" s="33">
        <v>5.1100000000000003</v>
      </c>
      <c r="C48" s="32" t="s">
        <v>85</v>
      </c>
      <c r="D48" s="34">
        <v>43217</v>
      </c>
      <c r="E48" s="35" t="s">
        <v>86</v>
      </c>
      <c r="F48" s="21" t="s">
        <v>87</v>
      </c>
      <c r="G48" s="9"/>
    </row>
    <row r="49" spans="1:7" ht="56.25">
      <c r="A49" s="301"/>
      <c r="B49" s="33">
        <v>5.12</v>
      </c>
      <c r="C49" s="32" t="s">
        <v>85</v>
      </c>
      <c r="D49" s="34">
        <v>43581</v>
      </c>
      <c r="E49" s="35" t="s">
        <v>86</v>
      </c>
      <c r="F49" s="21" t="s">
        <v>88</v>
      </c>
      <c r="G49" s="9"/>
    </row>
    <row r="50" spans="1:7" ht="78.75">
      <c r="A50" s="301"/>
      <c r="B50" s="36">
        <v>6</v>
      </c>
      <c r="C50" s="32" t="s">
        <v>85</v>
      </c>
      <c r="D50" s="34">
        <v>43964</v>
      </c>
      <c r="E50" s="35" t="s">
        <v>89</v>
      </c>
      <c r="F50" s="21" t="s">
        <v>90</v>
      </c>
      <c r="G50" s="9"/>
    </row>
    <row r="51" spans="1:7" ht="45">
      <c r="A51" s="301"/>
      <c r="B51" s="33">
        <v>6.01</v>
      </c>
      <c r="C51" s="32" t="s">
        <v>85</v>
      </c>
      <c r="D51" s="34">
        <v>43970</v>
      </c>
      <c r="E51" s="35" t="s">
        <v>91</v>
      </c>
      <c r="F51" s="35" t="s">
        <v>90</v>
      </c>
      <c r="G51" s="9"/>
    </row>
    <row r="52" spans="1:7" ht="45">
      <c r="A52" s="301"/>
      <c r="B52" s="33">
        <v>6.1</v>
      </c>
      <c r="C52" s="32" t="s">
        <v>85</v>
      </c>
      <c r="D52" s="34">
        <v>44314</v>
      </c>
      <c r="E52" s="35" t="s">
        <v>92</v>
      </c>
      <c r="F52" s="35" t="s">
        <v>93</v>
      </c>
      <c r="G52" s="9"/>
    </row>
    <row r="53" spans="1:7" ht="45">
      <c r="A53" s="301"/>
      <c r="B53" s="33">
        <v>6.2</v>
      </c>
      <c r="C53" s="32" t="s">
        <v>85</v>
      </c>
      <c r="D53" s="34">
        <v>44678</v>
      </c>
      <c r="E53" s="35" t="s">
        <v>92</v>
      </c>
      <c r="F53" s="35" t="s">
        <v>94</v>
      </c>
      <c r="G53" s="9"/>
    </row>
    <row r="54" spans="1:7" ht="45">
      <c r="A54" s="301"/>
      <c r="B54" s="33">
        <v>6.21</v>
      </c>
      <c r="C54" s="32" t="s">
        <v>85</v>
      </c>
      <c r="D54" s="34">
        <v>44687</v>
      </c>
      <c r="E54" s="35" t="s">
        <v>95</v>
      </c>
      <c r="F54" s="35" t="s">
        <v>94</v>
      </c>
      <c r="G54" s="9"/>
    </row>
    <row r="55" spans="1:7" ht="45">
      <c r="A55" s="301"/>
      <c r="B55" s="33">
        <v>6.22</v>
      </c>
      <c r="C55" s="32" t="s">
        <v>85</v>
      </c>
      <c r="D55" s="37">
        <v>44692</v>
      </c>
      <c r="E55" s="35" t="s">
        <v>91</v>
      </c>
      <c r="F55" s="35" t="s">
        <v>94</v>
      </c>
      <c r="G55" s="9"/>
    </row>
    <row r="56" spans="1:7">
      <c r="A56" s="302"/>
      <c r="B56" s="303" t="str">
        <f ca="1">OFFSET(L!$C$1,MATCH("General"&amp;"Cpy",L!$A:$A,0)-1,SL,,)</f>
        <v>© 2022 Responsible Minerals Initiative. All rights reserved.</v>
      </c>
      <c r="C56" s="303"/>
      <c r="D56" s="303"/>
      <c r="E56" s="303"/>
      <c r="F56" s="303"/>
      <c r="G56" s="38"/>
    </row>
  </sheetData>
  <sheetProtection algorithmName="SHA-512" hashValue="yGuDoUsr3RKMegqFhb7CdGGeNkAVkd1Ym2efo6t4Wwap40taBuxlwyXgku11cjtIn7O3c7cvSwqrSaJfQKr4/A==" saltValue="QH1cqD6rZX7uTmil9ueTxg==" spinCount="100000" sheet="1" formatRows="0" insertHyperlinks="0"/>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1"/>
  <headerFooter>
    <oddFooter xml:space="preserve">&amp;L_x000D_&amp;1#&amp;"Calibri"&amp;8&amp;K000000  Rockwell Automation Company 'Internal'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defaultColWidth="8.875" defaultRowHeight="12.75"/>
  <cols>
    <col min="1" max="1" width="20.625" style="283" customWidth="1"/>
    <col min="2" max="2" width="57.125" style="283" customWidth="1"/>
    <col min="3" max="3" width="8.875" style="283" customWidth="1"/>
    <col min="4" max="16384" width="8.875" style="283"/>
  </cols>
  <sheetData>
    <row r="1" spans="1:2">
      <c r="A1" s="284" t="s">
        <v>6674</v>
      </c>
      <c r="B1" s="284" t="s">
        <v>6675</v>
      </c>
    </row>
    <row r="2" spans="1:2">
      <c r="A2" t="s">
        <v>6676</v>
      </c>
      <c r="B2" t="s">
        <v>6677</v>
      </c>
    </row>
    <row r="3" spans="1:2">
      <c r="A3" t="s">
        <v>6678</v>
      </c>
      <c r="B3" t="s">
        <v>6679</v>
      </c>
    </row>
    <row r="4" spans="1:2">
      <c r="A4" t="s">
        <v>6680</v>
      </c>
      <c r="B4" t="s">
        <v>6681</v>
      </c>
    </row>
    <row r="5" spans="1:2">
      <c r="A5" t="s">
        <v>6682</v>
      </c>
      <c r="B5" t="s">
        <v>6683</v>
      </c>
    </row>
    <row r="6" spans="1:2">
      <c r="A6" t="s">
        <v>6684</v>
      </c>
      <c r="B6" t="s">
        <v>6685</v>
      </c>
    </row>
    <row r="7" spans="1:2">
      <c r="A7" t="s">
        <v>6686</v>
      </c>
      <c r="B7" t="s">
        <v>3326</v>
      </c>
    </row>
    <row r="8" spans="1:2">
      <c r="A8" t="s">
        <v>6687</v>
      </c>
      <c r="B8" t="s">
        <v>6688</v>
      </c>
    </row>
    <row r="9" spans="1:2">
      <c r="A9" t="s">
        <v>6689</v>
      </c>
      <c r="B9" t="s">
        <v>6690</v>
      </c>
    </row>
    <row r="10" spans="1:2">
      <c r="A10" t="s">
        <v>6691</v>
      </c>
      <c r="B10" t="s">
        <v>6692</v>
      </c>
    </row>
    <row r="11" spans="1:2">
      <c r="A11" t="s">
        <v>6693</v>
      </c>
      <c r="B11" t="s">
        <v>6694</v>
      </c>
    </row>
    <row r="12" spans="1:2">
      <c r="A12" t="s">
        <v>6695</v>
      </c>
      <c r="B12" t="s">
        <v>6696</v>
      </c>
    </row>
    <row r="13" spans="1:2">
      <c r="A13" t="s">
        <v>6697</v>
      </c>
      <c r="B13" t="s">
        <v>6698</v>
      </c>
    </row>
    <row r="14" spans="1:2">
      <c r="A14" t="s">
        <v>6699</v>
      </c>
      <c r="B14" t="s">
        <v>6700</v>
      </c>
    </row>
    <row r="15" spans="1:2">
      <c r="A15" t="s">
        <v>6701</v>
      </c>
      <c r="B15" t="s">
        <v>2123</v>
      </c>
    </row>
    <row r="16" spans="1:2">
      <c r="A16" t="s">
        <v>6702</v>
      </c>
      <c r="B16" t="s">
        <v>3338</v>
      </c>
    </row>
    <row r="17" spans="1:2">
      <c r="A17" t="s">
        <v>6703</v>
      </c>
      <c r="B17" t="s">
        <v>6704</v>
      </c>
    </row>
    <row r="18" spans="1:2">
      <c r="A18" t="s">
        <v>6705</v>
      </c>
      <c r="B18" t="s">
        <v>6706</v>
      </c>
    </row>
    <row r="19" spans="1:2">
      <c r="A19" t="s">
        <v>6707</v>
      </c>
      <c r="B19" t="s">
        <v>6708</v>
      </c>
    </row>
    <row r="20" spans="1:2">
      <c r="A20" t="s">
        <v>6709</v>
      </c>
      <c r="B20" t="s">
        <v>6710</v>
      </c>
    </row>
    <row r="21" spans="1:2">
      <c r="A21" t="s">
        <v>6711</v>
      </c>
      <c r="B21" t="s">
        <v>6712</v>
      </c>
    </row>
    <row r="22" spans="1:2">
      <c r="A22" t="s">
        <v>6713</v>
      </c>
      <c r="B22" t="s">
        <v>6714</v>
      </c>
    </row>
    <row r="23" spans="1:2">
      <c r="A23" t="s">
        <v>6715</v>
      </c>
      <c r="B23" t="s">
        <v>3312</v>
      </c>
    </row>
    <row r="24" spans="1:2">
      <c r="A24" t="s">
        <v>6716</v>
      </c>
      <c r="B24" t="s">
        <v>6717</v>
      </c>
    </row>
    <row r="25" spans="1:2">
      <c r="A25" t="s">
        <v>6718</v>
      </c>
      <c r="B25" t="s">
        <v>6719</v>
      </c>
    </row>
    <row r="26" spans="1:2">
      <c r="A26" t="s">
        <v>6720</v>
      </c>
      <c r="B26" t="s">
        <v>6721</v>
      </c>
    </row>
    <row r="27" spans="1:2">
      <c r="A27" t="s">
        <v>6722</v>
      </c>
      <c r="B27" t="s">
        <v>6723</v>
      </c>
    </row>
    <row r="28" spans="1:2">
      <c r="A28" t="s">
        <v>6724</v>
      </c>
      <c r="B28" t="s">
        <v>3427</v>
      </c>
    </row>
    <row r="29" spans="1:2">
      <c r="A29" t="s">
        <v>6725</v>
      </c>
      <c r="B29" t="s">
        <v>6726</v>
      </c>
    </row>
    <row r="30" spans="1:2">
      <c r="A30" t="s">
        <v>6727</v>
      </c>
      <c r="B30" t="s">
        <v>6728</v>
      </c>
    </row>
    <row r="31" spans="1:2">
      <c r="A31" t="s">
        <v>6729</v>
      </c>
      <c r="B31" t="s">
        <v>6730</v>
      </c>
    </row>
    <row r="32" spans="1:2">
      <c r="A32" t="s">
        <v>6731</v>
      </c>
      <c r="B32" t="s">
        <v>6732</v>
      </c>
    </row>
    <row r="33" spans="1:2">
      <c r="A33" t="s">
        <v>6733</v>
      </c>
      <c r="B33" t="s">
        <v>3265</v>
      </c>
    </row>
    <row r="34" spans="1:2">
      <c r="A34" t="s">
        <v>6734</v>
      </c>
      <c r="B34" t="s">
        <v>6735</v>
      </c>
    </row>
    <row r="35" spans="1:2">
      <c r="A35" t="s">
        <v>6736</v>
      </c>
      <c r="B35" t="s">
        <v>6737</v>
      </c>
    </row>
    <row r="36" spans="1:2">
      <c r="A36" t="s">
        <v>6738</v>
      </c>
      <c r="B36" t="s">
        <v>6739</v>
      </c>
    </row>
    <row r="37" spans="1:2">
      <c r="A37" t="s">
        <v>6740</v>
      </c>
      <c r="B37" t="s">
        <v>6741</v>
      </c>
    </row>
    <row r="38" spans="1:2">
      <c r="A38" t="s">
        <v>6742</v>
      </c>
      <c r="B38" t="s">
        <v>6743</v>
      </c>
    </row>
    <row r="39" spans="1:2">
      <c r="A39" t="s">
        <v>6744</v>
      </c>
      <c r="B39" t="s">
        <v>6745</v>
      </c>
    </row>
    <row r="40" spans="1:2">
      <c r="A40" t="s">
        <v>6746</v>
      </c>
      <c r="B40" t="s">
        <v>6747</v>
      </c>
    </row>
    <row r="41" spans="1:2">
      <c r="A41" t="s">
        <v>6748</v>
      </c>
      <c r="B41" t="s">
        <v>6749</v>
      </c>
    </row>
    <row r="42" spans="1:2">
      <c r="A42" t="s">
        <v>6750</v>
      </c>
      <c r="B42" t="s">
        <v>3271</v>
      </c>
    </row>
    <row r="43" spans="1:2">
      <c r="A43" t="s">
        <v>6751</v>
      </c>
      <c r="B43" t="s">
        <v>6752</v>
      </c>
    </row>
    <row r="44" spans="1:2">
      <c r="A44" t="s">
        <v>6753</v>
      </c>
      <c r="B44" t="s">
        <v>6754</v>
      </c>
    </row>
    <row r="45" spans="1:2">
      <c r="A45" t="s">
        <v>6755</v>
      </c>
      <c r="B45" t="s">
        <v>6756</v>
      </c>
    </row>
    <row r="46" spans="1:2">
      <c r="A46" t="s">
        <v>6757</v>
      </c>
      <c r="B46" t="s">
        <v>3342</v>
      </c>
    </row>
    <row r="47" spans="1:2">
      <c r="A47" t="s">
        <v>6758</v>
      </c>
      <c r="B47" t="s">
        <v>2818</v>
      </c>
    </row>
    <row r="48" spans="1:2">
      <c r="A48" t="s">
        <v>6759</v>
      </c>
      <c r="B48" t="s">
        <v>6760</v>
      </c>
    </row>
    <row r="49" spans="1:2">
      <c r="A49" t="s">
        <v>6761</v>
      </c>
      <c r="B49" t="s">
        <v>6762</v>
      </c>
    </row>
    <row r="50" spans="1:2">
      <c r="A50" t="s">
        <v>6763</v>
      </c>
      <c r="B50" t="s">
        <v>3280</v>
      </c>
    </row>
    <row r="51" spans="1:2">
      <c r="A51" t="s">
        <v>6764</v>
      </c>
      <c r="B51" t="s">
        <v>6765</v>
      </c>
    </row>
    <row r="52" spans="1:2">
      <c r="A52" t="s">
        <v>6766</v>
      </c>
      <c r="B52" t="s">
        <v>6767</v>
      </c>
    </row>
    <row r="53" spans="1:2">
      <c r="A53" t="s">
        <v>6768</v>
      </c>
      <c r="B53" t="s">
        <v>6769</v>
      </c>
    </row>
    <row r="54" spans="1:2">
      <c r="A54" t="s">
        <v>6770</v>
      </c>
      <c r="B54" t="s">
        <v>6771</v>
      </c>
    </row>
    <row r="55" spans="1:2">
      <c r="A55" t="s">
        <v>6772</v>
      </c>
      <c r="B55" t="s">
        <v>6773</v>
      </c>
    </row>
    <row r="56" spans="1:2">
      <c r="A56" t="s">
        <v>6774</v>
      </c>
      <c r="B56" t="s">
        <v>6775</v>
      </c>
    </row>
    <row r="57" spans="1:2">
      <c r="A57" t="s">
        <v>6776</v>
      </c>
      <c r="B57" t="s">
        <v>6777</v>
      </c>
    </row>
    <row r="58" spans="1:2">
      <c r="A58" t="s">
        <v>6778</v>
      </c>
      <c r="B58" t="s">
        <v>6779</v>
      </c>
    </row>
    <row r="59" spans="1:2">
      <c r="A59" t="s">
        <v>6780</v>
      </c>
      <c r="B59" t="s">
        <v>6781</v>
      </c>
    </row>
    <row r="60" spans="1:2">
      <c r="A60" t="s">
        <v>6782</v>
      </c>
      <c r="B60" t="s">
        <v>6783</v>
      </c>
    </row>
    <row r="61" spans="1:2">
      <c r="A61" t="s">
        <v>6784</v>
      </c>
      <c r="B61" t="s">
        <v>3348</v>
      </c>
    </row>
    <row r="62" spans="1:2">
      <c r="A62" t="s">
        <v>6785</v>
      </c>
      <c r="B62" t="s">
        <v>6786</v>
      </c>
    </row>
    <row r="63" spans="1:2">
      <c r="A63" t="s">
        <v>6787</v>
      </c>
      <c r="B63" t="s">
        <v>6788</v>
      </c>
    </row>
    <row r="64" spans="1:2">
      <c r="A64" t="s">
        <v>6789</v>
      </c>
      <c r="B64" t="s">
        <v>6790</v>
      </c>
    </row>
    <row r="65" spans="1:2">
      <c r="A65" t="s">
        <v>6791</v>
      </c>
      <c r="B65" t="s">
        <v>6792</v>
      </c>
    </row>
    <row r="66" spans="1:2">
      <c r="A66" t="s">
        <v>6793</v>
      </c>
      <c r="B66" t="s">
        <v>6794</v>
      </c>
    </row>
    <row r="67" spans="1:2">
      <c r="A67" t="s">
        <v>6795</v>
      </c>
      <c r="B67" t="s">
        <v>6796</v>
      </c>
    </row>
    <row r="68" spans="1:2">
      <c r="A68" t="s">
        <v>6797</v>
      </c>
      <c r="B68" t="s">
        <v>6798</v>
      </c>
    </row>
    <row r="69" spans="1:2">
      <c r="A69" t="s">
        <v>6799</v>
      </c>
      <c r="B69" t="s">
        <v>6800</v>
      </c>
    </row>
    <row r="70" spans="1:2">
      <c r="A70" t="s">
        <v>6801</v>
      </c>
      <c r="B70" t="s">
        <v>6802</v>
      </c>
    </row>
    <row r="71" spans="1:2">
      <c r="A71" t="s">
        <v>6803</v>
      </c>
      <c r="B71" t="s">
        <v>3399</v>
      </c>
    </row>
    <row r="72" spans="1:2">
      <c r="A72" t="s">
        <v>6804</v>
      </c>
      <c r="B72" t="s">
        <v>6805</v>
      </c>
    </row>
    <row r="73" spans="1:2">
      <c r="A73" t="s">
        <v>6806</v>
      </c>
      <c r="B73" t="s">
        <v>6807</v>
      </c>
    </row>
    <row r="74" spans="1:2">
      <c r="A74" t="s">
        <v>6808</v>
      </c>
      <c r="B74" t="s">
        <v>6809</v>
      </c>
    </row>
    <row r="75" spans="1:2">
      <c r="A75" t="s">
        <v>6810</v>
      </c>
      <c r="B75" t="s">
        <v>6811</v>
      </c>
    </row>
    <row r="76" spans="1:2">
      <c r="A76" t="s">
        <v>6812</v>
      </c>
      <c r="B76" t="s">
        <v>6813</v>
      </c>
    </row>
    <row r="77" spans="1:2">
      <c r="A77" t="s">
        <v>6814</v>
      </c>
      <c r="B77" t="s">
        <v>6815</v>
      </c>
    </row>
    <row r="78" spans="1:2">
      <c r="A78" t="s">
        <v>6816</v>
      </c>
      <c r="B78" t="s">
        <v>3347</v>
      </c>
    </row>
    <row r="79" spans="1:2">
      <c r="A79" t="s">
        <v>6817</v>
      </c>
      <c r="B79" t="s">
        <v>6818</v>
      </c>
    </row>
    <row r="80" spans="1:2">
      <c r="A80" t="s">
        <v>6819</v>
      </c>
      <c r="B80" t="s">
        <v>6820</v>
      </c>
    </row>
    <row r="81" spans="1:2">
      <c r="A81" t="s">
        <v>6821</v>
      </c>
      <c r="B81" t="s">
        <v>6822</v>
      </c>
    </row>
    <row r="82" spans="1:2">
      <c r="A82" t="s">
        <v>6823</v>
      </c>
      <c r="B82" t="s">
        <v>6824</v>
      </c>
    </row>
    <row r="83" spans="1:2">
      <c r="A83" t="s">
        <v>6825</v>
      </c>
      <c r="B83" t="s">
        <v>6826</v>
      </c>
    </row>
    <row r="84" spans="1:2">
      <c r="A84" t="s">
        <v>6827</v>
      </c>
      <c r="B84" t="s">
        <v>6828</v>
      </c>
    </row>
    <row r="85" spans="1:2">
      <c r="A85" t="s">
        <v>2730</v>
      </c>
      <c r="B85" t="s">
        <v>3254</v>
      </c>
    </row>
    <row r="86" spans="1:2">
      <c r="A86" t="s">
        <v>6829</v>
      </c>
      <c r="B86" t="s">
        <v>3301</v>
      </c>
    </row>
    <row r="87" spans="1:2">
      <c r="A87" t="s">
        <v>6830</v>
      </c>
      <c r="B87" t="s">
        <v>6831</v>
      </c>
    </row>
    <row r="88" spans="1:2">
      <c r="A88" t="s">
        <v>6832</v>
      </c>
      <c r="B88" t="s">
        <v>6833</v>
      </c>
    </row>
    <row r="89" spans="1:2">
      <c r="A89" t="s">
        <v>6834</v>
      </c>
      <c r="B89" t="s">
        <v>6835</v>
      </c>
    </row>
    <row r="90" spans="1:2">
      <c r="A90" t="s">
        <v>6836</v>
      </c>
      <c r="B90" t="s">
        <v>6837</v>
      </c>
    </row>
    <row r="91" spans="1:2">
      <c r="A91" t="s">
        <v>6838</v>
      </c>
      <c r="B91" t="s">
        <v>6839</v>
      </c>
    </row>
    <row r="92" spans="1:2">
      <c r="A92" t="s">
        <v>6840</v>
      </c>
      <c r="B92" t="s">
        <v>6841</v>
      </c>
    </row>
    <row r="93" spans="1:2">
      <c r="A93" t="s">
        <v>6842</v>
      </c>
      <c r="B93" t="s">
        <v>6843</v>
      </c>
    </row>
    <row r="94" spans="1:2">
      <c r="A94" t="s">
        <v>6844</v>
      </c>
      <c r="B94" t="s">
        <v>6845</v>
      </c>
    </row>
    <row r="95" spans="1:2">
      <c r="A95" t="s">
        <v>6846</v>
      </c>
      <c r="B95" t="s">
        <v>6847</v>
      </c>
    </row>
    <row r="96" spans="1:2">
      <c r="A96" t="s">
        <v>6848</v>
      </c>
      <c r="B96" t="s">
        <v>6849</v>
      </c>
    </row>
    <row r="97" spans="1:2">
      <c r="A97" t="s">
        <v>6850</v>
      </c>
      <c r="B97" t="s">
        <v>6851</v>
      </c>
    </row>
    <row r="98" spans="1:2">
      <c r="A98" t="s">
        <v>6852</v>
      </c>
      <c r="B98" t="s">
        <v>6853</v>
      </c>
    </row>
    <row r="99" spans="1:2">
      <c r="A99" t="s">
        <v>6854</v>
      </c>
      <c r="B99" t="s">
        <v>6855</v>
      </c>
    </row>
    <row r="100" spans="1:2">
      <c r="A100" t="s">
        <v>6856</v>
      </c>
      <c r="B100" t="s">
        <v>6857</v>
      </c>
    </row>
    <row r="101" spans="1:2">
      <c r="A101" t="s">
        <v>6858</v>
      </c>
      <c r="B101" t="s">
        <v>6859</v>
      </c>
    </row>
    <row r="102" spans="1:2">
      <c r="A102" t="s">
        <v>6860</v>
      </c>
      <c r="B102" t="s">
        <v>6861</v>
      </c>
    </row>
    <row r="103" spans="1:2">
      <c r="A103" t="s">
        <v>6862</v>
      </c>
      <c r="B103" t="s">
        <v>6863</v>
      </c>
    </row>
    <row r="104" spans="1:2">
      <c r="A104" t="s">
        <v>6864</v>
      </c>
      <c r="B104" t="s">
        <v>6865</v>
      </c>
    </row>
    <row r="105" spans="1:2">
      <c r="A105" t="s">
        <v>6866</v>
      </c>
      <c r="B105" t="s">
        <v>3275</v>
      </c>
    </row>
    <row r="106" spans="1:2">
      <c r="A106" t="s">
        <v>6867</v>
      </c>
      <c r="B106" t="s">
        <v>1075</v>
      </c>
    </row>
    <row r="107" spans="1:2">
      <c r="A107" t="s">
        <v>6868</v>
      </c>
      <c r="B107" t="s">
        <v>6869</v>
      </c>
    </row>
    <row r="108" spans="1:2">
      <c r="A108" t="s">
        <v>6870</v>
      </c>
      <c r="B108" t="s">
        <v>6871</v>
      </c>
    </row>
    <row r="109" spans="1:2">
      <c r="A109" t="s">
        <v>6872</v>
      </c>
      <c r="B109" t="s">
        <v>6873</v>
      </c>
    </row>
    <row r="110" spans="1:2">
      <c r="A110" t="s">
        <v>6874</v>
      </c>
      <c r="B110" t="s">
        <v>6875</v>
      </c>
    </row>
    <row r="111" spans="1:2">
      <c r="A111" t="s">
        <v>6876</v>
      </c>
      <c r="B111" t="s">
        <v>6877</v>
      </c>
    </row>
    <row r="112" spans="1:2">
      <c r="A112" t="s">
        <v>6878</v>
      </c>
      <c r="B112" t="s">
        <v>3248</v>
      </c>
    </row>
    <row r="113" spans="1:2">
      <c r="A113" t="s">
        <v>6879</v>
      </c>
      <c r="B113" t="s">
        <v>6880</v>
      </c>
    </row>
    <row r="114" spans="1:2">
      <c r="A114" t="s">
        <v>6881</v>
      </c>
      <c r="B114" t="s">
        <v>3257</v>
      </c>
    </row>
    <row r="115" spans="1:2">
      <c r="A115" t="s">
        <v>6882</v>
      </c>
      <c r="B115" t="s">
        <v>6883</v>
      </c>
    </row>
    <row r="116" spans="1:2">
      <c r="A116" t="s">
        <v>6884</v>
      </c>
      <c r="B116" t="s">
        <v>6885</v>
      </c>
    </row>
    <row r="117" spans="1:2">
      <c r="A117" t="s">
        <v>6886</v>
      </c>
      <c r="B117" t="s">
        <v>3315</v>
      </c>
    </row>
    <row r="118" spans="1:2">
      <c r="A118" t="s">
        <v>6887</v>
      </c>
      <c r="B118" t="s">
        <v>6888</v>
      </c>
    </row>
    <row r="119" spans="1:2">
      <c r="A119" t="s">
        <v>6889</v>
      </c>
      <c r="B119" t="s">
        <v>6890</v>
      </c>
    </row>
    <row r="120" spans="1:2">
      <c r="A120" t="s">
        <v>6891</v>
      </c>
      <c r="B120" t="s">
        <v>6892</v>
      </c>
    </row>
    <row r="121" spans="1:2">
      <c r="A121" t="s">
        <v>6893</v>
      </c>
      <c r="B121" t="s">
        <v>3290</v>
      </c>
    </row>
    <row r="122" spans="1:2">
      <c r="A122" t="s">
        <v>6894</v>
      </c>
      <c r="B122" t="s">
        <v>6895</v>
      </c>
    </row>
    <row r="123" spans="1:2">
      <c r="A123" t="s">
        <v>6896</v>
      </c>
      <c r="B123" t="s">
        <v>3321</v>
      </c>
    </row>
    <row r="124" spans="1:2">
      <c r="A124" t="s">
        <v>6897</v>
      </c>
      <c r="B124" t="s">
        <v>6898</v>
      </c>
    </row>
    <row r="125" spans="1:2">
      <c r="A125" t="s">
        <v>6899</v>
      </c>
      <c r="B125" t="s">
        <v>6900</v>
      </c>
    </row>
    <row r="126" spans="1:2">
      <c r="A126" t="s">
        <v>6901</v>
      </c>
      <c r="B126" t="s">
        <v>6902</v>
      </c>
    </row>
    <row r="127" spans="1:2">
      <c r="A127" t="s">
        <v>6903</v>
      </c>
      <c r="B127" t="s">
        <v>6904</v>
      </c>
    </row>
    <row r="128" spans="1:2">
      <c r="A128" t="s">
        <v>6905</v>
      </c>
      <c r="B128" t="s">
        <v>6906</v>
      </c>
    </row>
    <row r="129" spans="1:2">
      <c r="A129" t="s">
        <v>6907</v>
      </c>
      <c r="B129" t="s">
        <v>6908</v>
      </c>
    </row>
    <row r="130" spans="1:2">
      <c r="A130" t="s">
        <v>6909</v>
      </c>
      <c r="B130" t="s">
        <v>6910</v>
      </c>
    </row>
    <row r="131" spans="1:2">
      <c r="A131" t="s">
        <v>6911</v>
      </c>
      <c r="B131" t="s">
        <v>3367</v>
      </c>
    </row>
    <row r="132" spans="1:2">
      <c r="A132" t="s">
        <v>6912</v>
      </c>
      <c r="B132" t="s">
        <v>6913</v>
      </c>
    </row>
    <row r="133" spans="1:2">
      <c r="A133" t="s">
        <v>6914</v>
      </c>
      <c r="B133" t="s">
        <v>6915</v>
      </c>
    </row>
    <row r="134" spans="1:2">
      <c r="A134" t="s">
        <v>6916</v>
      </c>
      <c r="B134" t="s">
        <v>6917</v>
      </c>
    </row>
    <row r="135" spans="1:2">
      <c r="A135" t="s">
        <v>6918</v>
      </c>
      <c r="B135" t="s">
        <v>6919</v>
      </c>
    </row>
    <row r="136" spans="1:2">
      <c r="A136" t="s">
        <v>6920</v>
      </c>
      <c r="B136" t="s">
        <v>6921</v>
      </c>
    </row>
    <row r="137" spans="1:2">
      <c r="A137" t="s">
        <v>6922</v>
      </c>
      <c r="B137" t="s">
        <v>3336</v>
      </c>
    </row>
    <row r="138" spans="1:2">
      <c r="A138" t="s">
        <v>6923</v>
      </c>
      <c r="B138" t="s">
        <v>6924</v>
      </c>
    </row>
    <row r="139" spans="1:2">
      <c r="A139" t="s">
        <v>6925</v>
      </c>
      <c r="B139" t="s">
        <v>6926</v>
      </c>
    </row>
    <row r="140" spans="1:2">
      <c r="A140" t="s">
        <v>6927</v>
      </c>
      <c r="B140" t="s">
        <v>6928</v>
      </c>
    </row>
    <row r="141" spans="1:2">
      <c r="A141" t="s">
        <v>6929</v>
      </c>
      <c r="B141" t="s">
        <v>6930</v>
      </c>
    </row>
    <row r="142" spans="1:2">
      <c r="A142" t="s">
        <v>6931</v>
      </c>
      <c r="B142" t="s">
        <v>6932</v>
      </c>
    </row>
    <row r="143" spans="1:2">
      <c r="A143" t="s">
        <v>6933</v>
      </c>
      <c r="B143" t="s">
        <v>3352</v>
      </c>
    </row>
    <row r="144" spans="1:2">
      <c r="A144" t="s">
        <v>6934</v>
      </c>
      <c r="B144" t="s">
        <v>6935</v>
      </c>
    </row>
    <row r="145" spans="1:2">
      <c r="A145" t="s">
        <v>6936</v>
      </c>
      <c r="B145" t="s">
        <v>6937</v>
      </c>
    </row>
    <row r="146" spans="1:2">
      <c r="A146" t="s">
        <v>6938</v>
      </c>
      <c r="B146" t="s">
        <v>3281</v>
      </c>
    </row>
    <row r="147" spans="1:2">
      <c r="A147" t="s">
        <v>6939</v>
      </c>
      <c r="B147" t="s">
        <v>6940</v>
      </c>
    </row>
    <row r="148" spans="1:2">
      <c r="A148" t="s">
        <v>6941</v>
      </c>
      <c r="B148" t="s">
        <v>6942</v>
      </c>
    </row>
    <row r="149" spans="1:2">
      <c r="A149" t="s">
        <v>6943</v>
      </c>
      <c r="B149" t="s">
        <v>6944</v>
      </c>
    </row>
    <row r="150" spans="1:2">
      <c r="A150" t="s">
        <v>6945</v>
      </c>
      <c r="B150" t="s">
        <v>6946</v>
      </c>
    </row>
    <row r="151" spans="1:2">
      <c r="A151" t="s">
        <v>6947</v>
      </c>
      <c r="B151" t="s">
        <v>6948</v>
      </c>
    </row>
    <row r="152" spans="1:2">
      <c r="A152" t="s">
        <v>6949</v>
      </c>
      <c r="B152" t="s">
        <v>6950</v>
      </c>
    </row>
    <row r="153" spans="1:2">
      <c r="A153" t="s">
        <v>6951</v>
      </c>
      <c r="B153" t="s">
        <v>6952</v>
      </c>
    </row>
    <row r="154" spans="1:2">
      <c r="A154" t="s">
        <v>6953</v>
      </c>
      <c r="B154" t="s">
        <v>6954</v>
      </c>
    </row>
    <row r="155" spans="1:2">
      <c r="A155" t="s">
        <v>6955</v>
      </c>
      <c r="B155" t="s">
        <v>3426</v>
      </c>
    </row>
    <row r="156" spans="1:2">
      <c r="A156" t="s">
        <v>717</v>
      </c>
      <c r="B156" t="s">
        <v>6956</v>
      </c>
    </row>
    <row r="157" spans="1:2">
      <c r="A157" t="s">
        <v>6957</v>
      </c>
      <c r="B157" t="s">
        <v>6958</v>
      </c>
    </row>
    <row r="158" spans="1:2">
      <c r="A158" t="s">
        <v>6959</v>
      </c>
      <c r="B158" t="s">
        <v>6960</v>
      </c>
    </row>
    <row r="159" spans="1:2">
      <c r="A159" t="s">
        <v>6961</v>
      </c>
      <c r="B159" t="s">
        <v>3346</v>
      </c>
    </row>
    <row r="160" spans="1:2">
      <c r="A160" t="s">
        <v>6962</v>
      </c>
      <c r="B160" t="s">
        <v>6963</v>
      </c>
    </row>
    <row r="161" spans="1:2">
      <c r="A161" t="s">
        <v>6964</v>
      </c>
      <c r="B161" t="s">
        <v>3337</v>
      </c>
    </row>
    <row r="162" spans="1:2">
      <c r="A162" t="s">
        <v>6965</v>
      </c>
      <c r="B162" t="s">
        <v>6966</v>
      </c>
    </row>
    <row r="163" spans="1:2">
      <c r="A163" t="s">
        <v>6967</v>
      </c>
      <c r="B163" t="s">
        <v>6968</v>
      </c>
    </row>
    <row r="164" spans="1:2">
      <c r="A164" t="s">
        <v>6969</v>
      </c>
      <c r="B164" t="s">
        <v>6970</v>
      </c>
    </row>
    <row r="165" spans="1:2">
      <c r="A165" t="s">
        <v>6971</v>
      </c>
      <c r="B165" t="s">
        <v>6972</v>
      </c>
    </row>
    <row r="166" spans="1:2">
      <c r="A166" t="s">
        <v>6973</v>
      </c>
      <c r="B166" t="s">
        <v>6974</v>
      </c>
    </row>
    <row r="167" spans="1:2">
      <c r="A167" t="s">
        <v>6975</v>
      </c>
      <c r="B167" t="s">
        <v>6976</v>
      </c>
    </row>
    <row r="168" spans="1:2">
      <c r="A168" t="s">
        <v>2841</v>
      </c>
      <c r="B168" t="s">
        <v>3314</v>
      </c>
    </row>
    <row r="169" spans="1:2">
      <c r="A169" t="s">
        <v>6977</v>
      </c>
      <c r="B169" t="s">
        <v>6978</v>
      </c>
    </row>
    <row r="170" spans="1:2">
      <c r="A170" t="s">
        <v>6979</v>
      </c>
      <c r="B170" t="s">
        <v>6980</v>
      </c>
    </row>
    <row r="171" spans="1:2">
      <c r="A171" t="s">
        <v>6981</v>
      </c>
      <c r="B171" t="s">
        <v>6982</v>
      </c>
    </row>
    <row r="172" spans="1:2">
      <c r="A172" t="s">
        <v>6983</v>
      </c>
      <c r="B172" t="s">
        <v>6984</v>
      </c>
    </row>
    <row r="173" spans="1:2">
      <c r="A173" t="s">
        <v>6985</v>
      </c>
      <c r="B173" t="s">
        <v>6986</v>
      </c>
    </row>
    <row r="174" spans="1:2">
      <c r="A174" t="s">
        <v>6987</v>
      </c>
      <c r="B174" t="s">
        <v>6988</v>
      </c>
    </row>
    <row r="175" spans="1:2">
      <c r="A175" t="s">
        <v>6989</v>
      </c>
      <c r="B175" t="s">
        <v>6990</v>
      </c>
    </row>
    <row r="176" spans="1:2">
      <c r="A176" t="s">
        <v>6991</v>
      </c>
      <c r="B176" t="s">
        <v>3433</v>
      </c>
    </row>
    <row r="177" spans="1:2">
      <c r="A177" t="s">
        <v>6992</v>
      </c>
      <c r="B177" t="s">
        <v>3278</v>
      </c>
    </row>
    <row r="178" spans="1:2">
      <c r="A178" t="s">
        <v>6993</v>
      </c>
      <c r="B178" t="s">
        <v>6994</v>
      </c>
    </row>
    <row r="179" spans="1:2">
      <c r="A179" t="s">
        <v>6995</v>
      </c>
      <c r="B179" t="s">
        <v>3317</v>
      </c>
    </row>
    <row r="180" spans="1:2">
      <c r="A180" t="s">
        <v>6996</v>
      </c>
      <c r="B180" t="s">
        <v>3261</v>
      </c>
    </row>
    <row r="181" spans="1:2">
      <c r="A181" t="s">
        <v>6997</v>
      </c>
      <c r="B181" t="s">
        <v>6998</v>
      </c>
    </row>
    <row r="182" spans="1:2">
      <c r="A182" t="s">
        <v>6999</v>
      </c>
      <c r="B182" t="s">
        <v>7000</v>
      </c>
    </row>
    <row r="183" spans="1:2">
      <c r="A183" t="s">
        <v>7001</v>
      </c>
      <c r="B183" t="s">
        <v>7002</v>
      </c>
    </row>
    <row r="184" spans="1:2">
      <c r="A184" t="s">
        <v>7003</v>
      </c>
      <c r="B184" t="s">
        <v>7004</v>
      </c>
    </row>
    <row r="185" spans="1:2">
      <c r="A185" t="s">
        <v>7005</v>
      </c>
      <c r="B185" t="s">
        <v>3296</v>
      </c>
    </row>
    <row r="186" spans="1:2">
      <c r="A186" t="s">
        <v>7006</v>
      </c>
      <c r="B186" t="s">
        <v>3447</v>
      </c>
    </row>
    <row r="187" spans="1:2">
      <c r="A187" t="s">
        <v>7007</v>
      </c>
      <c r="B187" t="s">
        <v>7008</v>
      </c>
    </row>
    <row r="188" spans="1:2">
      <c r="A188" t="s">
        <v>7009</v>
      </c>
      <c r="B188" t="s">
        <v>7010</v>
      </c>
    </row>
    <row r="189" spans="1:2">
      <c r="A189" t="s">
        <v>7011</v>
      </c>
      <c r="B189" t="s">
        <v>7012</v>
      </c>
    </row>
    <row r="190" spans="1:2">
      <c r="A190" t="s">
        <v>7013</v>
      </c>
      <c r="B190" t="s">
        <v>7014</v>
      </c>
    </row>
    <row r="191" spans="1:2">
      <c r="A191" t="s">
        <v>7015</v>
      </c>
      <c r="B191" t="s">
        <v>7016</v>
      </c>
    </row>
    <row r="192" spans="1:2">
      <c r="A192" t="s">
        <v>7017</v>
      </c>
      <c r="B192" t="s">
        <v>7018</v>
      </c>
    </row>
    <row r="193" spans="1:2">
      <c r="A193" t="s">
        <v>7019</v>
      </c>
      <c r="B193" t="s">
        <v>7020</v>
      </c>
    </row>
    <row r="194" spans="1:2">
      <c r="A194" t="s">
        <v>7021</v>
      </c>
      <c r="B194" t="s">
        <v>7022</v>
      </c>
    </row>
    <row r="195" spans="1:2">
      <c r="A195" t="s">
        <v>7023</v>
      </c>
      <c r="B195" t="s">
        <v>7024</v>
      </c>
    </row>
    <row r="196" spans="1:2">
      <c r="A196" t="s">
        <v>7025</v>
      </c>
      <c r="B196" t="s">
        <v>7026</v>
      </c>
    </row>
    <row r="197" spans="1:2">
      <c r="A197" t="s">
        <v>7027</v>
      </c>
      <c r="B197" t="s">
        <v>3324</v>
      </c>
    </row>
    <row r="198" spans="1:2">
      <c r="A198" t="s">
        <v>7028</v>
      </c>
      <c r="B198" t="s">
        <v>7029</v>
      </c>
    </row>
    <row r="199" spans="1:2">
      <c r="A199" t="s">
        <v>7030</v>
      </c>
      <c r="B199" t="s">
        <v>7031</v>
      </c>
    </row>
    <row r="200" spans="1:2">
      <c r="A200" t="s">
        <v>7032</v>
      </c>
      <c r="B200" t="s">
        <v>7033</v>
      </c>
    </row>
    <row r="201" spans="1:2">
      <c r="A201" t="s">
        <v>7034</v>
      </c>
      <c r="B201" t="s">
        <v>7035</v>
      </c>
    </row>
    <row r="202" spans="1:2">
      <c r="A202" t="s">
        <v>7036</v>
      </c>
      <c r="B202" t="s">
        <v>3332</v>
      </c>
    </row>
    <row r="203" spans="1:2">
      <c r="A203" t="s">
        <v>7037</v>
      </c>
      <c r="B203" t="s">
        <v>7038</v>
      </c>
    </row>
    <row r="204" spans="1:2">
      <c r="A204" t="s">
        <v>7039</v>
      </c>
      <c r="B204" t="s">
        <v>7040</v>
      </c>
    </row>
    <row r="205" spans="1:2">
      <c r="A205" t="s">
        <v>7041</v>
      </c>
      <c r="B205" t="s">
        <v>7042</v>
      </c>
    </row>
    <row r="206" spans="1:2">
      <c r="A206" t="s">
        <v>7043</v>
      </c>
      <c r="B206" t="s">
        <v>7044</v>
      </c>
    </row>
    <row r="207" spans="1:2">
      <c r="A207" t="s">
        <v>7045</v>
      </c>
      <c r="B207" t="s">
        <v>7046</v>
      </c>
    </row>
    <row r="208" spans="1:2">
      <c r="A208" t="s">
        <v>7047</v>
      </c>
      <c r="B208" t="s">
        <v>3274</v>
      </c>
    </row>
    <row r="209" spans="1:2">
      <c r="A209" t="s">
        <v>7048</v>
      </c>
      <c r="B209" t="s">
        <v>7049</v>
      </c>
    </row>
    <row r="210" spans="1:2">
      <c r="A210" t="s">
        <v>7050</v>
      </c>
      <c r="B210" t="s">
        <v>7051</v>
      </c>
    </row>
    <row r="211" spans="1:2">
      <c r="A211" t="s">
        <v>7052</v>
      </c>
      <c r="B211" t="s">
        <v>3353</v>
      </c>
    </row>
    <row r="212" spans="1:2">
      <c r="A212" t="s">
        <v>7053</v>
      </c>
      <c r="B212" t="s">
        <v>7054</v>
      </c>
    </row>
    <row r="213" spans="1:2">
      <c r="A213" t="s">
        <v>7055</v>
      </c>
      <c r="B213" t="s">
        <v>3368</v>
      </c>
    </row>
    <row r="214" spans="1:2">
      <c r="A214" t="s">
        <v>7056</v>
      </c>
      <c r="B214" t="s">
        <v>7057</v>
      </c>
    </row>
    <row r="215" spans="1:2">
      <c r="A215" t="s">
        <v>7058</v>
      </c>
      <c r="B215" t="s">
        <v>7059</v>
      </c>
    </row>
    <row r="216" spans="1:2">
      <c r="A216" t="s">
        <v>7060</v>
      </c>
      <c r="B216" t="s">
        <v>3279</v>
      </c>
    </row>
    <row r="217" spans="1:2">
      <c r="A217" t="s">
        <v>7061</v>
      </c>
      <c r="B217" t="s">
        <v>3270</v>
      </c>
    </row>
    <row r="218" spans="1:2">
      <c r="A218" t="s">
        <v>7062</v>
      </c>
      <c r="B218" t="s">
        <v>7063</v>
      </c>
    </row>
    <row r="219" spans="1:2">
      <c r="A219" t="s">
        <v>7064</v>
      </c>
      <c r="B219" t="s">
        <v>3363</v>
      </c>
    </row>
    <row r="220" spans="1:2">
      <c r="A220" t="s">
        <v>7065</v>
      </c>
      <c r="B220" t="s">
        <v>7066</v>
      </c>
    </row>
    <row r="221" spans="1:2">
      <c r="A221" t="s">
        <v>7067</v>
      </c>
      <c r="B221" t="s">
        <v>7068</v>
      </c>
    </row>
    <row r="222" spans="1:2">
      <c r="A222" t="s">
        <v>7069</v>
      </c>
      <c r="B222" t="s">
        <v>3384</v>
      </c>
    </row>
    <row r="223" spans="1:2">
      <c r="A223" t="s">
        <v>7070</v>
      </c>
      <c r="B223" t="s">
        <v>7071</v>
      </c>
    </row>
    <row r="224" spans="1:2">
      <c r="A224" t="s">
        <v>7072</v>
      </c>
      <c r="B224" t="s">
        <v>7073</v>
      </c>
    </row>
    <row r="225" spans="1:2">
      <c r="A225" t="s">
        <v>7074</v>
      </c>
      <c r="B225" t="s">
        <v>7075</v>
      </c>
    </row>
    <row r="226" spans="1:2">
      <c r="A226" t="s">
        <v>7076</v>
      </c>
      <c r="B226" t="s">
        <v>7077</v>
      </c>
    </row>
    <row r="227" spans="1:2">
      <c r="A227" t="s">
        <v>7078</v>
      </c>
      <c r="B227" t="s">
        <v>7079</v>
      </c>
    </row>
    <row r="228" spans="1:2">
      <c r="A228" t="s">
        <v>7080</v>
      </c>
      <c r="B228" t="s">
        <v>7081</v>
      </c>
    </row>
    <row r="229" spans="1:2">
      <c r="A229" t="s">
        <v>7082</v>
      </c>
      <c r="B229" t="s">
        <v>3273</v>
      </c>
    </row>
    <row r="230" spans="1:2">
      <c r="A230" t="s">
        <v>7083</v>
      </c>
      <c r="B230" t="s">
        <v>7084</v>
      </c>
    </row>
    <row r="231" spans="1:2">
      <c r="A231" t="s">
        <v>7085</v>
      </c>
      <c r="B231" t="s">
        <v>7086</v>
      </c>
    </row>
    <row r="232" spans="1:2">
      <c r="A232" t="s">
        <v>7087</v>
      </c>
      <c r="B232" t="s">
        <v>7088</v>
      </c>
    </row>
    <row r="233" spans="1:2">
      <c r="A233" t="s">
        <v>7089</v>
      </c>
      <c r="B233" t="s">
        <v>3252</v>
      </c>
    </row>
    <row r="234" spans="1:2">
      <c r="A234" t="s">
        <v>7090</v>
      </c>
      <c r="B234" t="s">
        <v>7091</v>
      </c>
    </row>
    <row r="235" spans="1:2">
      <c r="A235" t="s">
        <v>7092</v>
      </c>
      <c r="B235" t="s">
        <v>3260</v>
      </c>
    </row>
    <row r="236" spans="1:2">
      <c r="A236" t="s">
        <v>7093</v>
      </c>
      <c r="B236" t="s">
        <v>7094</v>
      </c>
    </row>
    <row r="237" spans="1:2">
      <c r="A237" t="s">
        <v>7095</v>
      </c>
      <c r="B237" t="s">
        <v>7096</v>
      </c>
    </row>
    <row r="238" spans="1:2">
      <c r="A238" t="s">
        <v>7097</v>
      </c>
      <c r="B238" t="s">
        <v>3251</v>
      </c>
    </row>
    <row r="239" spans="1:2">
      <c r="A239" t="s">
        <v>7098</v>
      </c>
      <c r="B239" t="s">
        <v>7099</v>
      </c>
    </row>
    <row r="240" spans="1:2">
      <c r="A240" t="s">
        <v>7100</v>
      </c>
      <c r="B240" t="s">
        <v>3262</v>
      </c>
    </row>
    <row r="241" spans="1:2">
      <c r="A241" t="s">
        <v>7101</v>
      </c>
      <c r="B241" t="s">
        <v>7102</v>
      </c>
    </row>
    <row r="242" spans="1:2">
      <c r="A242" t="s">
        <v>7103</v>
      </c>
      <c r="B242" t="s">
        <v>7104</v>
      </c>
    </row>
    <row r="243" spans="1:2">
      <c r="A243" t="s">
        <v>7105</v>
      </c>
      <c r="B243" t="s">
        <v>3416</v>
      </c>
    </row>
    <row r="244" spans="1:2">
      <c r="A244" t="s">
        <v>7106</v>
      </c>
      <c r="B244" t="s">
        <v>7107</v>
      </c>
    </row>
    <row r="245" spans="1:2">
      <c r="A245" t="s">
        <v>7108</v>
      </c>
      <c r="B245" t="s">
        <v>7109</v>
      </c>
    </row>
    <row r="246" spans="1:2">
      <c r="A246" t="s">
        <v>7110</v>
      </c>
      <c r="B246" t="s">
        <v>7111</v>
      </c>
    </row>
    <row r="247" spans="1:2">
      <c r="A247" t="s">
        <v>7112</v>
      </c>
      <c r="B247" t="s">
        <v>7113</v>
      </c>
    </row>
    <row r="248" spans="1:2">
      <c r="A248" t="s">
        <v>7114</v>
      </c>
      <c r="B248" t="s">
        <v>7115</v>
      </c>
    </row>
    <row r="249" spans="1:2">
      <c r="A249" t="s">
        <v>7116</v>
      </c>
      <c r="B249" t="s">
        <v>7117</v>
      </c>
    </row>
    <row r="250" spans="1:2">
      <c r="A250" t="s">
        <v>7118</v>
      </c>
      <c r="B250" t="s">
        <v>3298</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headerFooter>
    <oddFooter xml:space="preserve">&amp;L_x000D_&amp;1#&amp;"Calibri"&amp;8&amp;K000000  Rockwell Automation Company 'Internal'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7119</v>
      </c>
      <c r="B1" t="s">
        <v>7120</v>
      </c>
    </row>
    <row r="2" spans="1:2">
      <c r="A2" t="s">
        <v>7121</v>
      </c>
      <c r="B2" t="s">
        <v>7122</v>
      </c>
    </row>
    <row r="3" spans="1:2">
      <c r="A3" t="s">
        <v>7123</v>
      </c>
      <c r="B3" t="s">
        <v>7124</v>
      </c>
    </row>
    <row r="4" spans="1:2">
      <c r="A4" t="s">
        <v>7125</v>
      </c>
      <c r="B4" t="s">
        <v>7126</v>
      </c>
    </row>
    <row r="5" spans="1:2">
      <c r="A5" t="s">
        <v>7127</v>
      </c>
      <c r="B5" t="s">
        <v>7128</v>
      </c>
    </row>
    <row r="6" spans="1:2">
      <c r="A6" t="s">
        <v>7129</v>
      </c>
      <c r="B6" t="s">
        <v>7130</v>
      </c>
    </row>
    <row r="7" spans="1:2">
      <c r="A7" t="s">
        <v>7131</v>
      </c>
      <c r="B7" t="s">
        <v>3160</v>
      </c>
    </row>
    <row r="8" spans="1:2">
      <c r="A8" t="s">
        <v>7132</v>
      </c>
      <c r="B8" t="s">
        <v>7133</v>
      </c>
    </row>
    <row r="9" spans="1:2">
      <c r="A9" t="s">
        <v>7134</v>
      </c>
      <c r="B9" t="s">
        <v>7135</v>
      </c>
    </row>
    <row r="10" spans="1:2">
      <c r="A10" t="s">
        <v>7136</v>
      </c>
      <c r="B10" t="s">
        <v>7137</v>
      </c>
    </row>
    <row r="11" spans="1:2">
      <c r="A11" t="s">
        <v>7138</v>
      </c>
      <c r="B11" t="s">
        <v>202</v>
      </c>
    </row>
    <row r="12" spans="1:2">
      <c r="A12" t="s">
        <v>7139</v>
      </c>
      <c r="B12" t="s">
        <v>517</v>
      </c>
    </row>
    <row r="13" spans="1:2">
      <c r="A13" t="s">
        <v>7140</v>
      </c>
      <c r="B13" t="s">
        <v>7141</v>
      </c>
    </row>
    <row r="14" spans="1:2">
      <c r="A14" t="s">
        <v>7142</v>
      </c>
      <c r="B14" t="s">
        <v>336</v>
      </c>
    </row>
    <row r="15" spans="1:2">
      <c r="A15" t="s">
        <v>7143</v>
      </c>
      <c r="B15" t="s">
        <v>7144</v>
      </c>
    </row>
    <row r="16" spans="1:2">
      <c r="A16" t="s">
        <v>7145</v>
      </c>
      <c r="B16" t="s">
        <v>7146</v>
      </c>
    </row>
    <row r="17" spans="1:2">
      <c r="A17" t="s">
        <v>7145</v>
      </c>
      <c r="B17" t="s">
        <v>7146</v>
      </c>
    </row>
    <row r="18" spans="1:2">
      <c r="A18" t="s">
        <v>7147</v>
      </c>
      <c r="B18" t="s">
        <v>7148</v>
      </c>
    </row>
    <row r="19" spans="1:2">
      <c r="A19" t="s">
        <v>7147</v>
      </c>
      <c r="B19" t="s">
        <v>7148</v>
      </c>
    </row>
    <row r="20" spans="1:2">
      <c r="A20" t="s">
        <v>7149</v>
      </c>
      <c r="B20" t="s">
        <v>7150</v>
      </c>
    </row>
    <row r="21" spans="1:2">
      <c r="A21" t="s">
        <v>7149</v>
      </c>
      <c r="B21" t="s">
        <v>7150</v>
      </c>
    </row>
    <row r="22" spans="1:2">
      <c r="A22" t="s">
        <v>7151</v>
      </c>
      <c r="B22" t="s">
        <v>7152</v>
      </c>
    </row>
    <row r="23" spans="1:2">
      <c r="A23" t="s">
        <v>7151</v>
      </c>
      <c r="B23" t="s">
        <v>7152</v>
      </c>
    </row>
    <row r="24" spans="1:2">
      <c r="A24" t="s">
        <v>7153</v>
      </c>
      <c r="B24" t="s">
        <v>7154</v>
      </c>
    </row>
    <row r="25" spans="1:2">
      <c r="A25" t="s">
        <v>7153</v>
      </c>
      <c r="B25" t="s">
        <v>7154</v>
      </c>
    </row>
    <row r="26" spans="1:2">
      <c r="A26" t="s">
        <v>7155</v>
      </c>
      <c r="B26" t="s">
        <v>7156</v>
      </c>
    </row>
    <row r="27" spans="1:2">
      <c r="A27" t="s">
        <v>7155</v>
      </c>
      <c r="B27" t="s">
        <v>7156</v>
      </c>
    </row>
    <row r="28" spans="1:2">
      <c r="A28" t="s">
        <v>7157</v>
      </c>
      <c r="B28" t="s">
        <v>7158</v>
      </c>
    </row>
    <row r="29" spans="1:2">
      <c r="A29" t="s">
        <v>7157</v>
      </c>
      <c r="B29" t="s">
        <v>7158</v>
      </c>
    </row>
    <row r="30" spans="1:2">
      <c r="A30" t="s">
        <v>7159</v>
      </c>
      <c r="B30" t="s">
        <v>7160</v>
      </c>
    </row>
    <row r="31" spans="1:2">
      <c r="A31" t="s">
        <v>7159</v>
      </c>
      <c r="B31" t="s">
        <v>7160</v>
      </c>
    </row>
    <row r="32" spans="1:2">
      <c r="A32" t="s">
        <v>7161</v>
      </c>
      <c r="B32" t="s">
        <v>7162</v>
      </c>
    </row>
    <row r="33" spans="1:2">
      <c r="A33" t="s">
        <v>7161</v>
      </c>
      <c r="B33" t="s">
        <v>7162</v>
      </c>
    </row>
    <row r="34" spans="1:2">
      <c r="A34" t="s">
        <v>7163</v>
      </c>
      <c r="B34" t="s">
        <v>7164</v>
      </c>
    </row>
    <row r="35" spans="1:2">
      <c r="A35" t="s">
        <v>7163</v>
      </c>
      <c r="B35" t="s">
        <v>7164</v>
      </c>
    </row>
    <row r="36" spans="1:2">
      <c r="A36" t="s">
        <v>7165</v>
      </c>
      <c r="B36" t="s">
        <v>7166</v>
      </c>
    </row>
    <row r="37" spans="1:2">
      <c r="A37" t="s">
        <v>7165</v>
      </c>
      <c r="B37" t="s">
        <v>7166</v>
      </c>
    </row>
    <row r="38" spans="1:2">
      <c r="A38" t="s">
        <v>7167</v>
      </c>
      <c r="B38" t="s">
        <v>7168</v>
      </c>
    </row>
    <row r="39" spans="1:2">
      <c r="A39" t="s">
        <v>7167</v>
      </c>
      <c r="B39" t="s">
        <v>7168</v>
      </c>
    </row>
    <row r="40" spans="1:2">
      <c r="A40" t="s">
        <v>7169</v>
      </c>
      <c r="B40" t="s">
        <v>7170</v>
      </c>
    </row>
    <row r="41" spans="1:2">
      <c r="A41" t="s">
        <v>7169</v>
      </c>
      <c r="B41" t="s">
        <v>7170</v>
      </c>
    </row>
    <row r="42" spans="1:2">
      <c r="A42" t="s">
        <v>7171</v>
      </c>
      <c r="B42" t="s">
        <v>7172</v>
      </c>
    </row>
    <row r="43" spans="1:2">
      <c r="A43" t="s">
        <v>7171</v>
      </c>
      <c r="B43" t="s">
        <v>7172</v>
      </c>
    </row>
    <row r="44" spans="1:2">
      <c r="A44" t="s">
        <v>7173</v>
      </c>
      <c r="B44" t="s">
        <v>7174</v>
      </c>
    </row>
    <row r="45" spans="1:2">
      <c r="A45" t="s">
        <v>7173</v>
      </c>
      <c r="B45" t="s">
        <v>7174</v>
      </c>
    </row>
    <row r="46" spans="1:2">
      <c r="A46" t="s">
        <v>7175</v>
      </c>
      <c r="B46" t="s">
        <v>7176</v>
      </c>
    </row>
    <row r="47" spans="1:2">
      <c r="A47" t="s">
        <v>7175</v>
      </c>
      <c r="B47" t="s">
        <v>7176</v>
      </c>
    </row>
    <row r="48" spans="1:2">
      <c r="A48" t="s">
        <v>7177</v>
      </c>
      <c r="B48" t="s">
        <v>7178</v>
      </c>
    </row>
    <row r="49" spans="1:2">
      <c r="A49" t="s">
        <v>7177</v>
      </c>
      <c r="B49" t="s">
        <v>7178</v>
      </c>
    </row>
    <row r="50" spans="1:2">
      <c r="A50" t="s">
        <v>7179</v>
      </c>
      <c r="B50" t="s">
        <v>7180</v>
      </c>
    </row>
    <row r="51" spans="1:2">
      <c r="A51" t="s">
        <v>7179</v>
      </c>
      <c r="B51" t="s">
        <v>7180</v>
      </c>
    </row>
    <row r="52" spans="1:2">
      <c r="A52" t="s">
        <v>7181</v>
      </c>
      <c r="B52" t="s">
        <v>7182</v>
      </c>
    </row>
    <row r="53" spans="1:2">
      <c r="A53" t="s">
        <v>7181</v>
      </c>
      <c r="B53" t="s">
        <v>7182</v>
      </c>
    </row>
    <row r="54" spans="1:2">
      <c r="A54" t="s">
        <v>7183</v>
      </c>
      <c r="B54" t="s">
        <v>7184</v>
      </c>
    </row>
    <row r="55" spans="1:2">
      <c r="A55" t="s">
        <v>7183</v>
      </c>
      <c r="B55" t="s">
        <v>7184</v>
      </c>
    </row>
    <row r="56" spans="1:2">
      <c r="A56" t="s">
        <v>7185</v>
      </c>
      <c r="B56" t="s">
        <v>7186</v>
      </c>
    </row>
    <row r="57" spans="1:2">
      <c r="A57" t="s">
        <v>7185</v>
      </c>
      <c r="B57" t="s">
        <v>7186</v>
      </c>
    </row>
    <row r="58" spans="1:2">
      <c r="A58" t="s">
        <v>7187</v>
      </c>
      <c r="B58" t="s">
        <v>7188</v>
      </c>
    </row>
    <row r="59" spans="1:2">
      <c r="A59" t="s">
        <v>7187</v>
      </c>
      <c r="B59" t="s">
        <v>7188</v>
      </c>
    </row>
    <row r="60" spans="1:2">
      <c r="A60" t="s">
        <v>7189</v>
      </c>
      <c r="B60" t="s">
        <v>7190</v>
      </c>
    </row>
    <row r="61" spans="1:2">
      <c r="A61" t="s">
        <v>7189</v>
      </c>
      <c r="B61" t="s">
        <v>7190</v>
      </c>
    </row>
    <row r="62" spans="1:2">
      <c r="A62" t="s">
        <v>7191</v>
      </c>
      <c r="B62" t="s">
        <v>7192</v>
      </c>
    </row>
    <row r="63" spans="1:2">
      <c r="A63" t="s">
        <v>7191</v>
      </c>
      <c r="B63" t="s">
        <v>7192</v>
      </c>
    </row>
    <row r="64" spans="1:2">
      <c r="A64" t="s">
        <v>7193</v>
      </c>
      <c r="B64" t="s">
        <v>7194</v>
      </c>
    </row>
    <row r="65" spans="1:2">
      <c r="A65" t="s">
        <v>7193</v>
      </c>
      <c r="B65" t="s">
        <v>7194</v>
      </c>
    </row>
    <row r="66" spans="1:2">
      <c r="A66" t="s">
        <v>7195</v>
      </c>
      <c r="B66" t="s">
        <v>7196</v>
      </c>
    </row>
    <row r="67" spans="1:2">
      <c r="A67" t="s">
        <v>7195</v>
      </c>
      <c r="B67" t="s">
        <v>7196</v>
      </c>
    </row>
    <row r="68" spans="1:2">
      <c r="A68" t="s">
        <v>7197</v>
      </c>
      <c r="B68" t="s">
        <v>7198</v>
      </c>
    </row>
    <row r="69" spans="1:2">
      <c r="A69" t="s">
        <v>7197</v>
      </c>
      <c r="B69" t="s">
        <v>7198</v>
      </c>
    </row>
    <row r="70" spans="1:2">
      <c r="A70" t="s">
        <v>7199</v>
      </c>
      <c r="B70" t="s">
        <v>7200</v>
      </c>
    </row>
    <row r="71" spans="1:2">
      <c r="A71" t="s">
        <v>7199</v>
      </c>
      <c r="B71" t="s">
        <v>7200</v>
      </c>
    </row>
    <row r="72" spans="1:2">
      <c r="A72" t="s">
        <v>7201</v>
      </c>
      <c r="B72" t="s">
        <v>7202</v>
      </c>
    </row>
    <row r="73" spans="1:2">
      <c r="A73" t="s">
        <v>7201</v>
      </c>
      <c r="B73" t="s">
        <v>7202</v>
      </c>
    </row>
    <row r="74" spans="1:2">
      <c r="A74" t="s">
        <v>7203</v>
      </c>
      <c r="B74" t="s">
        <v>7204</v>
      </c>
    </row>
    <row r="75" spans="1:2">
      <c r="A75" t="s">
        <v>7203</v>
      </c>
      <c r="B75" t="s">
        <v>7204</v>
      </c>
    </row>
    <row r="76" spans="1:2">
      <c r="A76" t="s">
        <v>7205</v>
      </c>
      <c r="B76" t="s">
        <v>7206</v>
      </c>
    </row>
    <row r="77" spans="1:2">
      <c r="A77" t="s">
        <v>7205</v>
      </c>
      <c r="B77" t="s">
        <v>7206</v>
      </c>
    </row>
    <row r="78" spans="1:2">
      <c r="A78" t="s">
        <v>7207</v>
      </c>
      <c r="B78" t="s">
        <v>7208</v>
      </c>
    </row>
    <row r="79" spans="1:2">
      <c r="A79" t="s">
        <v>7207</v>
      </c>
      <c r="B79" t="s">
        <v>7208</v>
      </c>
    </row>
    <row r="80" spans="1:2">
      <c r="A80" t="s">
        <v>7209</v>
      </c>
      <c r="B80" t="s">
        <v>7210</v>
      </c>
    </row>
    <row r="81" spans="1:2">
      <c r="A81" t="s">
        <v>7209</v>
      </c>
      <c r="B81" t="s">
        <v>7210</v>
      </c>
    </row>
    <row r="82" spans="1:2">
      <c r="A82" t="s">
        <v>7211</v>
      </c>
      <c r="B82" t="s">
        <v>7212</v>
      </c>
    </row>
    <row r="83" spans="1:2">
      <c r="A83" t="s">
        <v>7211</v>
      </c>
      <c r="B83" t="s">
        <v>7212</v>
      </c>
    </row>
    <row r="84" spans="1:2">
      <c r="A84" t="s">
        <v>7213</v>
      </c>
      <c r="B84" t="s">
        <v>7214</v>
      </c>
    </row>
    <row r="85" spans="1:2">
      <c r="A85" t="s">
        <v>7215</v>
      </c>
      <c r="B85" t="s">
        <v>7216</v>
      </c>
    </row>
    <row r="86" spans="1:2">
      <c r="A86" t="s">
        <v>7217</v>
      </c>
      <c r="B86" t="s">
        <v>7218</v>
      </c>
    </row>
    <row r="87" spans="1:2">
      <c r="A87" t="s">
        <v>7219</v>
      </c>
      <c r="B87" t="s">
        <v>7220</v>
      </c>
    </row>
    <row r="88" spans="1:2">
      <c r="A88" t="s">
        <v>7221</v>
      </c>
      <c r="B88" t="s">
        <v>7222</v>
      </c>
    </row>
    <row r="89" spans="1:2">
      <c r="A89" t="s">
        <v>7223</v>
      </c>
      <c r="B89" t="s">
        <v>7224</v>
      </c>
    </row>
    <row r="90" spans="1:2">
      <c r="A90" t="s">
        <v>7225</v>
      </c>
      <c r="B90" t="s">
        <v>7226</v>
      </c>
    </row>
    <row r="91" spans="1:2">
      <c r="A91" t="s">
        <v>7227</v>
      </c>
      <c r="B91" t="s">
        <v>7228</v>
      </c>
    </row>
    <row r="92" spans="1:2">
      <c r="A92" t="s">
        <v>7229</v>
      </c>
      <c r="B92" t="s">
        <v>7230</v>
      </c>
    </row>
    <row r="93" spans="1:2">
      <c r="A93" t="s">
        <v>7231</v>
      </c>
      <c r="B93" t="s">
        <v>7232</v>
      </c>
    </row>
    <row r="94" spans="1:2">
      <c r="A94" t="s">
        <v>7233</v>
      </c>
      <c r="B94" t="s">
        <v>7234</v>
      </c>
    </row>
    <row r="95" spans="1:2">
      <c r="A95" t="s">
        <v>7235</v>
      </c>
      <c r="B95" t="s">
        <v>7236</v>
      </c>
    </row>
    <row r="96" spans="1:2">
      <c r="A96" t="s">
        <v>7237</v>
      </c>
      <c r="B96" t="s">
        <v>7238</v>
      </c>
    </row>
    <row r="97" spans="1:2">
      <c r="A97" t="s">
        <v>7239</v>
      </c>
      <c r="B97" t="s">
        <v>7240</v>
      </c>
    </row>
    <row r="98" spans="1:2">
      <c r="A98" t="s">
        <v>7241</v>
      </c>
      <c r="B98" t="s">
        <v>7242</v>
      </c>
    </row>
    <row r="99" spans="1:2">
      <c r="A99" t="s">
        <v>7243</v>
      </c>
      <c r="B99" t="s">
        <v>7244</v>
      </c>
    </row>
    <row r="100" spans="1:2">
      <c r="A100" t="s">
        <v>7245</v>
      </c>
      <c r="B100" t="s">
        <v>7246</v>
      </c>
    </row>
    <row r="101" spans="1:2">
      <c r="A101" t="s">
        <v>7247</v>
      </c>
      <c r="B101" t="s">
        <v>7248</v>
      </c>
    </row>
    <row r="102" spans="1:2">
      <c r="A102" t="s">
        <v>7249</v>
      </c>
      <c r="B102" t="s">
        <v>7250</v>
      </c>
    </row>
    <row r="103" spans="1:2">
      <c r="A103" t="s">
        <v>7251</v>
      </c>
      <c r="B103" t="s">
        <v>7252</v>
      </c>
    </row>
    <row r="104" spans="1:2">
      <c r="A104" t="s">
        <v>7253</v>
      </c>
      <c r="B104" t="s">
        <v>7254</v>
      </c>
    </row>
    <row r="105" spans="1:2">
      <c r="A105" t="s">
        <v>7255</v>
      </c>
      <c r="B105" t="s">
        <v>7256</v>
      </c>
    </row>
    <row r="106" spans="1:2">
      <c r="A106" t="s">
        <v>7257</v>
      </c>
      <c r="B106" t="s">
        <v>7258</v>
      </c>
    </row>
    <row r="107" spans="1:2">
      <c r="A107" t="s">
        <v>7259</v>
      </c>
      <c r="B107" t="s">
        <v>7260</v>
      </c>
    </row>
    <row r="108" spans="1:2">
      <c r="A108" t="s">
        <v>7261</v>
      </c>
      <c r="B108" t="s">
        <v>7262</v>
      </c>
    </row>
    <row r="109" spans="1:2">
      <c r="A109" t="s">
        <v>7263</v>
      </c>
      <c r="B109" t="s">
        <v>7264</v>
      </c>
    </row>
    <row r="110" spans="1:2">
      <c r="A110" t="s">
        <v>7265</v>
      </c>
      <c r="B110" t="s">
        <v>7266</v>
      </c>
    </row>
    <row r="111" spans="1:2">
      <c r="A111" t="s">
        <v>7267</v>
      </c>
      <c r="B111" t="s">
        <v>7268</v>
      </c>
    </row>
    <row r="112" spans="1:2">
      <c r="A112" t="s">
        <v>7269</v>
      </c>
      <c r="B112" t="s">
        <v>7270</v>
      </c>
    </row>
    <row r="113" spans="1:2">
      <c r="A113" t="s">
        <v>7271</v>
      </c>
      <c r="B113" t="s">
        <v>7272</v>
      </c>
    </row>
    <row r="114" spans="1:2">
      <c r="A114" t="s">
        <v>7273</v>
      </c>
      <c r="B114" t="s">
        <v>7274</v>
      </c>
    </row>
    <row r="115" spans="1:2">
      <c r="A115" t="s">
        <v>7275</v>
      </c>
      <c r="B115" t="s">
        <v>7276</v>
      </c>
    </row>
    <row r="116" spans="1:2">
      <c r="A116" t="s">
        <v>7277</v>
      </c>
      <c r="B116" t="s">
        <v>7278</v>
      </c>
    </row>
    <row r="117" spans="1:2">
      <c r="A117" t="s">
        <v>7279</v>
      </c>
      <c r="B117" t="s">
        <v>7280</v>
      </c>
    </row>
    <row r="118" spans="1:2">
      <c r="A118" t="s">
        <v>7281</v>
      </c>
      <c r="B118" t="s">
        <v>7282</v>
      </c>
    </row>
    <row r="119" spans="1:2">
      <c r="A119" t="s">
        <v>7283</v>
      </c>
      <c r="B119" t="s">
        <v>7284</v>
      </c>
    </row>
    <row r="120" spans="1:2">
      <c r="A120" t="s">
        <v>7285</v>
      </c>
      <c r="B120" t="s">
        <v>7286</v>
      </c>
    </row>
    <row r="121" spans="1:2">
      <c r="A121" t="s">
        <v>7287</v>
      </c>
      <c r="B121" t="s">
        <v>7288</v>
      </c>
    </row>
    <row r="122" spans="1:2">
      <c r="A122" t="s">
        <v>7289</v>
      </c>
      <c r="B122" t="s">
        <v>7290</v>
      </c>
    </row>
    <row r="123" spans="1:2">
      <c r="A123" t="s">
        <v>7291</v>
      </c>
      <c r="B123" t="s">
        <v>7292</v>
      </c>
    </row>
    <row r="124" spans="1:2">
      <c r="A124" t="s">
        <v>7293</v>
      </c>
      <c r="B124" t="s">
        <v>7294</v>
      </c>
    </row>
    <row r="125" spans="1:2">
      <c r="A125" t="s">
        <v>7295</v>
      </c>
      <c r="B125" t="s">
        <v>7296</v>
      </c>
    </row>
    <row r="126" spans="1:2">
      <c r="A126" t="s">
        <v>7297</v>
      </c>
      <c r="B126" t="s">
        <v>7298</v>
      </c>
    </row>
    <row r="127" spans="1:2">
      <c r="A127" t="s">
        <v>7299</v>
      </c>
      <c r="B127" t="s">
        <v>7300</v>
      </c>
    </row>
    <row r="128" spans="1:2">
      <c r="A128" t="s">
        <v>7301</v>
      </c>
      <c r="B128" t="s">
        <v>7302</v>
      </c>
    </row>
    <row r="129" spans="1:2">
      <c r="A129" t="s">
        <v>7303</v>
      </c>
      <c r="B129" t="s">
        <v>7304</v>
      </c>
    </row>
    <row r="130" spans="1:2">
      <c r="A130" t="s">
        <v>7305</v>
      </c>
      <c r="B130" t="s">
        <v>7306</v>
      </c>
    </row>
    <row r="131" spans="1:2">
      <c r="A131" t="s">
        <v>7307</v>
      </c>
      <c r="B131" t="s">
        <v>7308</v>
      </c>
    </row>
    <row r="132" spans="1:2">
      <c r="A132" t="s">
        <v>7309</v>
      </c>
      <c r="B132" t="s">
        <v>7310</v>
      </c>
    </row>
    <row r="133" spans="1:2">
      <c r="A133" t="s">
        <v>7311</v>
      </c>
      <c r="B133" t="s">
        <v>7312</v>
      </c>
    </row>
    <row r="134" spans="1:2">
      <c r="A134" t="s">
        <v>7313</v>
      </c>
      <c r="B134" t="s">
        <v>7314</v>
      </c>
    </row>
    <row r="135" spans="1:2">
      <c r="A135" t="s">
        <v>7315</v>
      </c>
      <c r="B135" t="s">
        <v>7316</v>
      </c>
    </row>
    <row r="136" spans="1:2">
      <c r="A136" t="s">
        <v>7317</v>
      </c>
      <c r="B136" t="s">
        <v>7318</v>
      </c>
    </row>
    <row r="137" spans="1:2">
      <c r="A137" t="s">
        <v>7319</v>
      </c>
      <c r="B137" t="s">
        <v>7320</v>
      </c>
    </row>
    <row r="138" spans="1:2">
      <c r="A138" t="s">
        <v>7321</v>
      </c>
      <c r="B138" t="s">
        <v>7322</v>
      </c>
    </row>
    <row r="139" spans="1:2">
      <c r="A139" t="s">
        <v>7323</v>
      </c>
      <c r="B139" t="s">
        <v>7324</v>
      </c>
    </row>
    <row r="140" spans="1:2">
      <c r="A140" t="s">
        <v>7325</v>
      </c>
      <c r="B140" t="s">
        <v>7326</v>
      </c>
    </row>
    <row r="141" spans="1:2">
      <c r="A141" t="s">
        <v>7327</v>
      </c>
      <c r="B141" t="s">
        <v>7328</v>
      </c>
    </row>
    <row r="142" spans="1:2">
      <c r="A142" t="s">
        <v>7329</v>
      </c>
      <c r="B142" t="s">
        <v>7330</v>
      </c>
    </row>
    <row r="143" spans="1:2">
      <c r="A143" t="s">
        <v>7331</v>
      </c>
      <c r="B143" t="s">
        <v>7332</v>
      </c>
    </row>
    <row r="144" spans="1:2">
      <c r="A144" t="s">
        <v>7333</v>
      </c>
      <c r="B144" t="s">
        <v>7334</v>
      </c>
    </row>
    <row r="145" spans="1:2">
      <c r="A145" t="s">
        <v>7335</v>
      </c>
      <c r="B145" t="s">
        <v>7336</v>
      </c>
    </row>
    <row r="146" spans="1:2">
      <c r="A146" t="s">
        <v>7337</v>
      </c>
      <c r="B146" t="s">
        <v>7338</v>
      </c>
    </row>
    <row r="147" spans="1:2">
      <c r="A147" t="s">
        <v>7339</v>
      </c>
      <c r="B147" t="s">
        <v>7340</v>
      </c>
    </row>
    <row r="148" spans="1:2">
      <c r="A148" t="s">
        <v>7341</v>
      </c>
      <c r="B148" t="s">
        <v>7342</v>
      </c>
    </row>
    <row r="149" spans="1:2">
      <c r="A149" t="s">
        <v>7343</v>
      </c>
      <c r="B149" t="s">
        <v>7344</v>
      </c>
    </row>
    <row r="150" spans="1:2">
      <c r="A150" t="s">
        <v>7345</v>
      </c>
      <c r="B150" t="s">
        <v>7346</v>
      </c>
    </row>
    <row r="151" spans="1:2">
      <c r="A151" t="s">
        <v>7347</v>
      </c>
      <c r="B151" t="s">
        <v>7348</v>
      </c>
    </row>
    <row r="152" spans="1:2">
      <c r="A152" t="s">
        <v>7349</v>
      </c>
      <c r="B152" t="s">
        <v>7350</v>
      </c>
    </row>
    <row r="153" spans="1:2">
      <c r="A153" t="s">
        <v>7351</v>
      </c>
      <c r="B153" t="s">
        <v>7352</v>
      </c>
    </row>
    <row r="154" spans="1:2">
      <c r="A154" t="s">
        <v>7353</v>
      </c>
      <c r="B154" t="s">
        <v>7354</v>
      </c>
    </row>
    <row r="155" spans="1:2">
      <c r="A155" t="s">
        <v>7355</v>
      </c>
      <c r="B155" t="s">
        <v>7356</v>
      </c>
    </row>
    <row r="156" spans="1:2">
      <c r="A156" t="s">
        <v>7357</v>
      </c>
      <c r="B156" t="s">
        <v>7358</v>
      </c>
    </row>
    <row r="157" spans="1:2">
      <c r="A157" t="s">
        <v>7359</v>
      </c>
      <c r="B157" t="s">
        <v>7360</v>
      </c>
    </row>
    <row r="158" spans="1:2">
      <c r="A158" t="s">
        <v>7361</v>
      </c>
      <c r="B158" t="s">
        <v>7362</v>
      </c>
    </row>
    <row r="159" spans="1:2">
      <c r="A159" t="s">
        <v>7363</v>
      </c>
      <c r="B159" t="s">
        <v>7364</v>
      </c>
    </row>
    <row r="160" spans="1:2">
      <c r="A160" t="s">
        <v>7365</v>
      </c>
      <c r="B160" t="s">
        <v>7366</v>
      </c>
    </row>
    <row r="161" spans="1:2">
      <c r="A161" t="s">
        <v>7367</v>
      </c>
      <c r="B161" t="s">
        <v>7368</v>
      </c>
    </row>
    <row r="162" spans="1:2">
      <c r="A162" t="s">
        <v>7369</v>
      </c>
      <c r="B162" t="s">
        <v>1504</v>
      </c>
    </row>
    <row r="163" spans="1:2">
      <c r="A163" t="s">
        <v>7370</v>
      </c>
      <c r="B163" t="s">
        <v>7371</v>
      </c>
    </row>
    <row r="164" spans="1:2">
      <c r="A164" t="s">
        <v>7372</v>
      </c>
      <c r="B164" t="s">
        <v>7373</v>
      </c>
    </row>
    <row r="165" spans="1:2">
      <c r="A165" t="s">
        <v>7374</v>
      </c>
      <c r="B165" t="s">
        <v>2638</v>
      </c>
    </row>
    <row r="166" spans="1:2">
      <c r="A166" t="s">
        <v>7375</v>
      </c>
      <c r="B166" t="s">
        <v>7376</v>
      </c>
    </row>
    <row r="167" spans="1:2">
      <c r="A167" t="s">
        <v>7377</v>
      </c>
      <c r="B167" t="s">
        <v>7378</v>
      </c>
    </row>
    <row r="168" spans="1:2">
      <c r="A168" t="s">
        <v>7379</v>
      </c>
      <c r="B168" t="s">
        <v>3250</v>
      </c>
    </row>
    <row r="169" spans="1:2">
      <c r="A169" t="s">
        <v>7380</v>
      </c>
      <c r="B169" t="s">
        <v>2202</v>
      </c>
    </row>
    <row r="170" spans="1:2">
      <c r="A170" t="s">
        <v>7381</v>
      </c>
      <c r="B170" t="s">
        <v>7382</v>
      </c>
    </row>
    <row r="171" spans="1:2">
      <c r="A171" t="s">
        <v>7383</v>
      </c>
      <c r="B171" t="s">
        <v>7384</v>
      </c>
    </row>
    <row r="172" spans="1:2">
      <c r="A172" t="s">
        <v>7385</v>
      </c>
      <c r="B172" t="s">
        <v>7386</v>
      </c>
    </row>
    <row r="173" spans="1:2">
      <c r="A173" t="s">
        <v>7387</v>
      </c>
      <c r="B173" t="s">
        <v>1544</v>
      </c>
    </row>
    <row r="174" spans="1:2">
      <c r="A174" t="s">
        <v>7388</v>
      </c>
      <c r="B174" t="s">
        <v>7389</v>
      </c>
    </row>
    <row r="175" spans="1:2">
      <c r="A175" t="s">
        <v>7390</v>
      </c>
      <c r="B175" t="s">
        <v>7391</v>
      </c>
    </row>
    <row r="176" spans="1:2">
      <c r="A176" t="s">
        <v>7392</v>
      </c>
      <c r="B176" t="s">
        <v>7393</v>
      </c>
    </row>
    <row r="177" spans="1:2">
      <c r="A177" t="s">
        <v>7394</v>
      </c>
      <c r="B177" t="s">
        <v>7395</v>
      </c>
    </row>
    <row r="178" spans="1:2">
      <c r="A178" t="s">
        <v>7396</v>
      </c>
      <c r="B178" t="s">
        <v>7397</v>
      </c>
    </row>
    <row r="179" spans="1:2">
      <c r="A179" t="s">
        <v>7398</v>
      </c>
      <c r="B179" t="s">
        <v>7399</v>
      </c>
    </row>
    <row r="180" spans="1:2">
      <c r="A180" t="s">
        <v>7400</v>
      </c>
      <c r="B180" t="s">
        <v>7401</v>
      </c>
    </row>
    <row r="181" spans="1:2">
      <c r="A181" t="s">
        <v>7402</v>
      </c>
      <c r="B181" t="s">
        <v>7403</v>
      </c>
    </row>
    <row r="182" spans="1:2">
      <c r="A182" t="s">
        <v>7404</v>
      </c>
      <c r="B182" t="s">
        <v>7405</v>
      </c>
    </row>
    <row r="183" spans="1:2">
      <c r="A183" t="s">
        <v>7406</v>
      </c>
      <c r="B183" t="s">
        <v>7407</v>
      </c>
    </row>
    <row r="184" spans="1:2">
      <c r="A184" t="s">
        <v>7408</v>
      </c>
      <c r="B184" t="s">
        <v>7409</v>
      </c>
    </row>
    <row r="185" spans="1:2">
      <c r="A185" t="s">
        <v>7410</v>
      </c>
      <c r="B185" t="s">
        <v>7411</v>
      </c>
    </row>
    <row r="186" spans="1:2">
      <c r="A186" t="s">
        <v>7412</v>
      </c>
      <c r="B186" t="s">
        <v>7413</v>
      </c>
    </row>
    <row r="187" spans="1:2">
      <c r="A187" t="s">
        <v>7414</v>
      </c>
      <c r="B187" t="s">
        <v>7415</v>
      </c>
    </row>
    <row r="188" spans="1:2">
      <c r="A188" t="s">
        <v>7416</v>
      </c>
      <c r="B188" t="s">
        <v>7417</v>
      </c>
    </row>
    <row r="189" spans="1:2">
      <c r="A189" t="s">
        <v>7418</v>
      </c>
      <c r="B189" t="s">
        <v>7419</v>
      </c>
    </row>
    <row r="190" spans="1:2">
      <c r="A190" t="s">
        <v>7420</v>
      </c>
      <c r="B190" t="s">
        <v>7421</v>
      </c>
    </row>
    <row r="191" spans="1:2">
      <c r="A191" t="s">
        <v>7422</v>
      </c>
      <c r="B191" t="s">
        <v>7423</v>
      </c>
    </row>
    <row r="192" spans="1:2">
      <c r="A192" t="s">
        <v>7424</v>
      </c>
      <c r="B192" t="s">
        <v>7425</v>
      </c>
    </row>
    <row r="193" spans="1:2">
      <c r="A193" t="s">
        <v>7426</v>
      </c>
      <c r="B193" t="s">
        <v>7427</v>
      </c>
    </row>
    <row r="194" spans="1:2">
      <c r="A194" t="s">
        <v>7428</v>
      </c>
      <c r="B194" t="s">
        <v>7429</v>
      </c>
    </row>
    <row r="195" spans="1:2">
      <c r="A195" t="s">
        <v>7430</v>
      </c>
      <c r="B195" t="s">
        <v>7431</v>
      </c>
    </row>
    <row r="196" spans="1:2">
      <c r="A196" t="s">
        <v>7432</v>
      </c>
      <c r="B196" t="s">
        <v>7433</v>
      </c>
    </row>
    <row r="197" spans="1:2">
      <c r="A197" t="s">
        <v>7434</v>
      </c>
      <c r="B197" t="s">
        <v>7435</v>
      </c>
    </row>
    <row r="198" spans="1:2">
      <c r="A198" t="s">
        <v>7436</v>
      </c>
      <c r="B198" t="s">
        <v>7437</v>
      </c>
    </row>
    <row r="199" spans="1:2">
      <c r="A199" t="s">
        <v>7438</v>
      </c>
      <c r="B199" t="s">
        <v>7439</v>
      </c>
    </row>
    <row r="200" spans="1:2">
      <c r="A200" t="s">
        <v>7440</v>
      </c>
      <c r="B200" t="s">
        <v>7441</v>
      </c>
    </row>
    <row r="201" spans="1:2">
      <c r="A201" t="s">
        <v>7442</v>
      </c>
      <c r="B201" t="s">
        <v>7443</v>
      </c>
    </row>
    <row r="202" spans="1:2">
      <c r="A202" t="s">
        <v>7444</v>
      </c>
      <c r="B202" t="s">
        <v>7445</v>
      </c>
    </row>
    <row r="203" spans="1:2">
      <c r="A203" t="s">
        <v>7446</v>
      </c>
      <c r="B203" t="s">
        <v>7447</v>
      </c>
    </row>
    <row r="204" spans="1:2">
      <c r="A204" t="s">
        <v>7448</v>
      </c>
      <c r="B204" t="s">
        <v>7449</v>
      </c>
    </row>
    <row r="205" spans="1:2">
      <c r="A205" t="s">
        <v>7450</v>
      </c>
      <c r="B205" t="s">
        <v>7451</v>
      </c>
    </row>
    <row r="206" spans="1:2">
      <c r="A206" t="s">
        <v>7452</v>
      </c>
      <c r="B206" t="s">
        <v>7453</v>
      </c>
    </row>
    <row r="207" spans="1:2">
      <c r="A207" t="s">
        <v>7454</v>
      </c>
      <c r="B207" t="s">
        <v>7455</v>
      </c>
    </row>
    <row r="208" spans="1:2">
      <c r="A208" t="s">
        <v>7456</v>
      </c>
      <c r="B208" t="s">
        <v>7457</v>
      </c>
    </row>
    <row r="209" spans="1:2">
      <c r="A209" t="s">
        <v>7458</v>
      </c>
      <c r="B209" t="s">
        <v>7393</v>
      </c>
    </row>
    <row r="210" spans="1:2">
      <c r="A210" t="s">
        <v>7459</v>
      </c>
      <c r="B210" t="s">
        <v>7460</v>
      </c>
    </row>
    <row r="211" spans="1:2">
      <c r="A211" t="s">
        <v>7461</v>
      </c>
      <c r="B211" t="s">
        <v>7462</v>
      </c>
    </row>
    <row r="212" spans="1:2">
      <c r="A212" t="s">
        <v>7463</v>
      </c>
      <c r="B212" t="s">
        <v>7464</v>
      </c>
    </row>
    <row r="213" spans="1:2">
      <c r="A213" t="s">
        <v>7465</v>
      </c>
      <c r="B213" t="s">
        <v>7466</v>
      </c>
    </row>
    <row r="214" spans="1:2">
      <c r="A214" t="s">
        <v>7467</v>
      </c>
      <c r="B214" t="s">
        <v>7468</v>
      </c>
    </row>
    <row r="215" spans="1:2">
      <c r="A215" t="s">
        <v>7469</v>
      </c>
      <c r="B215" t="s">
        <v>7470</v>
      </c>
    </row>
    <row r="216" spans="1:2">
      <c r="A216" t="s">
        <v>7471</v>
      </c>
      <c r="B216" t="s">
        <v>7472</v>
      </c>
    </row>
    <row r="217" spans="1:2">
      <c r="A217" t="s">
        <v>7473</v>
      </c>
      <c r="B217" t="s">
        <v>7474</v>
      </c>
    </row>
    <row r="218" spans="1:2">
      <c r="A218" t="s">
        <v>7475</v>
      </c>
      <c r="B218" t="s">
        <v>7476</v>
      </c>
    </row>
    <row r="219" spans="1:2">
      <c r="A219" t="s">
        <v>7477</v>
      </c>
      <c r="B219" t="s">
        <v>7478</v>
      </c>
    </row>
    <row r="220" spans="1:2">
      <c r="A220" t="s">
        <v>7479</v>
      </c>
      <c r="B220" t="s">
        <v>7480</v>
      </c>
    </row>
    <row r="221" spans="1:2">
      <c r="A221" t="s">
        <v>7481</v>
      </c>
      <c r="B221" t="s">
        <v>7482</v>
      </c>
    </row>
    <row r="222" spans="1:2">
      <c r="A222" t="s">
        <v>7483</v>
      </c>
      <c r="B222" t="s">
        <v>7399</v>
      </c>
    </row>
    <row r="223" spans="1:2">
      <c r="A223" t="s">
        <v>7484</v>
      </c>
      <c r="B223" t="s">
        <v>7485</v>
      </c>
    </row>
    <row r="224" spans="1:2">
      <c r="A224" t="s">
        <v>7486</v>
      </c>
      <c r="B224" t="s">
        <v>7487</v>
      </c>
    </row>
    <row r="225" spans="1:2">
      <c r="A225" t="s">
        <v>7488</v>
      </c>
      <c r="B225" t="s">
        <v>7489</v>
      </c>
    </row>
    <row r="226" spans="1:2">
      <c r="A226" t="s">
        <v>7490</v>
      </c>
      <c r="B226" t="s">
        <v>7491</v>
      </c>
    </row>
    <row r="227" spans="1:2">
      <c r="A227" t="s">
        <v>7492</v>
      </c>
      <c r="B227" t="s">
        <v>7493</v>
      </c>
    </row>
    <row r="228" spans="1:2">
      <c r="A228" t="s">
        <v>7494</v>
      </c>
      <c r="B228" t="s">
        <v>7495</v>
      </c>
    </row>
    <row r="229" spans="1:2">
      <c r="A229" t="s">
        <v>7496</v>
      </c>
      <c r="B229" t="s">
        <v>7497</v>
      </c>
    </row>
    <row r="230" spans="1:2">
      <c r="A230" t="s">
        <v>7498</v>
      </c>
      <c r="B230" t="s">
        <v>7499</v>
      </c>
    </row>
    <row r="231" spans="1:2">
      <c r="A231" t="s">
        <v>7500</v>
      </c>
      <c r="B231" t="s">
        <v>7501</v>
      </c>
    </row>
    <row r="232" spans="1:2">
      <c r="A232" t="s">
        <v>7502</v>
      </c>
      <c r="B232" t="s">
        <v>7503</v>
      </c>
    </row>
    <row r="233" spans="1:2">
      <c r="A233" t="s">
        <v>7504</v>
      </c>
      <c r="B233" t="s">
        <v>7505</v>
      </c>
    </row>
    <row r="234" spans="1:2">
      <c r="A234" t="s">
        <v>7506</v>
      </c>
      <c r="B234" t="s">
        <v>7507</v>
      </c>
    </row>
    <row r="235" spans="1:2">
      <c r="A235" t="s">
        <v>7508</v>
      </c>
      <c r="B235" t="s">
        <v>7509</v>
      </c>
    </row>
    <row r="236" spans="1:2">
      <c r="A236" t="s">
        <v>7510</v>
      </c>
      <c r="B236" t="s">
        <v>7511</v>
      </c>
    </row>
    <row r="237" spans="1:2">
      <c r="A237" t="s">
        <v>7512</v>
      </c>
      <c r="B237" t="s">
        <v>7513</v>
      </c>
    </row>
    <row r="238" spans="1:2">
      <c r="A238" t="s">
        <v>7514</v>
      </c>
      <c r="B238" t="s">
        <v>7515</v>
      </c>
    </row>
    <row r="239" spans="1:2">
      <c r="A239" t="s">
        <v>7516</v>
      </c>
      <c r="B239" t="s">
        <v>7407</v>
      </c>
    </row>
    <row r="240" spans="1:2">
      <c r="A240" t="s">
        <v>7517</v>
      </c>
      <c r="B240" t="s">
        <v>7518</v>
      </c>
    </row>
    <row r="241" spans="1:2">
      <c r="A241" t="s">
        <v>7519</v>
      </c>
      <c r="B241" t="s">
        <v>7520</v>
      </c>
    </row>
    <row r="242" spans="1:2">
      <c r="A242" t="s">
        <v>7521</v>
      </c>
      <c r="B242" t="s">
        <v>7522</v>
      </c>
    </row>
    <row r="243" spans="1:2">
      <c r="A243" t="s">
        <v>7523</v>
      </c>
      <c r="B243" t="s">
        <v>7524</v>
      </c>
    </row>
    <row r="244" spans="1:2">
      <c r="A244" t="s">
        <v>7525</v>
      </c>
      <c r="B244" t="s">
        <v>7524</v>
      </c>
    </row>
    <row r="245" spans="1:2">
      <c r="A245" t="s">
        <v>7526</v>
      </c>
      <c r="B245" t="s">
        <v>7527</v>
      </c>
    </row>
    <row r="246" spans="1:2">
      <c r="A246" t="s">
        <v>7528</v>
      </c>
      <c r="B246" t="s">
        <v>7529</v>
      </c>
    </row>
    <row r="247" spans="1:2">
      <c r="A247" t="s">
        <v>7530</v>
      </c>
      <c r="B247" t="s">
        <v>7531</v>
      </c>
    </row>
    <row r="248" spans="1:2">
      <c r="A248" t="s">
        <v>7532</v>
      </c>
      <c r="B248" t="s">
        <v>7533</v>
      </c>
    </row>
    <row r="249" spans="1:2">
      <c r="A249" t="s">
        <v>7534</v>
      </c>
      <c r="B249" t="s">
        <v>7535</v>
      </c>
    </row>
    <row r="250" spans="1:2">
      <c r="A250" t="s">
        <v>7536</v>
      </c>
      <c r="B250" t="s">
        <v>7537</v>
      </c>
    </row>
    <row r="251" spans="1:2">
      <c r="A251" t="s">
        <v>7538</v>
      </c>
      <c r="B251" t="s">
        <v>7539</v>
      </c>
    </row>
    <row r="252" spans="1:2">
      <c r="A252" t="s">
        <v>7540</v>
      </c>
      <c r="B252" t="s">
        <v>7541</v>
      </c>
    </row>
    <row r="253" spans="1:2">
      <c r="A253" t="s">
        <v>7540</v>
      </c>
      <c r="B253" t="s">
        <v>7541</v>
      </c>
    </row>
    <row r="254" spans="1:2">
      <c r="A254" t="s">
        <v>7540</v>
      </c>
      <c r="B254" t="s">
        <v>7541</v>
      </c>
    </row>
    <row r="255" spans="1:2">
      <c r="A255" t="s">
        <v>7542</v>
      </c>
      <c r="B255" t="s">
        <v>7543</v>
      </c>
    </row>
    <row r="256" spans="1:2">
      <c r="A256" t="s">
        <v>7542</v>
      </c>
      <c r="B256" t="s">
        <v>7543</v>
      </c>
    </row>
    <row r="257" spans="1:2">
      <c r="A257" t="s">
        <v>7542</v>
      </c>
      <c r="B257" t="s">
        <v>7543</v>
      </c>
    </row>
    <row r="258" spans="1:2">
      <c r="A258" t="s">
        <v>7544</v>
      </c>
      <c r="B258" t="s">
        <v>7545</v>
      </c>
    </row>
    <row r="259" spans="1:2">
      <c r="A259" t="s">
        <v>7544</v>
      </c>
      <c r="B259" t="s">
        <v>7545</v>
      </c>
    </row>
    <row r="260" spans="1:2">
      <c r="A260" t="s">
        <v>7544</v>
      </c>
      <c r="B260" t="s">
        <v>7545</v>
      </c>
    </row>
    <row r="261" spans="1:2">
      <c r="A261" t="s">
        <v>7546</v>
      </c>
      <c r="B261" t="s">
        <v>7547</v>
      </c>
    </row>
    <row r="262" spans="1:2">
      <c r="A262" t="s">
        <v>7548</v>
      </c>
      <c r="B262" t="s">
        <v>7549</v>
      </c>
    </row>
    <row r="263" spans="1:2">
      <c r="A263" t="s">
        <v>7550</v>
      </c>
      <c r="B263" t="s">
        <v>7218</v>
      </c>
    </row>
    <row r="264" spans="1:2">
      <c r="A264" t="s">
        <v>7551</v>
      </c>
      <c r="B264" t="s">
        <v>7552</v>
      </c>
    </row>
    <row r="265" spans="1:2">
      <c r="A265" t="s">
        <v>7553</v>
      </c>
      <c r="B265" t="s">
        <v>7220</v>
      </c>
    </row>
    <row r="266" spans="1:2">
      <c r="A266" t="s">
        <v>7554</v>
      </c>
      <c r="B266" t="s">
        <v>7555</v>
      </c>
    </row>
    <row r="267" spans="1:2">
      <c r="A267" t="s">
        <v>7556</v>
      </c>
      <c r="B267" t="s">
        <v>7557</v>
      </c>
    </row>
    <row r="268" spans="1:2">
      <c r="A268" t="s">
        <v>7558</v>
      </c>
      <c r="B268" t="s">
        <v>7559</v>
      </c>
    </row>
    <row r="269" spans="1:2">
      <c r="A269" t="s">
        <v>7560</v>
      </c>
      <c r="B269" t="s">
        <v>7226</v>
      </c>
    </row>
    <row r="270" spans="1:2">
      <c r="A270" t="s">
        <v>7561</v>
      </c>
      <c r="B270" t="s">
        <v>7228</v>
      </c>
    </row>
    <row r="271" spans="1:2">
      <c r="A271" t="s">
        <v>7562</v>
      </c>
      <c r="B271" t="s">
        <v>7563</v>
      </c>
    </row>
    <row r="272" spans="1:2">
      <c r="A272" t="s">
        <v>7564</v>
      </c>
      <c r="B272" t="s">
        <v>7565</v>
      </c>
    </row>
    <row r="273" spans="1:2">
      <c r="A273" t="s">
        <v>7566</v>
      </c>
      <c r="B273" t="s">
        <v>7567</v>
      </c>
    </row>
    <row r="274" spans="1:2">
      <c r="A274" t="s">
        <v>7568</v>
      </c>
      <c r="B274" t="s">
        <v>7565</v>
      </c>
    </row>
    <row r="275" spans="1:2">
      <c r="A275" t="s">
        <v>7569</v>
      </c>
      <c r="B275" t="s">
        <v>7570</v>
      </c>
    </row>
    <row r="276" spans="1:2">
      <c r="A276" t="s">
        <v>7571</v>
      </c>
      <c r="B276" t="s">
        <v>7572</v>
      </c>
    </row>
    <row r="277" spans="1:2">
      <c r="A277" t="s">
        <v>7573</v>
      </c>
      <c r="B277" t="s">
        <v>7574</v>
      </c>
    </row>
    <row r="278" spans="1:2">
      <c r="A278" t="s">
        <v>7575</v>
      </c>
      <c r="B278" t="s">
        <v>7576</v>
      </c>
    </row>
    <row r="279" spans="1:2">
      <c r="A279" t="s">
        <v>7577</v>
      </c>
      <c r="B279" t="s">
        <v>7578</v>
      </c>
    </row>
    <row r="280" spans="1:2">
      <c r="A280" t="s">
        <v>7579</v>
      </c>
      <c r="B280" t="s">
        <v>7580</v>
      </c>
    </row>
    <row r="281" spans="1:2">
      <c r="A281" t="s">
        <v>7581</v>
      </c>
      <c r="B281" t="s">
        <v>7582</v>
      </c>
    </row>
    <row r="282" spans="1:2">
      <c r="A282" t="s">
        <v>7583</v>
      </c>
      <c r="B282" t="s">
        <v>7584</v>
      </c>
    </row>
    <row r="283" spans="1:2">
      <c r="A283" t="s">
        <v>7585</v>
      </c>
      <c r="B283" t="s">
        <v>7586</v>
      </c>
    </row>
    <row r="284" spans="1:2">
      <c r="A284" t="s">
        <v>7587</v>
      </c>
      <c r="B284" t="s">
        <v>7578</v>
      </c>
    </row>
    <row r="285" spans="1:2">
      <c r="A285" t="s">
        <v>7588</v>
      </c>
      <c r="B285" t="s">
        <v>7589</v>
      </c>
    </row>
    <row r="286" spans="1:2">
      <c r="A286" t="s">
        <v>7590</v>
      </c>
      <c r="B286" t="s">
        <v>7591</v>
      </c>
    </row>
    <row r="287" spans="1:2">
      <c r="A287" t="s">
        <v>7592</v>
      </c>
      <c r="B287" t="s">
        <v>7593</v>
      </c>
    </row>
    <row r="288" spans="1:2">
      <c r="A288" t="s">
        <v>7594</v>
      </c>
      <c r="B288" t="s">
        <v>7595</v>
      </c>
    </row>
    <row r="289" spans="1:2">
      <c r="A289" t="s">
        <v>7596</v>
      </c>
      <c r="B289" t="s">
        <v>7597</v>
      </c>
    </row>
    <row r="290" spans="1:2">
      <c r="A290" t="s">
        <v>7598</v>
      </c>
      <c r="B290" t="s">
        <v>7599</v>
      </c>
    </row>
    <row r="291" spans="1:2">
      <c r="A291" t="s">
        <v>7600</v>
      </c>
      <c r="B291" t="s">
        <v>7601</v>
      </c>
    </row>
    <row r="292" spans="1:2">
      <c r="A292" t="s">
        <v>7602</v>
      </c>
      <c r="B292" t="s">
        <v>7601</v>
      </c>
    </row>
    <row r="293" spans="1:2">
      <c r="A293" t="s">
        <v>7603</v>
      </c>
      <c r="B293" t="s">
        <v>7604</v>
      </c>
    </row>
    <row r="294" spans="1:2">
      <c r="A294" t="s">
        <v>7605</v>
      </c>
      <c r="B294" t="s">
        <v>7606</v>
      </c>
    </row>
    <row r="295" spans="1:2">
      <c r="A295" t="s">
        <v>7607</v>
      </c>
      <c r="B295" t="s">
        <v>7608</v>
      </c>
    </row>
    <row r="296" spans="1:2">
      <c r="A296" t="s">
        <v>7609</v>
      </c>
      <c r="B296" t="s">
        <v>7610</v>
      </c>
    </row>
    <row r="297" spans="1:2">
      <c r="A297" t="s">
        <v>7611</v>
      </c>
      <c r="B297" t="s">
        <v>7612</v>
      </c>
    </row>
    <row r="298" spans="1:2">
      <c r="A298" t="s">
        <v>7613</v>
      </c>
      <c r="B298" t="s">
        <v>7614</v>
      </c>
    </row>
    <row r="299" spans="1:2">
      <c r="A299" t="s">
        <v>7615</v>
      </c>
      <c r="B299" t="s">
        <v>7616</v>
      </c>
    </row>
    <row r="300" spans="1:2">
      <c r="A300" t="s">
        <v>7617</v>
      </c>
      <c r="B300" t="s">
        <v>7618</v>
      </c>
    </row>
    <row r="301" spans="1:2">
      <c r="A301" t="s">
        <v>7619</v>
      </c>
      <c r="B301" t="s">
        <v>7620</v>
      </c>
    </row>
    <row r="302" spans="1:2">
      <c r="A302" t="s">
        <v>7621</v>
      </c>
      <c r="B302" t="s">
        <v>7622</v>
      </c>
    </row>
    <row r="303" spans="1:2">
      <c r="A303" t="s">
        <v>7623</v>
      </c>
      <c r="B303" t="s">
        <v>7624</v>
      </c>
    </row>
    <row r="304" spans="1:2">
      <c r="A304" t="s">
        <v>7625</v>
      </c>
      <c r="B304" t="s">
        <v>7626</v>
      </c>
    </row>
    <row r="305" spans="1:2">
      <c r="A305" t="s">
        <v>7627</v>
      </c>
      <c r="B305" t="s">
        <v>7628</v>
      </c>
    </row>
    <row r="306" spans="1:2">
      <c r="A306" t="s">
        <v>7629</v>
      </c>
      <c r="B306" t="s">
        <v>7630</v>
      </c>
    </row>
    <row r="307" spans="1:2">
      <c r="A307" t="s">
        <v>7631</v>
      </c>
      <c r="B307" t="s">
        <v>7632</v>
      </c>
    </row>
    <row r="308" spans="1:2">
      <c r="A308" t="s">
        <v>7633</v>
      </c>
      <c r="B308" t="s">
        <v>7634</v>
      </c>
    </row>
    <row r="309" spans="1:2">
      <c r="A309" t="s">
        <v>7635</v>
      </c>
      <c r="B309" t="s">
        <v>7636</v>
      </c>
    </row>
    <row r="310" spans="1:2">
      <c r="A310" t="s">
        <v>7637</v>
      </c>
      <c r="B310" t="s">
        <v>7628</v>
      </c>
    </row>
    <row r="311" spans="1:2">
      <c r="A311" t="s">
        <v>7638</v>
      </c>
      <c r="B311" t="s">
        <v>7639</v>
      </c>
    </row>
    <row r="312" spans="1:2">
      <c r="A312" t="s">
        <v>7640</v>
      </c>
      <c r="B312" t="s">
        <v>7641</v>
      </c>
    </row>
    <row r="313" spans="1:2">
      <c r="A313" t="s">
        <v>7642</v>
      </c>
      <c r="B313" t="s">
        <v>7643</v>
      </c>
    </row>
    <row r="314" spans="1:2">
      <c r="A314" t="s">
        <v>7644</v>
      </c>
      <c r="B314" t="s">
        <v>7645</v>
      </c>
    </row>
    <row r="315" spans="1:2">
      <c r="A315" t="s">
        <v>7646</v>
      </c>
      <c r="B315" t="s">
        <v>7647</v>
      </c>
    </row>
    <row r="316" spans="1:2">
      <c r="A316" t="s">
        <v>7648</v>
      </c>
      <c r="B316" t="s">
        <v>7649</v>
      </c>
    </row>
    <row r="317" spans="1:2">
      <c r="A317" t="s">
        <v>7650</v>
      </c>
      <c r="B317" t="s">
        <v>7651</v>
      </c>
    </row>
    <row r="318" spans="1:2">
      <c r="A318" t="s">
        <v>7652</v>
      </c>
      <c r="B318" t="s">
        <v>7653</v>
      </c>
    </row>
    <row r="319" spans="1:2">
      <c r="A319" t="s">
        <v>7654</v>
      </c>
      <c r="B319" t="s">
        <v>7655</v>
      </c>
    </row>
    <row r="320" spans="1:2">
      <c r="A320" t="s">
        <v>7656</v>
      </c>
      <c r="B320" t="s">
        <v>7657</v>
      </c>
    </row>
    <row r="321" spans="1:2">
      <c r="A321" t="s">
        <v>7658</v>
      </c>
      <c r="B321" t="s">
        <v>7659</v>
      </c>
    </row>
    <row r="322" spans="1:2">
      <c r="A322" t="s">
        <v>7660</v>
      </c>
      <c r="B322" t="s">
        <v>7661</v>
      </c>
    </row>
    <row r="323" spans="1:2">
      <c r="A323" t="s">
        <v>7662</v>
      </c>
      <c r="B323" t="s">
        <v>7649</v>
      </c>
    </row>
    <row r="324" spans="1:2">
      <c r="A324" t="s">
        <v>7663</v>
      </c>
      <c r="B324" t="s">
        <v>7664</v>
      </c>
    </row>
    <row r="325" spans="1:2">
      <c r="A325" t="s">
        <v>7665</v>
      </c>
      <c r="B325" t="s">
        <v>7666</v>
      </c>
    </row>
    <row r="326" spans="1:2">
      <c r="A326" t="s">
        <v>7667</v>
      </c>
      <c r="B326" t="s">
        <v>7668</v>
      </c>
    </row>
    <row r="327" spans="1:2">
      <c r="A327" t="s">
        <v>7669</v>
      </c>
      <c r="B327" t="s">
        <v>7670</v>
      </c>
    </row>
    <row r="328" spans="1:2">
      <c r="A328" t="s">
        <v>7671</v>
      </c>
      <c r="B328" t="s">
        <v>7672</v>
      </c>
    </row>
    <row r="329" spans="1:2">
      <c r="A329" t="s">
        <v>7673</v>
      </c>
      <c r="B329" t="s">
        <v>7674</v>
      </c>
    </row>
    <row r="330" spans="1:2">
      <c r="A330" t="s">
        <v>7675</v>
      </c>
      <c r="B330" t="s">
        <v>7676</v>
      </c>
    </row>
    <row r="331" spans="1:2">
      <c r="A331" t="s">
        <v>7677</v>
      </c>
      <c r="B331" t="s">
        <v>7678</v>
      </c>
    </row>
    <row r="332" spans="1:2">
      <c r="A332" t="s">
        <v>7679</v>
      </c>
      <c r="B332" t="s">
        <v>7666</v>
      </c>
    </row>
    <row r="333" spans="1:2">
      <c r="A333" t="s">
        <v>7680</v>
      </c>
      <c r="B333" t="s">
        <v>7681</v>
      </c>
    </row>
    <row r="334" spans="1:2">
      <c r="A334" t="s">
        <v>7682</v>
      </c>
      <c r="B334" t="s">
        <v>7683</v>
      </c>
    </row>
    <row r="335" spans="1:2">
      <c r="A335" t="s">
        <v>7684</v>
      </c>
      <c r="B335" t="s">
        <v>7685</v>
      </c>
    </row>
    <row r="336" spans="1:2">
      <c r="A336" t="s">
        <v>7686</v>
      </c>
      <c r="B336" t="s">
        <v>7687</v>
      </c>
    </row>
    <row r="337" spans="1:2">
      <c r="A337" t="s">
        <v>7688</v>
      </c>
      <c r="B337" t="s">
        <v>7683</v>
      </c>
    </row>
    <row r="338" spans="1:2">
      <c r="A338" t="s">
        <v>7689</v>
      </c>
      <c r="B338" t="s">
        <v>7690</v>
      </c>
    </row>
    <row r="339" spans="1:2">
      <c r="A339" t="s">
        <v>7691</v>
      </c>
      <c r="B339" t="s">
        <v>7692</v>
      </c>
    </row>
    <row r="340" spans="1:2">
      <c r="A340" t="s">
        <v>7693</v>
      </c>
      <c r="B340" t="s">
        <v>7694</v>
      </c>
    </row>
    <row r="341" spans="1:2">
      <c r="A341" t="s">
        <v>7695</v>
      </c>
      <c r="B341" t="s">
        <v>7692</v>
      </c>
    </row>
    <row r="342" spans="1:2">
      <c r="A342" t="s">
        <v>7696</v>
      </c>
      <c r="B342" t="s">
        <v>7697</v>
      </c>
    </row>
    <row r="343" spans="1:2">
      <c r="A343" t="s">
        <v>7698</v>
      </c>
      <c r="B343" t="s">
        <v>7699</v>
      </c>
    </row>
    <row r="344" spans="1:2">
      <c r="A344" t="s">
        <v>7700</v>
      </c>
      <c r="B344" t="s">
        <v>7701</v>
      </c>
    </row>
    <row r="345" spans="1:2">
      <c r="A345" t="s">
        <v>7700</v>
      </c>
      <c r="B345" t="s">
        <v>7702</v>
      </c>
    </row>
    <row r="346" spans="1:2">
      <c r="A346" t="s">
        <v>7703</v>
      </c>
      <c r="B346" t="s">
        <v>7704</v>
      </c>
    </row>
    <row r="347" spans="1:2">
      <c r="A347" t="s">
        <v>7705</v>
      </c>
      <c r="B347" t="s">
        <v>1793</v>
      </c>
    </row>
    <row r="348" spans="1:2">
      <c r="A348" t="s">
        <v>7706</v>
      </c>
      <c r="B348" t="s">
        <v>7707</v>
      </c>
    </row>
    <row r="349" spans="1:2">
      <c r="A349" t="s">
        <v>7708</v>
      </c>
      <c r="B349" t="s">
        <v>7709</v>
      </c>
    </row>
    <row r="350" spans="1:2">
      <c r="A350" t="s">
        <v>7710</v>
      </c>
      <c r="B350" t="s">
        <v>7711</v>
      </c>
    </row>
    <row r="351" spans="1:2">
      <c r="A351" t="s">
        <v>7712</v>
      </c>
      <c r="B351" t="s">
        <v>7713</v>
      </c>
    </row>
    <row r="352" spans="1:2">
      <c r="A352" t="s">
        <v>7714</v>
      </c>
      <c r="B352" t="s">
        <v>7715</v>
      </c>
    </row>
    <row r="353" spans="1:2">
      <c r="A353" t="s">
        <v>7716</v>
      </c>
      <c r="B353" t="s">
        <v>7717</v>
      </c>
    </row>
    <row r="354" spans="1:2">
      <c r="A354" t="s">
        <v>7718</v>
      </c>
      <c r="B354" t="s">
        <v>7719</v>
      </c>
    </row>
    <row r="355" spans="1:2">
      <c r="A355" t="s">
        <v>7720</v>
      </c>
      <c r="B355" t="s">
        <v>7721</v>
      </c>
    </row>
    <row r="356" spans="1:2">
      <c r="A356" t="s">
        <v>7722</v>
      </c>
      <c r="B356" t="s">
        <v>7723</v>
      </c>
    </row>
    <row r="357" spans="1:2">
      <c r="A357" t="s">
        <v>7724</v>
      </c>
      <c r="B357" t="s">
        <v>7725</v>
      </c>
    </row>
    <row r="358" spans="1:2">
      <c r="A358" t="s">
        <v>7726</v>
      </c>
      <c r="B358" t="s">
        <v>7727</v>
      </c>
    </row>
    <row r="359" spans="1:2">
      <c r="A359" t="s">
        <v>7728</v>
      </c>
      <c r="B359" t="s">
        <v>7729</v>
      </c>
    </row>
    <row r="360" spans="1:2">
      <c r="A360" t="s">
        <v>7730</v>
      </c>
      <c r="B360" t="s">
        <v>7731</v>
      </c>
    </row>
    <row r="361" spans="1:2">
      <c r="A361" t="s">
        <v>7732</v>
      </c>
      <c r="B361" t="s">
        <v>7733</v>
      </c>
    </row>
    <row r="362" spans="1:2">
      <c r="A362" t="s">
        <v>7734</v>
      </c>
      <c r="B362" t="s">
        <v>7735</v>
      </c>
    </row>
    <row r="363" spans="1:2">
      <c r="A363" t="s">
        <v>7736</v>
      </c>
      <c r="B363" t="s">
        <v>7737</v>
      </c>
    </row>
    <row r="364" spans="1:2">
      <c r="A364" t="s">
        <v>7738</v>
      </c>
      <c r="B364" t="s">
        <v>7739</v>
      </c>
    </row>
    <row r="365" spans="1:2">
      <c r="A365" t="s">
        <v>7740</v>
      </c>
      <c r="B365" t="s">
        <v>7741</v>
      </c>
    </row>
    <row r="366" spans="1:2">
      <c r="A366" t="s">
        <v>7742</v>
      </c>
      <c r="B366" t="s">
        <v>7743</v>
      </c>
    </row>
    <row r="367" spans="1:2">
      <c r="A367" t="s">
        <v>7744</v>
      </c>
      <c r="B367" t="s">
        <v>7745</v>
      </c>
    </row>
    <row r="368" spans="1:2">
      <c r="A368" t="s">
        <v>7746</v>
      </c>
      <c r="B368" t="s">
        <v>7747</v>
      </c>
    </row>
    <row r="369" spans="1:2">
      <c r="A369" t="s">
        <v>7748</v>
      </c>
      <c r="B369" t="s">
        <v>7749</v>
      </c>
    </row>
    <row r="370" spans="1:2">
      <c r="A370" t="s">
        <v>7750</v>
      </c>
      <c r="B370" t="s">
        <v>7751</v>
      </c>
    </row>
    <row r="371" spans="1:2">
      <c r="A371" t="s">
        <v>7752</v>
      </c>
      <c r="B371" t="s">
        <v>7753</v>
      </c>
    </row>
    <row r="372" spans="1:2">
      <c r="A372" t="s">
        <v>7754</v>
      </c>
      <c r="B372" t="s">
        <v>7755</v>
      </c>
    </row>
    <row r="373" spans="1:2">
      <c r="A373" t="s">
        <v>7756</v>
      </c>
      <c r="B373" t="s">
        <v>7757</v>
      </c>
    </row>
    <row r="374" spans="1:2">
      <c r="A374" t="s">
        <v>7758</v>
      </c>
      <c r="B374" t="s">
        <v>7759</v>
      </c>
    </row>
    <row r="375" spans="1:2">
      <c r="A375" t="s">
        <v>7760</v>
      </c>
      <c r="B375" t="s">
        <v>7761</v>
      </c>
    </row>
    <row r="376" spans="1:2">
      <c r="A376" t="s">
        <v>7762</v>
      </c>
      <c r="B376" t="s">
        <v>7763</v>
      </c>
    </row>
    <row r="377" spans="1:2">
      <c r="A377" t="s">
        <v>7764</v>
      </c>
      <c r="B377" t="s">
        <v>7765</v>
      </c>
    </row>
    <row r="378" spans="1:2">
      <c r="A378" t="s">
        <v>7766</v>
      </c>
      <c r="B378" t="s">
        <v>7767</v>
      </c>
    </row>
    <row r="379" spans="1:2">
      <c r="A379" t="s">
        <v>7768</v>
      </c>
      <c r="B379" t="s">
        <v>7769</v>
      </c>
    </row>
    <row r="380" spans="1:2">
      <c r="A380" t="s">
        <v>7770</v>
      </c>
      <c r="B380" t="s">
        <v>7771</v>
      </c>
    </row>
    <row r="381" spans="1:2">
      <c r="A381" t="s">
        <v>7772</v>
      </c>
      <c r="B381" t="s">
        <v>7773</v>
      </c>
    </row>
    <row r="382" spans="1:2">
      <c r="A382" t="s">
        <v>7774</v>
      </c>
      <c r="B382" t="s">
        <v>7775</v>
      </c>
    </row>
    <row r="383" spans="1:2">
      <c r="A383" t="s">
        <v>7776</v>
      </c>
      <c r="B383" t="s">
        <v>7777</v>
      </c>
    </row>
    <row r="384" spans="1:2">
      <c r="A384" t="s">
        <v>7778</v>
      </c>
      <c r="B384" t="s">
        <v>7779</v>
      </c>
    </row>
    <row r="385" spans="1:2">
      <c r="A385" t="s">
        <v>7780</v>
      </c>
      <c r="B385" t="s">
        <v>7781</v>
      </c>
    </row>
    <row r="386" spans="1:2">
      <c r="A386" t="s">
        <v>7782</v>
      </c>
      <c r="B386" t="s">
        <v>7783</v>
      </c>
    </row>
    <row r="387" spans="1:2">
      <c r="A387" t="s">
        <v>7784</v>
      </c>
      <c r="B387" t="s">
        <v>7785</v>
      </c>
    </row>
    <row r="388" spans="1:2">
      <c r="A388" t="s">
        <v>7786</v>
      </c>
      <c r="B388" t="s">
        <v>7787</v>
      </c>
    </row>
    <row r="389" spans="1:2">
      <c r="A389" t="s">
        <v>7788</v>
      </c>
      <c r="B389" t="s">
        <v>7789</v>
      </c>
    </row>
    <row r="390" spans="1:2">
      <c r="A390" t="s">
        <v>7790</v>
      </c>
      <c r="B390" t="s">
        <v>7791</v>
      </c>
    </row>
    <row r="391" spans="1:2">
      <c r="A391" t="s">
        <v>7792</v>
      </c>
      <c r="B391" t="s">
        <v>7793</v>
      </c>
    </row>
    <row r="392" spans="1:2">
      <c r="A392" t="s">
        <v>7794</v>
      </c>
      <c r="B392" t="s">
        <v>7795</v>
      </c>
    </row>
    <row r="393" spans="1:2">
      <c r="A393" t="s">
        <v>7796</v>
      </c>
      <c r="B393" t="s">
        <v>7797</v>
      </c>
    </row>
    <row r="394" spans="1:2">
      <c r="A394" t="s">
        <v>7798</v>
      </c>
      <c r="B394" t="s">
        <v>7799</v>
      </c>
    </row>
    <row r="395" spans="1:2">
      <c r="A395" t="s">
        <v>7800</v>
      </c>
      <c r="B395" t="s">
        <v>7801</v>
      </c>
    </row>
    <row r="396" spans="1:2">
      <c r="A396" t="s">
        <v>7802</v>
      </c>
      <c r="B396" t="s">
        <v>7803</v>
      </c>
    </row>
    <row r="397" spans="1:2">
      <c r="A397" t="s">
        <v>7804</v>
      </c>
      <c r="B397" t="s">
        <v>7805</v>
      </c>
    </row>
    <row r="398" spans="1:2">
      <c r="A398" t="s">
        <v>7806</v>
      </c>
      <c r="B398" t="s">
        <v>7807</v>
      </c>
    </row>
    <row r="399" spans="1:2">
      <c r="A399" t="s">
        <v>7808</v>
      </c>
      <c r="B399" t="s">
        <v>7809</v>
      </c>
    </row>
    <row r="400" spans="1:2">
      <c r="A400" t="s">
        <v>7810</v>
      </c>
      <c r="B400" t="s">
        <v>7811</v>
      </c>
    </row>
    <row r="401" spans="1:2">
      <c r="A401" t="s">
        <v>7812</v>
      </c>
      <c r="B401" t="s">
        <v>7813</v>
      </c>
    </row>
    <row r="402" spans="1:2">
      <c r="A402" t="s">
        <v>7814</v>
      </c>
      <c r="B402" t="s">
        <v>7815</v>
      </c>
    </row>
    <row r="403" spans="1:2">
      <c r="A403" t="s">
        <v>7816</v>
      </c>
      <c r="B403" t="s">
        <v>7817</v>
      </c>
    </row>
    <row r="404" spans="1:2">
      <c r="A404" t="s">
        <v>7818</v>
      </c>
      <c r="B404" t="s">
        <v>7819</v>
      </c>
    </row>
    <row r="405" spans="1:2">
      <c r="A405" t="s">
        <v>7820</v>
      </c>
      <c r="B405" t="s">
        <v>7821</v>
      </c>
    </row>
    <row r="406" spans="1:2">
      <c r="A406" t="s">
        <v>7822</v>
      </c>
      <c r="B406" t="s">
        <v>7823</v>
      </c>
    </row>
    <row r="407" spans="1:2">
      <c r="A407" t="s">
        <v>7824</v>
      </c>
      <c r="B407" t="s">
        <v>7825</v>
      </c>
    </row>
    <row r="408" spans="1:2">
      <c r="A408" t="s">
        <v>7826</v>
      </c>
      <c r="B408" t="s">
        <v>7827</v>
      </c>
    </row>
    <row r="409" spans="1:2">
      <c r="A409" t="s">
        <v>7828</v>
      </c>
      <c r="B409" t="s">
        <v>7829</v>
      </c>
    </row>
    <row r="410" spans="1:2">
      <c r="A410" t="s">
        <v>7830</v>
      </c>
      <c r="B410" t="s">
        <v>7831</v>
      </c>
    </row>
    <row r="411" spans="1:2">
      <c r="A411" t="s">
        <v>7832</v>
      </c>
      <c r="B411" t="s">
        <v>7833</v>
      </c>
    </row>
    <row r="412" spans="1:2">
      <c r="A412" t="s">
        <v>7834</v>
      </c>
      <c r="B412" t="s">
        <v>7835</v>
      </c>
    </row>
    <row r="413" spans="1:2">
      <c r="A413" t="s">
        <v>7836</v>
      </c>
      <c r="B413" t="s">
        <v>7837</v>
      </c>
    </row>
    <row r="414" spans="1:2">
      <c r="A414" t="s">
        <v>7838</v>
      </c>
      <c r="B414" t="s">
        <v>7839</v>
      </c>
    </row>
    <row r="415" spans="1:2">
      <c r="A415" t="s">
        <v>7840</v>
      </c>
      <c r="B415" t="s">
        <v>7841</v>
      </c>
    </row>
    <row r="416" spans="1:2">
      <c r="A416" t="s">
        <v>7842</v>
      </c>
      <c r="B416" t="s">
        <v>7843</v>
      </c>
    </row>
    <row r="417" spans="1:2">
      <c r="A417" t="s">
        <v>7844</v>
      </c>
      <c r="B417" t="s">
        <v>7845</v>
      </c>
    </row>
    <row r="418" spans="1:2">
      <c r="A418" t="s">
        <v>7846</v>
      </c>
      <c r="B418" t="s">
        <v>7847</v>
      </c>
    </row>
    <row r="419" spans="1:2">
      <c r="A419" t="s">
        <v>7848</v>
      </c>
      <c r="B419" t="s">
        <v>7849</v>
      </c>
    </row>
    <row r="420" spans="1:2">
      <c r="A420" t="s">
        <v>7850</v>
      </c>
      <c r="B420" t="s">
        <v>7851</v>
      </c>
    </row>
    <row r="421" spans="1:2">
      <c r="A421" t="s">
        <v>7852</v>
      </c>
      <c r="B421" t="s">
        <v>7853</v>
      </c>
    </row>
    <row r="422" spans="1:2">
      <c r="A422" t="s">
        <v>7854</v>
      </c>
      <c r="B422" t="s">
        <v>7855</v>
      </c>
    </row>
    <row r="423" spans="1:2">
      <c r="A423" t="s">
        <v>7856</v>
      </c>
      <c r="B423" t="s">
        <v>7857</v>
      </c>
    </row>
    <row r="424" spans="1:2">
      <c r="A424" t="s">
        <v>7858</v>
      </c>
      <c r="B424" t="s">
        <v>7859</v>
      </c>
    </row>
    <row r="425" spans="1:2">
      <c r="A425" t="s">
        <v>7860</v>
      </c>
      <c r="B425" t="s">
        <v>7861</v>
      </c>
    </row>
    <row r="426" spans="1:2">
      <c r="A426" t="s">
        <v>7862</v>
      </c>
      <c r="B426" t="s">
        <v>7863</v>
      </c>
    </row>
    <row r="427" spans="1:2">
      <c r="A427" t="s">
        <v>7864</v>
      </c>
      <c r="B427" t="s">
        <v>7865</v>
      </c>
    </row>
    <row r="428" spans="1:2">
      <c r="A428" t="s">
        <v>7866</v>
      </c>
      <c r="B428" t="s">
        <v>7867</v>
      </c>
    </row>
    <row r="429" spans="1:2">
      <c r="A429" t="s">
        <v>7868</v>
      </c>
      <c r="B429" t="s">
        <v>7869</v>
      </c>
    </row>
    <row r="430" spans="1:2">
      <c r="A430" t="s">
        <v>7870</v>
      </c>
      <c r="B430" t="s">
        <v>7871</v>
      </c>
    </row>
    <row r="431" spans="1:2">
      <c r="A431" t="s">
        <v>7872</v>
      </c>
      <c r="B431" t="s">
        <v>7873</v>
      </c>
    </row>
    <row r="432" spans="1:2">
      <c r="A432" t="s">
        <v>7874</v>
      </c>
      <c r="B432" t="s">
        <v>7875</v>
      </c>
    </row>
    <row r="433" spans="1:2">
      <c r="A433" t="s">
        <v>7876</v>
      </c>
      <c r="B433" t="s">
        <v>7877</v>
      </c>
    </row>
    <row r="434" spans="1:2">
      <c r="A434" t="s">
        <v>7878</v>
      </c>
      <c r="B434" t="s">
        <v>7879</v>
      </c>
    </row>
    <row r="435" spans="1:2">
      <c r="A435" t="s">
        <v>7880</v>
      </c>
      <c r="B435" t="s">
        <v>7881</v>
      </c>
    </row>
    <row r="436" spans="1:2">
      <c r="A436" t="s">
        <v>7882</v>
      </c>
      <c r="B436" t="s">
        <v>7883</v>
      </c>
    </row>
    <row r="437" spans="1:2">
      <c r="A437" t="s">
        <v>7884</v>
      </c>
      <c r="B437" t="s">
        <v>7885</v>
      </c>
    </row>
    <row r="438" spans="1:2">
      <c r="A438" t="s">
        <v>7886</v>
      </c>
      <c r="B438" t="s">
        <v>7887</v>
      </c>
    </row>
    <row r="439" spans="1:2">
      <c r="A439" t="s">
        <v>7888</v>
      </c>
      <c r="B439" t="s">
        <v>7889</v>
      </c>
    </row>
    <row r="440" spans="1:2">
      <c r="A440" t="s">
        <v>7890</v>
      </c>
      <c r="B440" t="s">
        <v>7891</v>
      </c>
    </row>
    <row r="441" spans="1:2">
      <c r="A441" t="s">
        <v>7892</v>
      </c>
      <c r="B441" t="s">
        <v>7893</v>
      </c>
    </row>
    <row r="442" spans="1:2">
      <c r="A442" t="s">
        <v>7894</v>
      </c>
      <c r="B442" t="s">
        <v>7895</v>
      </c>
    </row>
    <row r="443" spans="1:2">
      <c r="A443" t="s">
        <v>7896</v>
      </c>
      <c r="B443" t="s">
        <v>7897</v>
      </c>
    </row>
    <row r="444" spans="1:2">
      <c r="A444" t="s">
        <v>7898</v>
      </c>
      <c r="B444" t="s">
        <v>7899</v>
      </c>
    </row>
    <row r="445" spans="1:2">
      <c r="A445" t="s">
        <v>7900</v>
      </c>
      <c r="B445" t="s">
        <v>7901</v>
      </c>
    </row>
    <row r="446" spans="1:2">
      <c r="A446" t="s">
        <v>7902</v>
      </c>
      <c r="B446" t="s">
        <v>7903</v>
      </c>
    </row>
    <row r="447" spans="1:2">
      <c r="A447" t="s">
        <v>7904</v>
      </c>
      <c r="B447" t="s">
        <v>7905</v>
      </c>
    </row>
    <row r="448" spans="1:2">
      <c r="A448" t="s">
        <v>7906</v>
      </c>
      <c r="B448" t="s">
        <v>7907</v>
      </c>
    </row>
    <row r="449" spans="1:2">
      <c r="A449" t="s">
        <v>7906</v>
      </c>
      <c r="B449" t="s">
        <v>7907</v>
      </c>
    </row>
    <row r="450" spans="1:2">
      <c r="A450" t="s">
        <v>7908</v>
      </c>
      <c r="B450" t="s">
        <v>7909</v>
      </c>
    </row>
    <row r="451" spans="1:2">
      <c r="A451" t="s">
        <v>7908</v>
      </c>
      <c r="B451" t="s">
        <v>7909</v>
      </c>
    </row>
    <row r="452" spans="1:2">
      <c r="A452" t="s">
        <v>7910</v>
      </c>
      <c r="B452" t="s">
        <v>7911</v>
      </c>
    </row>
    <row r="453" spans="1:2">
      <c r="A453" t="s">
        <v>7910</v>
      </c>
      <c r="B453" t="s">
        <v>7911</v>
      </c>
    </row>
    <row r="454" spans="1:2">
      <c r="A454" t="s">
        <v>7912</v>
      </c>
      <c r="B454" t="s">
        <v>7913</v>
      </c>
    </row>
    <row r="455" spans="1:2">
      <c r="A455" t="s">
        <v>7912</v>
      </c>
      <c r="B455" t="s">
        <v>7913</v>
      </c>
    </row>
    <row r="456" spans="1:2">
      <c r="A456" t="s">
        <v>7914</v>
      </c>
      <c r="B456" t="s">
        <v>7915</v>
      </c>
    </row>
    <row r="457" spans="1:2">
      <c r="A457" t="s">
        <v>7914</v>
      </c>
      <c r="B457" t="s">
        <v>7915</v>
      </c>
    </row>
    <row r="458" spans="1:2">
      <c r="A458" t="s">
        <v>7916</v>
      </c>
      <c r="B458" t="s">
        <v>7917</v>
      </c>
    </row>
    <row r="459" spans="1:2">
      <c r="A459" t="s">
        <v>7916</v>
      </c>
      <c r="B459" t="s">
        <v>7917</v>
      </c>
    </row>
    <row r="460" spans="1:2">
      <c r="A460" t="s">
        <v>7918</v>
      </c>
      <c r="B460" t="s">
        <v>7919</v>
      </c>
    </row>
    <row r="461" spans="1:2">
      <c r="A461" t="s">
        <v>7918</v>
      </c>
      <c r="B461" t="s">
        <v>7919</v>
      </c>
    </row>
    <row r="462" spans="1:2">
      <c r="A462" t="s">
        <v>7920</v>
      </c>
      <c r="B462" t="s">
        <v>7921</v>
      </c>
    </row>
    <row r="463" spans="1:2">
      <c r="A463" t="s">
        <v>7920</v>
      </c>
      <c r="B463" t="s">
        <v>7921</v>
      </c>
    </row>
    <row r="464" spans="1:2">
      <c r="A464" t="s">
        <v>7922</v>
      </c>
      <c r="B464" t="s">
        <v>7923</v>
      </c>
    </row>
    <row r="465" spans="1:2">
      <c r="A465" t="s">
        <v>7922</v>
      </c>
      <c r="B465" t="s">
        <v>7923</v>
      </c>
    </row>
    <row r="466" spans="1:2">
      <c r="A466" t="s">
        <v>7924</v>
      </c>
      <c r="B466" t="s">
        <v>7925</v>
      </c>
    </row>
    <row r="467" spans="1:2">
      <c r="A467" t="s">
        <v>7924</v>
      </c>
      <c r="B467" t="s">
        <v>7925</v>
      </c>
    </row>
    <row r="468" spans="1:2">
      <c r="A468" t="s">
        <v>7926</v>
      </c>
      <c r="B468" t="s">
        <v>7927</v>
      </c>
    </row>
    <row r="469" spans="1:2">
      <c r="A469" t="s">
        <v>7926</v>
      </c>
      <c r="B469" t="s">
        <v>7927</v>
      </c>
    </row>
    <row r="470" spans="1:2">
      <c r="A470" t="s">
        <v>7928</v>
      </c>
      <c r="B470" t="s">
        <v>7929</v>
      </c>
    </row>
    <row r="471" spans="1:2">
      <c r="A471" t="s">
        <v>7928</v>
      </c>
      <c r="B471" t="s">
        <v>7929</v>
      </c>
    </row>
    <row r="472" spans="1:2">
      <c r="A472" t="s">
        <v>7930</v>
      </c>
      <c r="B472" t="s">
        <v>7931</v>
      </c>
    </row>
    <row r="473" spans="1:2">
      <c r="A473" t="s">
        <v>7930</v>
      </c>
      <c r="B473" t="s">
        <v>7931</v>
      </c>
    </row>
    <row r="474" spans="1:2">
      <c r="A474" t="s">
        <v>7932</v>
      </c>
      <c r="B474" t="s">
        <v>7933</v>
      </c>
    </row>
    <row r="475" spans="1:2">
      <c r="A475" t="s">
        <v>7932</v>
      </c>
      <c r="B475" t="s">
        <v>7933</v>
      </c>
    </row>
    <row r="476" spans="1:2">
      <c r="A476" t="s">
        <v>7934</v>
      </c>
      <c r="B476" t="s">
        <v>7935</v>
      </c>
    </row>
    <row r="477" spans="1:2">
      <c r="A477" t="s">
        <v>7934</v>
      </c>
      <c r="B477" t="s">
        <v>7935</v>
      </c>
    </row>
    <row r="478" spans="1:2">
      <c r="A478" t="s">
        <v>7936</v>
      </c>
      <c r="B478" t="s">
        <v>7937</v>
      </c>
    </row>
    <row r="479" spans="1:2">
      <c r="A479" t="s">
        <v>7936</v>
      </c>
      <c r="B479" t="s">
        <v>7937</v>
      </c>
    </row>
    <row r="480" spans="1:2">
      <c r="A480" t="s">
        <v>7938</v>
      </c>
      <c r="B480" t="s">
        <v>7939</v>
      </c>
    </row>
    <row r="481" spans="1:2">
      <c r="A481" t="s">
        <v>7938</v>
      </c>
      <c r="B481" t="s">
        <v>7939</v>
      </c>
    </row>
    <row r="482" spans="1:2">
      <c r="A482" t="s">
        <v>7940</v>
      </c>
      <c r="B482" t="s">
        <v>7941</v>
      </c>
    </row>
    <row r="483" spans="1:2">
      <c r="A483" t="s">
        <v>7940</v>
      </c>
      <c r="B483" t="s">
        <v>7941</v>
      </c>
    </row>
    <row r="484" spans="1:2">
      <c r="A484" t="s">
        <v>7942</v>
      </c>
      <c r="B484" t="s">
        <v>7943</v>
      </c>
    </row>
    <row r="485" spans="1:2">
      <c r="A485" t="s">
        <v>7944</v>
      </c>
      <c r="B485" t="s">
        <v>7945</v>
      </c>
    </row>
    <row r="486" spans="1:2">
      <c r="A486" t="s">
        <v>7946</v>
      </c>
      <c r="B486" t="s">
        <v>7947</v>
      </c>
    </row>
    <row r="487" spans="1:2">
      <c r="A487" t="s">
        <v>7948</v>
      </c>
      <c r="B487" t="s">
        <v>7949</v>
      </c>
    </row>
    <row r="488" spans="1:2">
      <c r="A488" t="s">
        <v>7950</v>
      </c>
      <c r="B488" t="s">
        <v>7951</v>
      </c>
    </row>
    <row r="489" spans="1:2">
      <c r="A489" t="s">
        <v>7952</v>
      </c>
      <c r="B489" t="s">
        <v>7953</v>
      </c>
    </row>
    <row r="490" spans="1:2">
      <c r="A490" t="s">
        <v>7954</v>
      </c>
      <c r="B490" t="s">
        <v>7955</v>
      </c>
    </row>
    <row r="491" spans="1:2">
      <c r="A491" t="s">
        <v>7956</v>
      </c>
      <c r="B491" t="s">
        <v>7957</v>
      </c>
    </row>
    <row r="492" spans="1:2">
      <c r="A492" t="s">
        <v>7958</v>
      </c>
      <c r="B492" t="s">
        <v>7959</v>
      </c>
    </row>
    <row r="493" spans="1:2">
      <c r="A493" t="s">
        <v>7960</v>
      </c>
      <c r="B493" t="s">
        <v>7961</v>
      </c>
    </row>
    <row r="494" spans="1:2">
      <c r="A494" t="s">
        <v>7962</v>
      </c>
      <c r="B494" t="s">
        <v>7963</v>
      </c>
    </row>
    <row r="495" spans="1:2">
      <c r="A495" t="s">
        <v>7964</v>
      </c>
      <c r="B495" t="s">
        <v>7965</v>
      </c>
    </row>
    <row r="496" spans="1:2">
      <c r="A496" t="s">
        <v>7966</v>
      </c>
      <c r="B496" t="s">
        <v>7967</v>
      </c>
    </row>
    <row r="497" spans="1:2">
      <c r="A497" t="s">
        <v>7966</v>
      </c>
      <c r="B497" t="s">
        <v>7967</v>
      </c>
    </row>
    <row r="498" spans="1:2">
      <c r="A498" t="s">
        <v>7968</v>
      </c>
      <c r="B498" t="s">
        <v>7969</v>
      </c>
    </row>
    <row r="499" spans="1:2">
      <c r="A499" t="s">
        <v>7968</v>
      </c>
      <c r="B499" t="s">
        <v>7970</v>
      </c>
    </row>
    <row r="500" spans="1:2">
      <c r="A500" t="s">
        <v>7971</v>
      </c>
      <c r="B500" t="s">
        <v>7972</v>
      </c>
    </row>
    <row r="501" spans="1:2">
      <c r="A501" t="s">
        <v>7971</v>
      </c>
      <c r="B501" t="s">
        <v>7972</v>
      </c>
    </row>
    <row r="502" spans="1:2">
      <c r="A502" t="s">
        <v>7973</v>
      </c>
      <c r="B502" t="s">
        <v>7974</v>
      </c>
    </row>
    <row r="503" spans="1:2">
      <c r="A503" t="s">
        <v>7973</v>
      </c>
      <c r="B503" t="s">
        <v>7974</v>
      </c>
    </row>
    <row r="504" spans="1:2">
      <c r="A504" t="s">
        <v>7975</v>
      </c>
      <c r="B504" t="s">
        <v>7976</v>
      </c>
    </row>
    <row r="505" spans="1:2">
      <c r="A505" t="s">
        <v>7977</v>
      </c>
      <c r="B505" t="s">
        <v>7978</v>
      </c>
    </row>
    <row r="506" spans="1:2">
      <c r="A506" t="s">
        <v>7979</v>
      </c>
      <c r="B506" t="s">
        <v>7980</v>
      </c>
    </row>
    <row r="507" spans="1:2">
      <c r="A507" t="s">
        <v>7981</v>
      </c>
      <c r="B507" t="s">
        <v>7982</v>
      </c>
    </row>
    <row r="508" spans="1:2">
      <c r="A508" t="s">
        <v>7983</v>
      </c>
      <c r="B508" t="s">
        <v>7984</v>
      </c>
    </row>
    <row r="509" spans="1:2">
      <c r="A509" t="s">
        <v>7985</v>
      </c>
      <c r="B509" t="s">
        <v>2452</v>
      </c>
    </row>
    <row r="510" spans="1:2">
      <c r="A510" t="s">
        <v>7986</v>
      </c>
      <c r="B510" t="s">
        <v>7987</v>
      </c>
    </row>
    <row r="511" spans="1:2">
      <c r="A511" t="s">
        <v>7988</v>
      </c>
      <c r="B511" t="s">
        <v>7356</v>
      </c>
    </row>
    <row r="512" spans="1:2">
      <c r="A512" t="s">
        <v>7989</v>
      </c>
      <c r="B512" t="s">
        <v>7990</v>
      </c>
    </row>
    <row r="513" spans="1:2">
      <c r="A513" t="s">
        <v>7991</v>
      </c>
      <c r="B513" t="s">
        <v>7992</v>
      </c>
    </row>
    <row r="514" spans="1:2">
      <c r="A514" t="s">
        <v>7991</v>
      </c>
      <c r="B514" t="s">
        <v>7992</v>
      </c>
    </row>
    <row r="515" spans="1:2">
      <c r="A515" t="s">
        <v>7991</v>
      </c>
      <c r="B515" t="s">
        <v>7993</v>
      </c>
    </row>
    <row r="516" spans="1:2">
      <c r="A516" t="s">
        <v>7994</v>
      </c>
      <c r="B516" t="s">
        <v>7995</v>
      </c>
    </row>
    <row r="517" spans="1:2">
      <c r="A517" t="s">
        <v>7994</v>
      </c>
      <c r="B517" t="s">
        <v>7995</v>
      </c>
    </row>
    <row r="518" spans="1:2">
      <c r="A518" t="s">
        <v>7994</v>
      </c>
      <c r="B518" t="s">
        <v>7995</v>
      </c>
    </row>
    <row r="519" spans="1:2">
      <c r="A519" t="s">
        <v>7996</v>
      </c>
      <c r="B519" t="s">
        <v>7997</v>
      </c>
    </row>
    <row r="520" spans="1:2">
      <c r="A520" t="s">
        <v>7996</v>
      </c>
      <c r="B520" t="s">
        <v>7997</v>
      </c>
    </row>
    <row r="521" spans="1:2">
      <c r="A521" t="s">
        <v>7996</v>
      </c>
      <c r="B521" t="s">
        <v>7997</v>
      </c>
    </row>
    <row r="522" spans="1:2">
      <c r="A522" t="s">
        <v>7998</v>
      </c>
      <c r="B522" t="s">
        <v>7999</v>
      </c>
    </row>
    <row r="523" spans="1:2">
      <c r="A523" t="s">
        <v>8000</v>
      </c>
      <c r="B523" t="s">
        <v>8001</v>
      </c>
    </row>
    <row r="524" spans="1:2">
      <c r="A524" t="s">
        <v>8002</v>
      </c>
      <c r="B524" t="s">
        <v>1577</v>
      </c>
    </row>
    <row r="525" spans="1:2">
      <c r="A525" t="s">
        <v>8003</v>
      </c>
      <c r="B525" t="s">
        <v>8004</v>
      </c>
    </row>
    <row r="526" spans="1:2">
      <c r="A526" t="s">
        <v>8005</v>
      </c>
      <c r="B526" t="s">
        <v>8006</v>
      </c>
    </row>
    <row r="527" spans="1:2">
      <c r="A527" t="s">
        <v>8007</v>
      </c>
      <c r="B527" t="s">
        <v>8008</v>
      </c>
    </row>
    <row r="528" spans="1:2">
      <c r="A528" t="s">
        <v>8009</v>
      </c>
      <c r="B528" t="s">
        <v>8010</v>
      </c>
    </row>
    <row r="529" spans="1:2">
      <c r="A529" t="s">
        <v>8011</v>
      </c>
      <c r="B529" t="s">
        <v>8012</v>
      </c>
    </row>
    <row r="530" spans="1:2">
      <c r="A530" t="s">
        <v>8013</v>
      </c>
      <c r="B530" t="s">
        <v>8014</v>
      </c>
    </row>
    <row r="531" spans="1:2">
      <c r="A531" t="s">
        <v>8015</v>
      </c>
      <c r="B531" t="s">
        <v>435</v>
      </c>
    </row>
    <row r="532" spans="1:2">
      <c r="A532" t="s">
        <v>8016</v>
      </c>
      <c r="B532" t="s">
        <v>8017</v>
      </c>
    </row>
    <row r="533" spans="1:2">
      <c r="A533" t="s">
        <v>8018</v>
      </c>
      <c r="B533" t="s">
        <v>8019</v>
      </c>
    </row>
    <row r="534" spans="1:2">
      <c r="A534" t="s">
        <v>8020</v>
      </c>
      <c r="B534" t="s">
        <v>8021</v>
      </c>
    </row>
    <row r="535" spans="1:2">
      <c r="A535" t="s">
        <v>8022</v>
      </c>
      <c r="B535" t="s">
        <v>8023</v>
      </c>
    </row>
    <row r="536" spans="1:2">
      <c r="A536" t="s">
        <v>8024</v>
      </c>
      <c r="B536" t="s">
        <v>8025</v>
      </c>
    </row>
    <row r="537" spans="1:2">
      <c r="A537" t="s">
        <v>8026</v>
      </c>
      <c r="B537" t="s">
        <v>8027</v>
      </c>
    </row>
    <row r="538" spans="1:2">
      <c r="A538" t="s">
        <v>8028</v>
      </c>
      <c r="B538" t="s">
        <v>8029</v>
      </c>
    </row>
    <row r="539" spans="1:2">
      <c r="A539" t="s">
        <v>8030</v>
      </c>
      <c r="B539" t="s">
        <v>8031</v>
      </c>
    </row>
    <row r="540" spans="1:2">
      <c r="A540" t="s">
        <v>8032</v>
      </c>
      <c r="B540" t="s">
        <v>8033</v>
      </c>
    </row>
    <row r="541" spans="1:2">
      <c r="A541" t="s">
        <v>8034</v>
      </c>
      <c r="B541" t="s">
        <v>838</v>
      </c>
    </row>
    <row r="542" spans="1:2">
      <c r="A542" t="s">
        <v>8035</v>
      </c>
      <c r="B542" t="s">
        <v>8036</v>
      </c>
    </row>
    <row r="543" spans="1:2">
      <c r="A543" t="s">
        <v>8037</v>
      </c>
      <c r="B543" t="s">
        <v>8038</v>
      </c>
    </row>
    <row r="544" spans="1:2">
      <c r="A544" t="s">
        <v>8039</v>
      </c>
      <c r="B544" t="s">
        <v>1431</v>
      </c>
    </row>
    <row r="545" spans="1:2">
      <c r="A545" t="s">
        <v>8040</v>
      </c>
      <c r="B545" t="s">
        <v>8041</v>
      </c>
    </row>
    <row r="546" spans="1:2">
      <c r="A546" t="s">
        <v>8042</v>
      </c>
      <c r="B546" t="s">
        <v>594</v>
      </c>
    </row>
    <row r="547" spans="1:2">
      <c r="A547" t="s">
        <v>8043</v>
      </c>
      <c r="B547" t="s">
        <v>8044</v>
      </c>
    </row>
    <row r="548" spans="1:2">
      <c r="A548" t="s">
        <v>8045</v>
      </c>
      <c r="B548" t="s">
        <v>8046</v>
      </c>
    </row>
    <row r="549" spans="1:2">
      <c r="A549" t="s">
        <v>8047</v>
      </c>
      <c r="B549" t="s">
        <v>8048</v>
      </c>
    </row>
    <row r="550" spans="1:2">
      <c r="A550" t="s">
        <v>8049</v>
      </c>
      <c r="B550" t="s">
        <v>8050</v>
      </c>
    </row>
    <row r="551" spans="1:2">
      <c r="A551" t="s">
        <v>8051</v>
      </c>
      <c r="B551" t="s">
        <v>8052</v>
      </c>
    </row>
    <row r="552" spans="1:2">
      <c r="A552" t="s">
        <v>8053</v>
      </c>
      <c r="B552" t="s">
        <v>8054</v>
      </c>
    </row>
    <row r="553" spans="1:2">
      <c r="A553" t="s">
        <v>8055</v>
      </c>
      <c r="B553" t="s">
        <v>8056</v>
      </c>
    </row>
    <row r="554" spans="1:2">
      <c r="A554" t="s">
        <v>8057</v>
      </c>
      <c r="B554" t="s">
        <v>8058</v>
      </c>
    </row>
    <row r="555" spans="1:2">
      <c r="A555" t="s">
        <v>8059</v>
      </c>
      <c r="B555" t="s">
        <v>8060</v>
      </c>
    </row>
    <row r="556" spans="1:2">
      <c r="A556" t="s">
        <v>8061</v>
      </c>
      <c r="B556" t="s">
        <v>8062</v>
      </c>
    </row>
    <row r="557" spans="1:2">
      <c r="A557" t="s">
        <v>8063</v>
      </c>
      <c r="B557" t="s">
        <v>8064</v>
      </c>
    </row>
    <row r="558" spans="1:2">
      <c r="A558" t="s">
        <v>8065</v>
      </c>
      <c r="B558" t="s">
        <v>8066</v>
      </c>
    </row>
    <row r="559" spans="1:2">
      <c r="A559" t="s">
        <v>8067</v>
      </c>
      <c r="B559" t="s">
        <v>8068</v>
      </c>
    </row>
    <row r="560" spans="1:2">
      <c r="A560" t="s">
        <v>8069</v>
      </c>
      <c r="B560" t="s">
        <v>8070</v>
      </c>
    </row>
    <row r="561" spans="1:2">
      <c r="A561" t="s">
        <v>8071</v>
      </c>
      <c r="B561" t="s">
        <v>8072</v>
      </c>
    </row>
    <row r="562" spans="1:2">
      <c r="A562" t="s">
        <v>8073</v>
      </c>
      <c r="B562" t="s">
        <v>8074</v>
      </c>
    </row>
    <row r="563" spans="1:2">
      <c r="A563" t="s">
        <v>8075</v>
      </c>
      <c r="B563" t="s">
        <v>8076</v>
      </c>
    </row>
    <row r="564" spans="1:2">
      <c r="A564" t="s">
        <v>8077</v>
      </c>
      <c r="B564" t="s">
        <v>8078</v>
      </c>
    </row>
    <row r="565" spans="1:2">
      <c r="A565" t="s">
        <v>8079</v>
      </c>
      <c r="B565" t="s">
        <v>8080</v>
      </c>
    </row>
    <row r="566" spans="1:2">
      <c r="A566" t="s">
        <v>8081</v>
      </c>
      <c r="B566" t="s">
        <v>8082</v>
      </c>
    </row>
    <row r="567" spans="1:2">
      <c r="A567" t="s">
        <v>8083</v>
      </c>
      <c r="B567" t="s">
        <v>8084</v>
      </c>
    </row>
    <row r="568" spans="1:2">
      <c r="A568" t="s">
        <v>8085</v>
      </c>
      <c r="B568" t="s">
        <v>8086</v>
      </c>
    </row>
    <row r="569" spans="1:2">
      <c r="A569" t="s">
        <v>8087</v>
      </c>
      <c r="B569" t="s">
        <v>8088</v>
      </c>
    </row>
    <row r="570" spans="1:2">
      <c r="A570" t="s">
        <v>8089</v>
      </c>
      <c r="B570" t="s">
        <v>8090</v>
      </c>
    </row>
    <row r="571" spans="1:2">
      <c r="A571" t="s">
        <v>8091</v>
      </c>
      <c r="B571" t="s">
        <v>8092</v>
      </c>
    </row>
    <row r="572" spans="1:2">
      <c r="A572" t="s">
        <v>8093</v>
      </c>
      <c r="B572" t="s">
        <v>8094</v>
      </c>
    </row>
    <row r="573" spans="1:2">
      <c r="A573" t="s">
        <v>8095</v>
      </c>
      <c r="B573" t="s">
        <v>8096</v>
      </c>
    </row>
    <row r="574" spans="1:2">
      <c r="A574" t="s">
        <v>8097</v>
      </c>
      <c r="B574" t="s">
        <v>8098</v>
      </c>
    </row>
    <row r="575" spans="1:2">
      <c r="A575" t="s">
        <v>8099</v>
      </c>
      <c r="B575" t="s">
        <v>8100</v>
      </c>
    </row>
    <row r="576" spans="1:2">
      <c r="A576" t="s">
        <v>8101</v>
      </c>
      <c r="B576" t="s">
        <v>8102</v>
      </c>
    </row>
    <row r="577" spans="1:2">
      <c r="A577" t="s">
        <v>8103</v>
      </c>
      <c r="B577" t="s">
        <v>8104</v>
      </c>
    </row>
    <row r="578" spans="1:2">
      <c r="A578" t="s">
        <v>8105</v>
      </c>
      <c r="B578" t="s">
        <v>8106</v>
      </c>
    </row>
    <row r="579" spans="1:2">
      <c r="A579" t="s">
        <v>8107</v>
      </c>
      <c r="B579" t="s">
        <v>8108</v>
      </c>
    </row>
    <row r="580" spans="1:2">
      <c r="A580" t="s">
        <v>8109</v>
      </c>
      <c r="B580" t="s">
        <v>8110</v>
      </c>
    </row>
    <row r="581" spans="1:2">
      <c r="A581" t="s">
        <v>8111</v>
      </c>
      <c r="B581" t="s">
        <v>8112</v>
      </c>
    </row>
    <row r="582" spans="1:2">
      <c r="A582" t="s">
        <v>8113</v>
      </c>
      <c r="B582" t="s">
        <v>8114</v>
      </c>
    </row>
    <row r="583" spans="1:2">
      <c r="A583" t="s">
        <v>8115</v>
      </c>
      <c r="B583" t="s">
        <v>8116</v>
      </c>
    </row>
    <row r="584" spans="1:2">
      <c r="A584" t="s">
        <v>8117</v>
      </c>
      <c r="B584" t="s">
        <v>8118</v>
      </c>
    </row>
    <row r="585" spans="1:2">
      <c r="A585" t="s">
        <v>8119</v>
      </c>
      <c r="B585" t="s">
        <v>8120</v>
      </c>
    </row>
    <row r="586" spans="1:2">
      <c r="A586" t="s">
        <v>8121</v>
      </c>
      <c r="B586" t="s">
        <v>8122</v>
      </c>
    </row>
    <row r="587" spans="1:2">
      <c r="A587" t="s">
        <v>8123</v>
      </c>
      <c r="B587" t="s">
        <v>8124</v>
      </c>
    </row>
    <row r="588" spans="1:2">
      <c r="A588" t="s">
        <v>8125</v>
      </c>
      <c r="B588" t="s">
        <v>8126</v>
      </c>
    </row>
    <row r="589" spans="1:2">
      <c r="A589" t="s">
        <v>8127</v>
      </c>
      <c r="B589" t="s">
        <v>8128</v>
      </c>
    </row>
    <row r="590" spans="1:2">
      <c r="A590" t="s">
        <v>8129</v>
      </c>
      <c r="B590" t="s">
        <v>8130</v>
      </c>
    </row>
    <row r="591" spans="1:2">
      <c r="A591" t="s">
        <v>8131</v>
      </c>
      <c r="B591" t="s">
        <v>8132</v>
      </c>
    </row>
    <row r="592" spans="1:2">
      <c r="A592" t="s">
        <v>8133</v>
      </c>
      <c r="B592" t="s">
        <v>8134</v>
      </c>
    </row>
    <row r="593" spans="1:2">
      <c r="A593" t="s">
        <v>8135</v>
      </c>
      <c r="B593" t="s">
        <v>8136</v>
      </c>
    </row>
    <row r="594" spans="1:2">
      <c r="A594" t="s">
        <v>8137</v>
      </c>
      <c r="B594" t="s">
        <v>8138</v>
      </c>
    </row>
    <row r="595" spans="1:2">
      <c r="A595" t="s">
        <v>8139</v>
      </c>
      <c r="B595" t="s">
        <v>8140</v>
      </c>
    </row>
    <row r="596" spans="1:2">
      <c r="A596" t="s">
        <v>8141</v>
      </c>
      <c r="B596" t="s">
        <v>8142</v>
      </c>
    </row>
    <row r="597" spans="1:2">
      <c r="A597" t="s">
        <v>8143</v>
      </c>
      <c r="B597" t="s">
        <v>8144</v>
      </c>
    </row>
    <row r="598" spans="1:2">
      <c r="A598" t="s">
        <v>8145</v>
      </c>
      <c r="B598" t="s">
        <v>8146</v>
      </c>
    </row>
    <row r="599" spans="1:2">
      <c r="A599" t="s">
        <v>8147</v>
      </c>
      <c r="B599" t="s">
        <v>8148</v>
      </c>
    </row>
    <row r="600" spans="1:2">
      <c r="A600" t="s">
        <v>8149</v>
      </c>
      <c r="B600" t="s">
        <v>8150</v>
      </c>
    </row>
    <row r="601" spans="1:2">
      <c r="A601" t="s">
        <v>8151</v>
      </c>
      <c r="B601" t="s">
        <v>8152</v>
      </c>
    </row>
    <row r="602" spans="1:2">
      <c r="A602" t="s">
        <v>8153</v>
      </c>
      <c r="B602" t="s">
        <v>8154</v>
      </c>
    </row>
    <row r="603" spans="1:2">
      <c r="A603" t="s">
        <v>8155</v>
      </c>
      <c r="B603" t="s">
        <v>8156</v>
      </c>
    </row>
    <row r="604" spans="1:2">
      <c r="A604" t="s">
        <v>8157</v>
      </c>
      <c r="B604" t="s">
        <v>8158</v>
      </c>
    </row>
    <row r="605" spans="1:2">
      <c r="A605" t="s">
        <v>8159</v>
      </c>
      <c r="B605" t="s">
        <v>8160</v>
      </c>
    </row>
    <row r="606" spans="1:2">
      <c r="A606" t="s">
        <v>8161</v>
      </c>
      <c r="B606" t="s">
        <v>8162</v>
      </c>
    </row>
    <row r="607" spans="1:2">
      <c r="A607" t="s">
        <v>8163</v>
      </c>
      <c r="B607" t="s">
        <v>8164</v>
      </c>
    </row>
    <row r="608" spans="1:2">
      <c r="A608" t="s">
        <v>8165</v>
      </c>
      <c r="B608" t="s">
        <v>8166</v>
      </c>
    </row>
    <row r="609" spans="1:2">
      <c r="A609" t="s">
        <v>8167</v>
      </c>
      <c r="B609" t="s">
        <v>8168</v>
      </c>
    </row>
    <row r="610" spans="1:2">
      <c r="A610" t="s">
        <v>8169</v>
      </c>
      <c r="B610" t="s">
        <v>8170</v>
      </c>
    </row>
    <row r="611" spans="1:2">
      <c r="A611" t="s">
        <v>8171</v>
      </c>
      <c r="B611" t="s">
        <v>8172</v>
      </c>
    </row>
    <row r="612" spans="1:2">
      <c r="A612" t="s">
        <v>8173</v>
      </c>
      <c r="B612" t="s">
        <v>8174</v>
      </c>
    </row>
    <row r="613" spans="1:2">
      <c r="A613" t="s">
        <v>8175</v>
      </c>
      <c r="B613" t="s">
        <v>8176</v>
      </c>
    </row>
    <row r="614" spans="1:2">
      <c r="A614" t="s">
        <v>8177</v>
      </c>
      <c r="B614" t="s">
        <v>8178</v>
      </c>
    </row>
    <row r="615" spans="1:2">
      <c r="A615" t="s">
        <v>8179</v>
      </c>
      <c r="B615" t="s">
        <v>8180</v>
      </c>
    </row>
    <row r="616" spans="1:2">
      <c r="A616" t="s">
        <v>8181</v>
      </c>
      <c r="B616" t="s">
        <v>8182</v>
      </c>
    </row>
    <row r="617" spans="1:2">
      <c r="A617" t="s">
        <v>8183</v>
      </c>
      <c r="B617" t="s">
        <v>8184</v>
      </c>
    </row>
    <row r="618" spans="1:2">
      <c r="A618" t="s">
        <v>8183</v>
      </c>
      <c r="B618" t="s">
        <v>8184</v>
      </c>
    </row>
    <row r="619" spans="1:2">
      <c r="A619" t="s">
        <v>8183</v>
      </c>
      <c r="B619" t="s">
        <v>8185</v>
      </c>
    </row>
    <row r="620" spans="1:2">
      <c r="A620" t="s">
        <v>8183</v>
      </c>
      <c r="B620" t="s">
        <v>8185</v>
      </c>
    </row>
    <row r="621" spans="1:2">
      <c r="A621" t="s">
        <v>8186</v>
      </c>
      <c r="B621" t="s">
        <v>8187</v>
      </c>
    </row>
    <row r="622" spans="1:2">
      <c r="A622" t="s">
        <v>8186</v>
      </c>
      <c r="B622" t="s">
        <v>8188</v>
      </c>
    </row>
    <row r="623" spans="1:2">
      <c r="A623" t="s">
        <v>8186</v>
      </c>
      <c r="B623" t="s">
        <v>8189</v>
      </c>
    </row>
    <row r="624" spans="1:2">
      <c r="A624" t="s">
        <v>8186</v>
      </c>
      <c r="B624" t="s">
        <v>8190</v>
      </c>
    </row>
    <row r="625" spans="1:2">
      <c r="A625" t="s">
        <v>8191</v>
      </c>
      <c r="B625" t="s">
        <v>8192</v>
      </c>
    </row>
    <row r="626" spans="1:2">
      <c r="A626" t="s">
        <v>8191</v>
      </c>
      <c r="B626" t="s">
        <v>8193</v>
      </c>
    </row>
    <row r="627" spans="1:2">
      <c r="A627" t="s">
        <v>8191</v>
      </c>
      <c r="B627" t="s">
        <v>8194</v>
      </c>
    </row>
    <row r="628" spans="1:2">
      <c r="A628" t="s">
        <v>8191</v>
      </c>
      <c r="B628" t="s">
        <v>8195</v>
      </c>
    </row>
    <row r="629" spans="1:2">
      <c r="A629" t="s">
        <v>8196</v>
      </c>
      <c r="B629" t="s">
        <v>8197</v>
      </c>
    </row>
    <row r="630" spans="1:2">
      <c r="A630" t="s">
        <v>8196</v>
      </c>
      <c r="B630" t="s">
        <v>8198</v>
      </c>
    </row>
    <row r="631" spans="1:2">
      <c r="A631" t="s">
        <v>8196</v>
      </c>
      <c r="B631" t="s">
        <v>8199</v>
      </c>
    </row>
    <row r="632" spans="1:2">
      <c r="A632" t="s">
        <v>8196</v>
      </c>
      <c r="B632" t="s">
        <v>8200</v>
      </c>
    </row>
    <row r="633" spans="1:2">
      <c r="A633" t="s">
        <v>8201</v>
      </c>
      <c r="B633" t="s">
        <v>8202</v>
      </c>
    </row>
    <row r="634" spans="1:2">
      <c r="A634" t="s">
        <v>8201</v>
      </c>
      <c r="B634" t="s">
        <v>8203</v>
      </c>
    </row>
    <row r="635" spans="1:2">
      <c r="A635" t="s">
        <v>8201</v>
      </c>
      <c r="B635" t="s">
        <v>8204</v>
      </c>
    </row>
    <row r="636" spans="1:2">
      <c r="A636" t="s">
        <v>8201</v>
      </c>
      <c r="B636" t="s">
        <v>8205</v>
      </c>
    </row>
    <row r="637" spans="1:2">
      <c r="A637" t="s">
        <v>8206</v>
      </c>
      <c r="B637" t="s">
        <v>8207</v>
      </c>
    </row>
    <row r="638" spans="1:2">
      <c r="A638" t="s">
        <v>8206</v>
      </c>
      <c r="B638" t="s">
        <v>8208</v>
      </c>
    </row>
    <row r="639" spans="1:2">
      <c r="A639" t="s">
        <v>8206</v>
      </c>
      <c r="B639" t="s">
        <v>8209</v>
      </c>
    </row>
    <row r="640" spans="1:2">
      <c r="A640" t="s">
        <v>8206</v>
      </c>
      <c r="B640" t="s">
        <v>8210</v>
      </c>
    </row>
    <row r="641" spans="1:2">
      <c r="A641" t="s">
        <v>8211</v>
      </c>
      <c r="B641" t="s">
        <v>8212</v>
      </c>
    </row>
    <row r="642" spans="1:2">
      <c r="A642" t="s">
        <v>8211</v>
      </c>
      <c r="B642" t="s">
        <v>8213</v>
      </c>
    </row>
    <row r="643" spans="1:2">
      <c r="A643" t="s">
        <v>8211</v>
      </c>
      <c r="B643" t="s">
        <v>8214</v>
      </c>
    </row>
    <row r="644" spans="1:2">
      <c r="A644" t="s">
        <v>8211</v>
      </c>
      <c r="B644" t="s">
        <v>8215</v>
      </c>
    </row>
    <row r="645" spans="1:2">
      <c r="A645" t="s">
        <v>8216</v>
      </c>
      <c r="B645" t="s">
        <v>8217</v>
      </c>
    </row>
    <row r="646" spans="1:2">
      <c r="A646" t="s">
        <v>8218</v>
      </c>
      <c r="B646" t="s">
        <v>8219</v>
      </c>
    </row>
    <row r="647" spans="1:2">
      <c r="A647" t="s">
        <v>8220</v>
      </c>
      <c r="B647" t="s">
        <v>8221</v>
      </c>
    </row>
    <row r="648" spans="1:2">
      <c r="A648" t="s">
        <v>8222</v>
      </c>
      <c r="B648" t="s">
        <v>8223</v>
      </c>
    </row>
    <row r="649" spans="1:2">
      <c r="A649" t="s">
        <v>8224</v>
      </c>
      <c r="B649" t="s">
        <v>8225</v>
      </c>
    </row>
    <row r="650" spans="1:2">
      <c r="A650" t="s">
        <v>8226</v>
      </c>
      <c r="B650" t="s">
        <v>3083</v>
      </c>
    </row>
    <row r="651" spans="1:2">
      <c r="A651" t="s">
        <v>8227</v>
      </c>
      <c r="B651" t="s">
        <v>8228</v>
      </c>
    </row>
    <row r="652" spans="1:2">
      <c r="A652" t="s">
        <v>8227</v>
      </c>
      <c r="B652" t="s">
        <v>8229</v>
      </c>
    </row>
    <row r="653" spans="1:2">
      <c r="A653" t="s">
        <v>8230</v>
      </c>
      <c r="B653" t="s">
        <v>8231</v>
      </c>
    </row>
    <row r="654" spans="1:2">
      <c r="A654" t="s">
        <v>8230</v>
      </c>
      <c r="B654" t="s">
        <v>8231</v>
      </c>
    </row>
    <row r="655" spans="1:2">
      <c r="A655" t="s">
        <v>8232</v>
      </c>
      <c r="B655" t="s">
        <v>8233</v>
      </c>
    </row>
    <row r="656" spans="1:2">
      <c r="A656" t="s">
        <v>8232</v>
      </c>
      <c r="B656" t="s">
        <v>8233</v>
      </c>
    </row>
    <row r="657" spans="1:2">
      <c r="A657" t="s">
        <v>8234</v>
      </c>
      <c r="B657" t="s">
        <v>8235</v>
      </c>
    </row>
    <row r="658" spans="1:2">
      <c r="A658" t="s">
        <v>8234</v>
      </c>
      <c r="B658" t="s">
        <v>8235</v>
      </c>
    </row>
    <row r="659" spans="1:2">
      <c r="A659" t="s">
        <v>8236</v>
      </c>
      <c r="B659" t="s">
        <v>8237</v>
      </c>
    </row>
    <row r="660" spans="1:2">
      <c r="A660" t="s">
        <v>8236</v>
      </c>
      <c r="B660" t="s">
        <v>8238</v>
      </c>
    </row>
    <row r="661" spans="1:2">
      <c r="A661" t="s">
        <v>8239</v>
      </c>
      <c r="B661" t="s">
        <v>8240</v>
      </c>
    </row>
    <row r="662" spans="1:2">
      <c r="A662" t="s">
        <v>8239</v>
      </c>
      <c r="B662" t="s">
        <v>8240</v>
      </c>
    </row>
    <row r="663" spans="1:2">
      <c r="A663" t="s">
        <v>8241</v>
      </c>
      <c r="B663" t="s">
        <v>8242</v>
      </c>
    </row>
    <row r="664" spans="1:2">
      <c r="A664" t="s">
        <v>8241</v>
      </c>
      <c r="B664" t="s">
        <v>8243</v>
      </c>
    </row>
    <row r="665" spans="1:2">
      <c r="A665" t="s">
        <v>8244</v>
      </c>
      <c r="B665" t="s">
        <v>8245</v>
      </c>
    </row>
    <row r="666" spans="1:2">
      <c r="A666" t="s">
        <v>8244</v>
      </c>
      <c r="B666" t="s">
        <v>8246</v>
      </c>
    </row>
    <row r="667" spans="1:2">
      <c r="A667" t="s">
        <v>8247</v>
      </c>
      <c r="B667" t="s">
        <v>8248</v>
      </c>
    </row>
    <row r="668" spans="1:2">
      <c r="A668" t="s">
        <v>8247</v>
      </c>
      <c r="B668" t="s">
        <v>8249</v>
      </c>
    </row>
    <row r="669" spans="1:2">
      <c r="A669" t="s">
        <v>8250</v>
      </c>
      <c r="B669" t="s">
        <v>861</v>
      </c>
    </row>
    <row r="670" spans="1:2">
      <c r="A670" t="s">
        <v>8250</v>
      </c>
      <c r="B670" t="s">
        <v>861</v>
      </c>
    </row>
    <row r="671" spans="1:2">
      <c r="A671" t="s">
        <v>8251</v>
      </c>
      <c r="B671" t="s">
        <v>8252</v>
      </c>
    </row>
    <row r="672" spans="1:2">
      <c r="A672" t="s">
        <v>8251</v>
      </c>
      <c r="B672" t="s">
        <v>8253</v>
      </c>
    </row>
    <row r="673" spans="1:2">
      <c r="A673" t="s">
        <v>8254</v>
      </c>
      <c r="B673" t="s">
        <v>1857</v>
      </c>
    </row>
    <row r="674" spans="1:2">
      <c r="A674" t="s">
        <v>8254</v>
      </c>
      <c r="B674" t="s">
        <v>8255</v>
      </c>
    </row>
    <row r="675" spans="1:2">
      <c r="A675" t="s">
        <v>8256</v>
      </c>
      <c r="B675" t="s">
        <v>8257</v>
      </c>
    </row>
    <row r="676" spans="1:2">
      <c r="A676" t="s">
        <v>8256</v>
      </c>
      <c r="B676" t="s">
        <v>8257</v>
      </c>
    </row>
    <row r="677" spans="1:2">
      <c r="A677" t="s">
        <v>8258</v>
      </c>
      <c r="B677" t="s">
        <v>8259</v>
      </c>
    </row>
    <row r="678" spans="1:2">
      <c r="A678" t="s">
        <v>8260</v>
      </c>
      <c r="B678" t="s">
        <v>8261</v>
      </c>
    </row>
    <row r="679" spans="1:2">
      <c r="A679" t="s">
        <v>8262</v>
      </c>
      <c r="B679" t="s">
        <v>8263</v>
      </c>
    </row>
    <row r="680" spans="1:2">
      <c r="A680" t="s">
        <v>8264</v>
      </c>
      <c r="B680" t="s">
        <v>8265</v>
      </c>
    </row>
    <row r="681" spans="1:2">
      <c r="A681" t="s">
        <v>8266</v>
      </c>
      <c r="B681" t="s">
        <v>8267</v>
      </c>
    </row>
    <row r="682" spans="1:2">
      <c r="A682" t="s">
        <v>8268</v>
      </c>
      <c r="B682" t="s">
        <v>8269</v>
      </c>
    </row>
    <row r="683" spans="1:2">
      <c r="A683" t="s">
        <v>8270</v>
      </c>
      <c r="B683" t="s">
        <v>8271</v>
      </c>
    </row>
    <row r="684" spans="1:2">
      <c r="A684" t="s">
        <v>8272</v>
      </c>
      <c r="B684" t="s">
        <v>8273</v>
      </c>
    </row>
    <row r="685" spans="1:2">
      <c r="A685" t="s">
        <v>8274</v>
      </c>
      <c r="B685" t="s">
        <v>8275</v>
      </c>
    </row>
    <row r="686" spans="1:2">
      <c r="A686" t="s">
        <v>8276</v>
      </c>
      <c r="B686" t="s">
        <v>8277</v>
      </c>
    </row>
    <row r="687" spans="1:2">
      <c r="A687" t="s">
        <v>8278</v>
      </c>
      <c r="B687" t="s">
        <v>8279</v>
      </c>
    </row>
    <row r="688" spans="1:2">
      <c r="A688" t="s">
        <v>8280</v>
      </c>
      <c r="B688" t="s">
        <v>8281</v>
      </c>
    </row>
    <row r="689" spans="1:2">
      <c r="A689" t="s">
        <v>8282</v>
      </c>
      <c r="B689" t="s">
        <v>8283</v>
      </c>
    </row>
    <row r="690" spans="1:2">
      <c r="A690" t="s">
        <v>8284</v>
      </c>
      <c r="B690" t="s">
        <v>8285</v>
      </c>
    </row>
    <row r="691" spans="1:2">
      <c r="A691" t="s">
        <v>8286</v>
      </c>
      <c r="B691" t="s">
        <v>8287</v>
      </c>
    </row>
    <row r="692" spans="1:2">
      <c r="A692" t="s">
        <v>8288</v>
      </c>
      <c r="B692" t="s">
        <v>8289</v>
      </c>
    </row>
    <row r="693" spans="1:2">
      <c r="A693" t="s">
        <v>8290</v>
      </c>
      <c r="B693" t="s">
        <v>8291</v>
      </c>
    </row>
    <row r="694" spans="1:2">
      <c r="A694" t="s">
        <v>8292</v>
      </c>
      <c r="B694" t="s">
        <v>8293</v>
      </c>
    </row>
    <row r="695" spans="1:2">
      <c r="A695" t="s">
        <v>8294</v>
      </c>
      <c r="B695" t="s">
        <v>8295</v>
      </c>
    </row>
    <row r="696" spans="1:2">
      <c r="A696" t="s">
        <v>8296</v>
      </c>
      <c r="B696" t="s">
        <v>8297</v>
      </c>
    </row>
    <row r="697" spans="1:2">
      <c r="A697" t="s">
        <v>8298</v>
      </c>
      <c r="B697" t="s">
        <v>8299</v>
      </c>
    </row>
    <row r="698" spans="1:2">
      <c r="A698" t="s">
        <v>8300</v>
      </c>
      <c r="B698" t="s">
        <v>8301</v>
      </c>
    </row>
    <row r="699" spans="1:2">
      <c r="A699" t="s">
        <v>8302</v>
      </c>
      <c r="B699" t="s">
        <v>8303</v>
      </c>
    </row>
    <row r="700" spans="1:2">
      <c r="A700" t="s">
        <v>8304</v>
      </c>
      <c r="B700" t="s">
        <v>8305</v>
      </c>
    </row>
    <row r="701" spans="1:2">
      <c r="A701" t="s">
        <v>8306</v>
      </c>
      <c r="B701" t="s">
        <v>8307</v>
      </c>
    </row>
    <row r="702" spans="1:2">
      <c r="A702" t="s">
        <v>8308</v>
      </c>
      <c r="B702" t="s">
        <v>8309</v>
      </c>
    </row>
    <row r="703" spans="1:2">
      <c r="A703" t="s">
        <v>8310</v>
      </c>
      <c r="B703" t="s">
        <v>8311</v>
      </c>
    </row>
    <row r="704" spans="1:2">
      <c r="A704" t="s">
        <v>8310</v>
      </c>
      <c r="B704" t="s">
        <v>8312</v>
      </c>
    </row>
    <row r="705" spans="1:2">
      <c r="A705" t="s">
        <v>8313</v>
      </c>
      <c r="B705" t="s">
        <v>8314</v>
      </c>
    </row>
    <row r="706" spans="1:2">
      <c r="A706" t="s">
        <v>8313</v>
      </c>
      <c r="B706" t="s">
        <v>8315</v>
      </c>
    </row>
    <row r="707" spans="1:2">
      <c r="A707" t="s">
        <v>8316</v>
      </c>
      <c r="B707" t="s">
        <v>8317</v>
      </c>
    </row>
    <row r="708" spans="1:2">
      <c r="A708" t="s">
        <v>8316</v>
      </c>
      <c r="B708" t="s">
        <v>8318</v>
      </c>
    </row>
    <row r="709" spans="1:2">
      <c r="A709" t="s">
        <v>8319</v>
      </c>
      <c r="B709" t="s">
        <v>8320</v>
      </c>
    </row>
    <row r="710" spans="1:2">
      <c r="A710" t="s">
        <v>8319</v>
      </c>
      <c r="B710" t="s">
        <v>8321</v>
      </c>
    </row>
    <row r="711" spans="1:2">
      <c r="A711" t="s">
        <v>8322</v>
      </c>
      <c r="B711" t="s">
        <v>8323</v>
      </c>
    </row>
    <row r="712" spans="1:2">
      <c r="A712" t="s">
        <v>8322</v>
      </c>
      <c r="B712" t="s">
        <v>8324</v>
      </c>
    </row>
    <row r="713" spans="1:2">
      <c r="A713" t="s">
        <v>8325</v>
      </c>
      <c r="B713" t="s">
        <v>8326</v>
      </c>
    </row>
    <row r="714" spans="1:2">
      <c r="A714" t="s">
        <v>8325</v>
      </c>
      <c r="B714" t="s">
        <v>8327</v>
      </c>
    </row>
    <row r="715" spans="1:2">
      <c r="A715" t="s">
        <v>8328</v>
      </c>
      <c r="B715" t="s">
        <v>8329</v>
      </c>
    </row>
    <row r="716" spans="1:2">
      <c r="A716" t="s">
        <v>8328</v>
      </c>
      <c r="B716" t="s">
        <v>8330</v>
      </c>
    </row>
    <row r="717" spans="1:2">
      <c r="A717" t="s">
        <v>8331</v>
      </c>
      <c r="B717" t="s">
        <v>8332</v>
      </c>
    </row>
    <row r="718" spans="1:2">
      <c r="A718" t="s">
        <v>8331</v>
      </c>
      <c r="B718" t="s">
        <v>8333</v>
      </c>
    </row>
    <row r="719" spans="1:2">
      <c r="A719" t="s">
        <v>8334</v>
      </c>
      <c r="B719" t="s">
        <v>8335</v>
      </c>
    </row>
    <row r="720" spans="1:2">
      <c r="A720" t="s">
        <v>8334</v>
      </c>
      <c r="B720" t="s">
        <v>8336</v>
      </c>
    </row>
    <row r="721" spans="1:2">
      <c r="A721" t="s">
        <v>8337</v>
      </c>
      <c r="B721" t="s">
        <v>8338</v>
      </c>
    </row>
    <row r="722" spans="1:2">
      <c r="A722" t="s">
        <v>8337</v>
      </c>
      <c r="B722" t="s">
        <v>8339</v>
      </c>
    </row>
    <row r="723" spans="1:2">
      <c r="A723" t="s">
        <v>8340</v>
      </c>
      <c r="B723" t="s">
        <v>8341</v>
      </c>
    </row>
    <row r="724" spans="1:2">
      <c r="A724" t="s">
        <v>8340</v>
      </c>
      <c r="B724" t="s">
        <v>8342</v>
      </c>
    </row>
    <row r="725" spans="1:2">
      <c r="A725" t="s">
        <v>8343</v>
      </c>
      <c r="B725" t="s">
        <v>8344</v>
      </c>
    </row>
    <row r="726" spans="1:2">
      <c r="A726" t="s">
        <v>8343</v>
      </c>
      <c r="B726" t="s">
        <v>8345</v>
      </c>
    </row>
    <row r="727" spans="1:2">
      <c r="A727" t="s">
        <v>8346</v>
      </c>
      <c r="B727" t="s">
        <v>8347</v>
      </c>
    </row>
    <row r="728" spans="1:2">
      <c r="A728" t="s">
        <v>8346</v>
      </c>
      <c r="B728" t="s">
        <v>8348</v>
      </c>
    </row>
    <row r="729" spans="1:2">
      <c r="A729" t="s">
        <v>8349</v>
      </c>
      <c r="B729" t="s">
        <v>8350</v>
      </c>
    </row>
    <row r="730" spans="1:2">
      <c r="A730" t="s">
        <v>8349</v>
      </c>
      <c r="B730" t="s">
        <v>8351</v>
      </c>
    </row>
    <row r="731" spans="1:2">
      <c r="A731" t="s">
        <v>8352</v>
      </c>
      <c r="B731" t="s">
        <v>8353</v>
      </c>
    </row>
    <row r="732" spans="1:2">
      <c r="A732" t="s">
        <v>8352</v>
      </c>
      <c r="B732" t="s">
        <v>8354</v>
      </c>
    </row>
    <row r="733" spans="1:2">
      <c r="A733" t="s">
        <v>8355</v>
      </c>
      <c r="B733" t="s">
        <v>8356</v>
      </c>
    </row>
    <row r="734" spans="1:2">
      <c r="A734" t="s">
        <v>8355</v>
      </c>
      <c r="B734" t="s">
        <v>8356</v>
      </c>
    </row>
    <row r="735" spans="1:2">
      <c r="A735" t="s">
        <v>8357</v>
      </c>
      <c r="B735" t="s">
        <v>8358</v>
      </c>
    </row>
    <row r="736" spans="1:2">
      <c r="A736" t="s">
        <v>8357</v>
      </c>
      <c r="B736" t="s">
        <v>8359</v>
      </c>
    </row>
    <row r="737" spans="1:2">
      <c r="A737" t="s">
        <v>8360</v>
      </c>
      <c r="B737" t="s">
        <v>8361</v>
      </c>
    </row>
    <row r="738" spans="1:2">
      <c r="A738" t="s">
        <v>8362</v>
      </c>
      <c r="B738" t="s">
        <v>8363</v>
      </c>
    </row>
    <row r="739" spans="1:2">
      <c r="A739" t="s">
        <v>8364</v>
      </c>
      <c r="B739" t="s">
        <v>8314</v>
      </c>
    </row>
    <row r="740" spans="1:2">
      <c r="A740" t="s">
        <v>8365</v>
      </c>
      <c r="B740" t="s">
        <v>8366</v>
      </c>
    </row>
    <row r="741" spans="1:2">
      <c r="A741" t="s">
        <v>8367</v>
      </c>
      <c r="B741" t="s">
        <v>8368</v>
      </c>
    </row>
    <row r="742" spans="1:2">
      <c r="A742" t="s">
        <v>8369</v>
      </c>
      <c r="B742" t="s">
        <v>8370</v>
      </c>
    </row>
    <row r="743" spans="1:2">
      <c r="A743" t="s">
        <v>8371</v>
      </c>
      <c r="B743" t="s">
        <v>8372</v>
      </c>
    </row>
    <row r="744" spans="1:2">
      <c r="A744" t="s">
        <v>8373</v>
      </c>
      <c r="B744" t="s">
        <v>8374</v>
      </c>
    </row>
    <row r="745" spans="1:2">
      <c r="A745" t="s">
        <v>8375</v>
      </c>
      <c r="B745" t="s">
        <v>8376</v>
      </c>
    </row>
    <row r="746" spans="1:2">
      <c r="A746" t="s">
        <v>8377</v>
      </c>
      <c r="B746" t="s">
        <v>8378</v>
      </c>
    </row>
    <row r="747" spans="1:2">
      <c r="A747" t="s">
        <v>8379</v>
      </c>
      <c r="B747" t="s">
        <v>8380</v>
      </c>
    </row>
    <row r="748" spans="1:2">
      <c r="A748" t="s">
        <v>8381</v>
      </c>
      <c r="B748" t="s">
        <v>8382</v>
      </c>
    </row>
    <row r="749" spans="1:2">
      <c r="A749" t="s">
        <v>8383</v>
      </c>
      <c r="B749" t="s">
        <v>8384</v>
      </c>
    </row>
    <row r="750" spans="1:2">
      <c r="A750" t="s">
        <v>8385</v>
      </c>
      <c r="B750" t="s">
        <v>8386</v>
      </c>
    </row>
    <row r="751" spans="1:2">
      <c r="A751" t="s">
        <v>8387</v>
      </c>
      <c r="B751" t="s">
        <v>8388</v>
      </c>
    </row>
    <row r="752" spans="1:2">
      <c r="A752" t="s">
        <v>8389</v>
      </c>
      <c r="B752" t="s">
        <v>1329</v>
      </c>
    </row>
    <row r="753" spans="1:2">
      <c r="A753" t="s">
        <v>8389</v>
      </c>
      <c r="B753" t="s">
        <v>8390</v>
      </c>
    </row>
    <row r="754" spans="1:2">
      <c r="A754" t="s">
        <v>8391</v>
      </c>
      <c r="B754" t="s">
        <v>8392</v>
      </c>
    </row>
    <row r="755" spans="1:2">
      <c r="A755" t="s">
        <v>8393</v>
      </c>
      <c r="B755" t="s">
        <v>8394</v>
      </c>
    </row>
    <row r="756" spans="1:2">
      <c r="A756" t="s">
        <v>8395</v>
      </c>
      <c r="B756" t="s">
        <v>8396</v>
      </c>
    </row>
    <row r="757" spans="1:2">
      <c r="A757" t="s">
        <v>8395</v>
      </c>
      <c r="B757" t="s">
        <v>8397</v>
      </c>
    </row>
    <row r="758" spans="1:2">
      <c r="A758" t="s">
        <v>8398</v>
      </c>
      <c r="B758" t="s">
        <v>8399</v>
      </c>
    </row>
    <row r="759" spans="1:2">
      <c r="A759" t="s">
        <v>8400</v>
      </c>
      <c r="B759" t="s">
        <v>8401</v>
      </c>
    </row>
    <row r="760" spans="1:2">
      <c r="A760" t="s">
        <v>8402</v>
      </c>
      <c r="B760" t="s">
        <v>8403</v>
      </c>
    </row>
    <row r="761" spans="1:2">
      <c r="A761" t="s">
        <v>8402</v>
      </c>
      <c r="B761" t="s">
        <v>8404</v>
      </c>
    </row>
    <row r="762" spans="1:2">
      <c r="A762" t="s">
        <v>8402</v>
      </c>
      <c r="B762" t="s">
        <v>8405</v>
      </c>
    </row>
    <row r="763" spans="1:2">
      <c r="A763" t="s">
        <v>8402</v>
      </c>
      <c r="B763" t="s">
        <v>8406</v>
      </c>
    </row>
    <row r="764" spans="1:2">
      <c r="A764" t="s">
        <v>8407</v>
      </c>
      <c r="B764" t="s">
        <v>8408</v>
      </c>
    </row>
    <row r="765" spans="1:2">
      <c r="A765" t="s">
        <v>8409</v>
      </c>
      <c r="B765" t="s">
        <v>8410</v>
      </c>
    </row>
    <row r="766" spans="1:2">
      <c r="A766" t="s">
        <v>8411</v>
      </c>
      <c r="B766" t="s">
        <v>635</v>
      </c>
    </row>
    <row r="767" spans="1:2">
      <c r="A767" t="s">
        <v>8412</v>
      </c>
      <c r="B767" t="s">
        <v>8413</v>
      </c>
    </row>
    <row r="768" spans="1:2">
      <c r="A768" t="s">
        <v>8414</v>
      </c>
      <c r="B768" t="s">
        <v>8415</v>
      </c>
    </row>
    <row r="769" spans="1:2">
      <c r="A769" t="s">
        <v>8416</v>
      </c>
      <c r="B769" t="s">
        <v>8417</v>
      </c>
    </row>
    <row r="770" spans="1:2">
      <c r="A770" t="s">
        <v>8418</v>
      </c>
      <c r="B770" t="s">
        <v>8419</v>
      </c>
    </row>
    <row r="771" spans="1:2">
      <c r="A771" t="s">
        <v>8420</v>
      </c>
      <c r="B771" t="s">
        <v>8421</v>
      </c>
    </row>
    <row r="772" spans="1:2">
      <c r="A772" t="s">
        <v>8422</v>
      </c>
      <c r="B772" t="s">
        <v>8423</v>
      </c>
    </row>
    <row r="773" spans="1:2">
      <c r="A773" t="s">
        <v>8424</v>
      </c>
      <c r="B773" t="s">
        <v>8425</v>
      </c>
    </row>
    <row r="774" spans="1:2">
      <c r="A774" t="s">
        <v>8426</v>
      </c>
      <c r="B774" t="s">
        <v>445</v>
      </c>
    </row>
    <row r="775" spans="1:2">
      <c r="A775" t="s">
        <v>8427</v>
      </c>
      <c r="B775" t="s">
        <v>8428</v>
      </c>
    </row>
    <row r="776" spans="1:2">
      <c r="A776" t="s">
        <v>8429</v>
      </c>
      <c r="B776" t="s">
        <v>8430</v>
      </c>
    </row>
    <row r="777" spans="1:2">
      <c r="A777" t="s">
        <v>8431</v>
      </c>
      <c r="B777" t="s">
        <v>8432</v>
      </c>
    </row>
    <row r="778" spans="1:2">
      <c r="A778" t="s">
        <v>8431</v>
      </c>
      <c r="B778" t="s">
        <v>8433</v>
      </c>
    </row>
    <row r="779" spans="1:2">
      <c r="A779" t="s">
        <v>8434</v>
      </c>
      <c r="B779" t="s">
        <v>8435</v>
      </c>
    </row>
    <row r="780" spans="1:2">
      <c r="A780" t="s">
        <v>8436</v>
      </c>
      <c r="B780" t="s">
        <v>2820</v>
      </c>
    </row>
    <row r="781" spans="1:2">
      <c r="A781" t="s">
        <v>8437</v>
      </c>
      <c r="B781" t="s">
        <v>8438</v>
      </c>
    </row>
    <row r="782" spans="1:2">
      <c r="A782" t="s">
        <v>8439</v>
      </c>
      <c r="B782" t="s">
        <v>8440</v>
      </c>
    </row>
    <row r="783" spans="1:2">
      <c r="A783" t="s">
        <v>8441</v>
      </c>
      <c r="B783" t="s">
        <v>8442</v>
      </c>
    </row>
    <row r="784" spans="1:2">
      <c r="A784" t="s">
        <v>8443</v>
      </c>
      <c r="B784" t="s">
        <v>7743</v>
      </c>
    </row>
    <row r="785" spans="1:2">
      <c r="A785" t="s">
        <v>8444</v>
      </c>
      <c r="B785" t="s">
        <v>8445</v>
      </c>
    </row>
    <row r="786" spans="1:2">
      <c r="A786" t="s">
        <v>8446</v>
      </c>
      <c r="B786" t="s">
        <v>8447</v>
      </c>
    </row>
    <row r="787" spans="1:2">
      <c r="A787" t="s">
        <v>8448</v>
      </c>
      <c r="B787" t="s">
        <v>8449</v>
      </c>
    </row>
    <row r="788" spans="1:2">
      <c r="A788" t="s">
        <v>8450</v>
      </c>
      <c r="B788" t="s">
        <v>8451</v>
      </c>
    </row>
    <row r="789" spans="1:2">
      <c r="A789" t="s">
        <v>8452</v>
      </c>
      <c r="B789" t="s">
        <v>8453</v>
      </c>
    </row>
    <row r="790" spans="1:2">
      <c r="A790" t="s">
        <v>8454</v>
      </c>
      <c r="B790" t="s">
        <v>8455</v>
      </c>
    </row>
    <row r="791" spans="1:2">
      <c r="A791" t="s">
        <v>8456</v>
      </c>
      <c r="B791" t="s">
        <v>8457</v>
      </c>
    </row>
    <row r="792" spans="1:2">
      <c r="A792" t="s">
        <v>8458</v>
      </c>
      <c r="B792" t="s">
        <v>8459</v>
      </c>
    </row>
    <row r="793" spans="1:2">
      <c r="A793" t="s">
        <v>8460</v>
      </c>
      <c r="B793" t="s">
        <v>8461</v>
      </c>
    </row>
    <row r="794" spans="1:2">
      <c r="A794" t="s">
        <v>8462</v>
      </c>
      <c r="B794" t="s">
        <v>8463</v>
      </c>
    </row>
    <row r="795" spans="1:2">
      <c r="A795" t="s">
        <v>8464</v>
      </c>
      <c r="B795" t="s">
        <v>8465</v>
      </c>
    </row>
    <row r="796" spans="1:2">
      <c r="A796" t="s">
        <v>8466</v>
      </c>
      <c r="B796" t="s">
        <v>621</v>
      </c>
    </row>
    <row r="797" spans="1:2">
      <c r="A797" t="s">
        <v>8467</v>
      </c>
      <c r="B797" t="s">
        <v>8468</v>
      </c>
    </row>
    <row r="798" spans="1:2">
      <c r="A798" t="s">
        <v>8469</v>
      </c>
      <c r="B798" t="s">
        <v>8470</v>
      </c>
    </row>
    <row r="799" spans="1:2">
      <c r="A799" t="s">
        <v>8471</v>
      </c>
      <c r="B799" t="s">
        <v>8472</v>
      </c>
    </row>
    <row r="800" spans="1:2">
      <c r="A800" t="s">
        <v>8473</v>
      </c>
      <c r="B800" t="s">
        <v>8474</v>
      </c>
    </row>
    <row r="801" spans="1:2">
      <c r="A801" t="s">
        <v>8475</v>
      </c>
      <c r="B801" t="s">
        <v>8476</v>
      </c>
    </row>
    <row r="802" spans="1:2">
      <c r="A802" t="s">
        <v>8477</v>
      </c>
      <c r="B802" t="s">
        <v>8478</v>
      </c>
    </row>
    <row r="803" spans="1:2">
      <c r="A803" t="s">
        <v>8479</v>
      </c>
      <c r="B803" t="s">
        <v>8480</v>
      </c>
    </row>
    <row r="804" spans="1:2">
      <c r="A804" t="s">
        <v>8481</v>
      </c>
      <c r="B804" t="s">
        <v>8482</v>
      </c>
    </row>
    <row r="805" spans="1:2">
      <c r="A805" t="s">
        <v>8483</v>
      </c>
      <c r="B805" t="s">
        <v>8484</v>
      </c>
    </row>
    <row r="806" spans="1:2">
      <c r="A806" t="s">
        <v>8485</v>
      </c>
      <c r="B806" t="s">
        <v>8486</v>
      </c>
    </row>
    <row r="807" spans="1:2">
      <c r="A807" t="s">
        <v>8487</v>
      </c>
      <c r="B807" t="s">
        <v>8488</v>
      </c>
    </row>
    <row r="808" spans="1:2">
      <c r="A808" t="s">
        <v>8489</v>
      </c>
      <c r="B808" t="s">
        <v>8490</v>
      </c>
    </row>
    <row r="809" spans="1:2">
      <c r="A809" t="s">
        <v>8491</v>
      </c>
      <c r="B809" t="s">
        <v>8492</v>
      </c>
    </row>
    <row r="810" spans="1:2">
      <c r="A810" t="s">
        <v>8493</v>
      </c>
      <c r="B810" t="s">
        <v>8494</v>
      </c>
    </row>
    <row r="811" spans="1:2">
      <c r="A811" t="s">
        <v>8495</v>
      </c>
      <c r="B811" t="s">
        <v>8496</v>
      </c>
    </row>
    <row r="812" spans="1:2">
      <c r="A812" t="s">
        <v>8495</v>
      </c>
      <c r="B812" t="s">
        <v>8496</v>
      </c>
    </row>
    <row r="813" spans="1:2">
      <c r="A813" t="s">
        <v>8497</v>
      </c>
      <c r="B813" t="s">
        <v>7747</v>
      </c>
    </row>
    <row r="814" spans="1:2">
      <c r="A814" t="s">
        <v>8497</v>
      </c>
      <c r="B814" t="s">
        <v>7747</v>
      </c>
    </row>
    <row r="815" spans="1:2">
      <c r="A815" t="s">
        <v>8498</v>
      </c>
      <c r="B815" t="s">
        <v>8499</v>
      </c>
    </row>
    <row r="816" spans="1:2">
      <c r="A816" t="s">
        <v>8498</v>
      </c>
      <c r="B816" t="s">
        <v>8500</v>
      </c>
    </row>
    <row r="817" spans="1:2">
      <c r="A817" t="s">
        <v>8501</v>
      </c>
      <c r="B817" t="s">
        <v>8502</v>
      </c>
    </row>
    <row r="818" spans="1:2">
      <c r="A818" t="s">
        <v>8501</v>
      </c>
      <c r="B818" t="s">
        <v>7785</v>
      </c>
    </row>
    <row r="819" spans="1:2">
      <c r="A819" t="s">
        <v>8503</v>
      </c>
      <c r="B819" t="s">
        <v>7957</v>
      </c>
    </row>
    <row r="820" spans="1:2">
      <c r="A820" t="s">
        <v>8503</v>
      </c>
      <c r="B820" t="s">
        <v>7957</v>
      </c>
    </row>
    <row r="821" spans="1:2">
      <c r="A821" t="s">
        <v>8504</v>
      </c>
      <c r="B821" t="s">
        <v>8505</v>
      </c>
    </row>
    <row r="822" spans="1:2">
      <c r="A822" t="s">
        <v>8504</v>
      </c>
      <c r="B822" t="s">
        <v>7805</v>
      </c>
    </row>
    <row r="823" spans="1:2">
      <c r="A823" t="s">
        <v>8506</v>
      </c>
      <c r="B823" t="s">
        <v>8507</v>
      </c>
    </row>
    <row r="824" spans="1:2">
      <c r="A824" t="s">
        <v>8506</v>
      </c>
      <c r="B824" t="s">
        <v>8508</v>
      </c>
    </row>
    <row r="825" spans="1:2">
      <c r="A825" t="s">
        <v>8509</v>
      </c>
      <c r="B825" t="s">
        <v>8510</v>
      </c>
    </row>
    <row r="826" spans="1:2">
      <c r="A826" t="s">
        <v>8509</v>
      </c>
      <c r="B826" t="s">
        <v>8511</v>
      </c>
    </row>
    <row r="827" spans="1:2">
      <c r="A827" t="s">
        <v>8512</v>
      </c>
      <c r="B827" t="s">
        <v>8513</v>
      </c>
    </row>
    <row r="828" spans="1:2">
      <c r="A828" t="s">
        <v>8512</v>
      </c>
      <c r="B828" t="s">
        <v>8514</v>
      </c>
    </row>
    <row r="829" spans="1:2">
      <c r="A829" t="s">
        <v>8515</v>
      </c>
      <c r="B829" t="s">
        <v>8516</v>
      </c>
    </row>
    <row r="830" spans="1:2">
      <c r="A830" t="s">
        <v>8515</v>
      </c>
      <c r="B830" t="s">
        <v>7833</v>
      </c>
    </row>
    <row r="831" spans="1:2">
      <c r="A831" t="s">
        <v>8517</v>
      </c>
      <c r="B831" t="s">
        <v>2094</v>
      </c>
    </row>
    <row r="832" spans="1:2">
      <c r="A832" t="s">
        <v>8518</v>
      </c>
      <c r="B832" t="s">
        <v>958</v>
      </c>
    </row>
    <row r="833" spans="1:2">
      <c r="A833" t="s">
        <v>8519</v>
      </c>
      <c r="B833" t="s">
        <v>382</v>
      </c>
    </row>
    <row r="834" spans="1:2">
      <c r="A834" t="s">
        <v>8520</v>
      </c>
      <c r="B834" t="s">
        <v>2934</v>
      </c>
    </row>
    <row r="835" spans="1:2">
      <c r="A835" t="s">
        <v>8521</v>
      </c>
      <c r="B835" t="s">
        <v>8522</v>
      </c>
    </row>
    <row r="836" spans="1:2">
      <c r="A836" t="s">
        <v>8523</v>
      </c>
      <c r="B836" t="s">
        <v>554</v>
      </c>
    </row>
    <row r="837" spans="1:2">
      <c r="A837" t="s">
        <v>8524</v>
      </c>
      <c r="B837" t="s">
        <v>321</v>
      </c>
    </row>
    <row r="838" spans="1:2">
      <c r="A838" t="s">
        <v>8525</v>
      </c>
      <c r="B838" t="s">
        <v>8526</v>
      </c>
    </row>
    <row r="839" spans="1:2">
      <c r="A839" t="s">
        <v>8527</v>
      </c>
      <c r="B839" t="s">
        <v>8528</v>
      </c>
    </row>
    <row r="840" spans="1:2">
      <c r="A840" t="s">
        <v>8529</v>
      </c>
      <c r="B840" t="s">
        <v>8530</v>
      </c>
    </row>
    <row r="841" spans="1:2">
      <c r="A841" t="s">
        <v>8531</v>
      </c>
      <c r="B841" t="s">
        <v>709</v>
      </c>
    </row>
    <row r="842" spans="1:2">
      <c r="A842" t="s">
        <v>8532</v>
      </c>
      <c r="B842" t="s">
        <v>8533</v>
      </c>
    </row>
    <row r="843" spans="1:2">
      <c r="A843" t="s">
        <v>8534</v>
      </c>
      <c r="B843" t="s">
        <v>194</v>
      </c>
    </row>
    <row r="844" spans="1:2">
      <c r="A844" t="s">
        <v>8535</v>
      </c>
      <c r="B844" t="s">
        <v>771</v>
      </c>
    </row>
    <row r="845" spans="1:2">
      <c r="A845" t="s">
        <v>8536</v>
      </c>
      <c r="B845" t="s">
        <v>8537</v>
      </c>
    </row>
    <row r="846" spans="1:2">
      <c r="A846" t="s">
        <v>8538</v>
      </c>
      <c r="B846" t="s">
        <v>8539</v>
      </c>
    </row>
    <row r="847" spans="1:2">
      <c r="A847" t="s">
        <v>8540</v>
      </c>
      <c r="B847" t="s">
        <v>2243</v>
      </c>
    </row>
    <row r="848" spans="1:2">
      <c r="A848" t="s">
        <v>8541</v>
      </c>
      <c r="B848" t="s">
        <v>419</v>
      </c>
    </row>
    <row r="849" spans="1:2">
      <c r="A849" t="s">
        <v>8542</v>
      </c>
      <c r="B849" t="s">
        <v>8543</v>
      </c>
    </row>
    <row r="850" spans="1:2">
      <c r="A850" t="s">
        <v>8544</v>
      </c>
      <c r="B850" t="s">
        <v>8545</v>
      </c>
    </row>
    <row r="851" spans="1:2">
      <c r="A851" t="s">
        <v>8546</v>
      </c>
      <c r="B851" t="s">
        <v>8547</v>
      </c>
    </row>
    <row r="852" spans="1:2">
      <c r="A852" t="s">
        <v>8548</v>
      </c>
      <c r="B852" t="s">
        <v>1148</v>
      </c>
    </row>
    <row r="853" spans="1:2">
      <c r="A853" t="s">
        <v>8549</v>
      </c>
      <c r="B853" t="s">
        <v>427</v>
      </c>
    </row>
    <row r="854" spans="1:2">
      <c r="A854" t="s">
        <v>8550</v>
      </c>
      <c r="B854" t="s">
        <v>995</v>
      </c>
    </row>
    <row r="855" spans="1:2">
      <c r="A855" t="s">
        <v>8551</v>
      </c>
      <c r="B855" t="s">
        <v>1927</v>
      </c>
    </row>
    <row r="856" spans="1:2">
      <c r="A856" t="s">
        <v>8552</v>
      </c>
      <c r="B856" t="s">
        <v>1601</v>
      </c>
    </row>
    <row r="857" spans="1:2">
      <c r="A857" t="s">
        <v>8553</v>
      </c>
      <c r="B857" t="s">
        <v>8554</v>
      </c>
    </row>
    <row r="858" spans="1:2">
      <c r="A858" t="s">
        <v>8555</v>
      </c>
      <c r="B858" t="s">
        <v>8556</v>
      </c>
    </row>
    <row r="859" spans="1:2">
      <c r="A859" t="s">
        <v>8557</v>
      </c>
      <c r="B859" t="s">
        <v>8558</v>
      </c>
    </row>
    <row r="860" spans="1:2">
      <c r="A860" t="s">
        <v>8557</v>
      </c>
      <c r="B860" t="s">
        <v>8559</v>
      </c>
    </row>
    <row r="861" spans="1:2">
      <c r="A861" t="s">
        <v>8560</v>
      </c>
      <c r="B861" t="s">
        <v>8561</v>
      </c>
    </row>
    <row r="862" spans="1:2">
      <c r="A862" t="s">
        <v>8560</v>
      </c>
      <c r="B862" t="s">
        <v>8562</v>
      </c>
    </row>
    <row r="863" spans="1:2">
      <c r="A863" t="s">
        <v>8560</v>
      </c>
      <c r="B863" t="s">
        <v>8563</v>
      </c>
    </row>
    <row r="864" spans="1:2">
      <c r="A864" t="s">
        <v>8564</v>
      </c>
      <c r="B864" t="s">
        <v>8565</v>
      </c>
    </row>
    <row r="865" spans="1:2">
      <c r="A865" t="s">
        <v>8566</v>
      </c>
      <c r="B865" t="s">
        <v>8567</v>
      </c>
    </row>
    <row r="866" spans="1:2">
      <c r="A866" t="s">
        <v>8568</v>
      </c>
      <c r="B866" t="s">
        <v>8569</v>
      </c>
    </row>
    <row r="867" spans="1:2">
      <c r="A867" t="s">
        <v>8570</v>
      </c>
      <c r="B867" t="s">
        <v>8571</v>
      </c>
    </row>
    <row r="868" spans="1:2">
      <c r="A868" t="s">
        <v>8572</v>
      </c>
      <c r="B868" t="s">
        <v>1577</v>
      </c>
    </row>
    <row r="869" spans="1:2">
      <c r="A869" t="s">
        <v>8573</v>
      </c>
      <c r="B869" t="s">
        <v>533</v>
      </c>
    </row>
    <row r="870" spans="1:2">
      <c r="A870" t="s">
        <v>8574</v>
      </c>
      <c r="B870" t="s">
        <v>8575</v>
      </c>
    </row>
    <row r="871" spans="1:2">
      <c r="A871" t="s">
        <v>8576</v>
      </c>
      <c r="B871" t="s">
        <v>2957</v>
      </c>
    </row>
    <row r="872" spans="1:2">
      <c r="A872" t="s">
        <v>8577</v>
      </c>
      <c r="B872" t="s">
        <v>8578</v>
      </c>
    </row>
    <row r="873" spans="1:2">
      <c r="A873" t="s">
        <v>8579</v>
      </c>
      <c r="B873" t="s">
        <v>8580</v>
      </c>
    </row>
    <row r="874" spans="1:2">
      <c r="A874" t="s">
        <v>8581</v>
      </c>
      <c r="B874" t="s">
        <v>8582</v>
      </c>
    </row>
    <row r="875" spans="1:2">
      <c r="A875" t="s">
        <v>8583</v>
      </c>
      <c r="B875" t="s">
        <v>8584</v>
      </c>
    </row>
    <row r="876" spans="1:2">
      <c r="A876" t="s">
        <v>8585</v>
      </c>
      <c r="B876" t="s">
        <v>8586</v>
      </c>
    </row>
    <row r="877" spans="1:2">
      <c r="A877" t="s">
        <v>8587</v>
      </c>
      <c r="B877" t="s">
        <v>8588</v>
      </c>
    </row>
    <row r="878" spans="1:2">
      <c r="A878" t="s">
        <v>8589</v>
      </c>
      <c r="B878" t="s">
        <v>8590</v>
      </c>
    </row>
    <row r="879" spans="1:2">
      <c r="A879" t="s">
        <v>8591</v>
      </c>
      <c r="B879" t="s">
        <v>8592</v>
      </c>
    </row>
    <row r="880" spans="1:2">
      <c r="A880" t="s">
        <v>8593</v>
      </c>
      <c r="B880" t="s">
        <v>7352</v>
      </c>
    </row>
    <row r="881" spans="1:2">
      <c r="A881" t="s">
        <v>8594</v>
      </c>
      <c r="B881" t="s">
        <v>308</v>
      </c>
    </row>
    <row r="882" spans="1:2">
      <c r="A882" t="s">
        <v>8595</v>
      </c>
      <c r="B882" t="s">
        <v>8596</v>
      </c>
    </row>
    <row r="883" spans="1:2">
      <c r="A883" t="s">
        <v>8597</v>
      </c>
      <c r="B883" t="s">
        <v>8598</v>
      </c>
    </row>
    <row r="884" spans="1:2">
      <c r="A884" t="s">
        <v>8599</v>
      </c>
      <c r="B884" t="s">
        <v>8600</v>
      </c>
    </row>
    <row r="885" spans="1:2">
      <c r="A885" t="s">
        <v>8601</v>
      </c>
      <c r="B885" t="s">
        <v>8602</v>
      </c>
    </row>
    <row r="886" spans="1:2">
      <c r="A886" t="s">
        <v>8603</v>
      </c>
      <c r="B886" t="s">
        <v>8604</v>
      </c>
    </row>
    <row r="887" spans="1:2">
      <c r="A887" t="s">
        <v>8605</v>
      </c>
      <c r="B887" t="s">
        <v>8606</v>
      </c>
    </row>
    <row r="888" spans="1:2">
      <c r="A888" t="s">
        <v>8607</v>
      </c>
      <c r="B888" t="s">
        <v>8608</v>
      </c>
    </row>
    <row r="889" spans="1:2">
      <c r="A889" t="s">
        <v>8609</v>
      </c>
      <c r="B889" t="s">
        <v>8610</v>
      </c>
    </row>
    <row r="890" spans="1:2">
      <c r="A890" t="s">
        <v>8611</v>
      </c>
      <c r="B890" t="s">
        <v>8612</v>
      </c>
    </row>
    <row r="891" spans="1:2">
      <c r="A891" t="s">
        <v>8613</v>
      </c>
      <c r="B891" t="s">
        <v>8614</v>
      </c>
    </row>
    <row r="892" spans="1:2">
      <c r="A892" t="s">
        <v>8615</v>
      </c>
      <c r="B892" t="s">
        <v>8616</v>
      </c>
    </row>
    <row r="893" spans="1:2">
      <c r="A893" t="s">
        <v>8617</v>
      </c>
      <c r="B893" t="s">
        <v>8618</v>
      </c>
    </row>
    <row r="894" spans="1:2">
      <c r="A894" t="s">
        <v>8619</v>
      </c>
      <c r="B894" t="s">
        <v>8620</v>
      </c>
    </row>
    <row r="895" spans="1:2">
      <c r="A895" t="s">
        <v>8621</v>
      </c>
      <c r="B895" t="s">
        <v>8622</v>
      </c>
    </row>
    <row r="896" spans="1:2">
      <c r="A896" t="s">
        <v>8623</v>
      </c>
      <c r="B896" t="s">
        <v>8624</v>
      </c>
    </row>
    <row r="897" spans="1:2">
      <c r="A897" t="s">
        <v>8625</v>
      </c>
      <c r="B897" t="s">
        <v>8626</v>
      </c>
    </row>
    <row r="898" spans="1:2">
      <c r="A898" t="s">
        <v>8627</v>
      </c>
      <c r="B898" t="s">
        <v>8628</v>
      </c>
    </row>
    <row r="899" spans="1:2">
      <c r="A899" t="s">
        <v>8629</v>
      </c>
      <c r="B899" t="s">
        <v>8630</v>
      </c>
    </row>
    <row r="900" spans="1:2">
      <c r="A900" t="s">
        <v>8631</v>
      </c>
      <c r="B900" t="s">
        <v>8632</v>
      </c>
    </row>
    <row r="901" spans="1:2">
      <c r="A901" t="s">
        <v>8633</v>
      </c>
      <c r="B901" t="s">
        <v>8634</v>
      </c>
    </row>
    <row r="902" spans="1:2">
      <c r="A902" t="s">
        <v>8635</v>
      </c>
      <c r="B902" t="s">
        <v>8636</v>
      </c>
    </row>
    <row r="903" spans="1:2">
      <c r="A903" t="s">
        <v>8637</v>
      </c>
      <c r="B903" t="s">
        <v>8638</v>
      </c>
    </row>
    <row r="904" spans="1:2">
      <c r="A904" t="s">
        <v>8639</v>
      </c>
      <c r="B904" t="s">
        <v>8640</v>
      </c>
    </row>
    <row r="905" spans="1:2">
      <c r="A905" t="s">
        <v>8641</v>
      </c>
      <c r="B905" t="s">
        <v>8642</v>
      </c>
    </row>
    <row r="906" spans="1:2">
      <c r="A906" t="s">
        <v>8643</v>
      </c>
      <c r="B906" t="s">
        <v>8644</v>
      </c>
    </row>
    <row r="907" spans="1:2">
      <c r="A907" t="s">
        <v>8645</v>
      </c>
      <c r="B907" t="s">
        <v>8646</v>
      </c>
    </row>
    <row r="908" spans="1:2">
      <c r="A908" t="s">
        <v>8647</v>
      </c>
      <c r="B908" t="s">
        <v>8648</v>
      </c>
    </row>
    <row r="909" spans="1:2">
      <c r="A909" t="s">
        <v>8649</v>
      </c>
      <c r="B909" t="s">
        <v>8650</v>
      </c>
    </row>
    <row r="910" spans="1:2">
      <c r="A910" t="s">
        <v>8651</v>
      </c>
      <c r="B910" t="s">
        <v>8652</v>
      </c>
    </row>
    <row r="911" spans="1:2">
      <c r="A911" t="s">
        <v>8653</v>
      </c>
      <c r="B911" t="s">
        <v>8654</v>
      </c>
    </row>
    <row r="912" spans="1:2">
      <c r="A912" t="s">
        <v>8655</v>
      </c>
      <c r="B912" t="s">
        <v>8656</v>
      </c>
    </row>
    <row r="913" spans="1:2">
      <c r="A913" t="s">
        <v>8657</v>
      </c>
      <c r="B913" t="s">
        <v>8658</v>
      </c>
    </row>
    <row r="914" spans="1:2">
      <c r="A914" t="s">
        <v>8659</v>
      </c>
      <c r="B914" t="s">
        <v>8660</v>
      </c>
    </row>
    <row r="915" spans="1:2">
      <c r="A915" t="s">
        <v>8661</v>
      </c>
      <c r="B915" t="s">
        <v>8662</v>
      </c>
    </row>
    <row r="916" spans="1:2">
      <c r="A916" t="s">
        <v>8663</v>
      </c>
      <c r="B916" t="s">
        <v>8664</v>
      </c>
    </row>
    <row r="917" spans="1:2">
      <c r="A917" t="s">
        <v>8665</v>
      </c>
      <c r="B917" t="s">
        <v>8666</v>
      </c>
    </row>
    <row r="918" spans="1:2">
      <c r="A918" t="s">
        <v>8667</v>
      </c>
      <c r="B918" t="s">
        <v>8668</v>
      </c>
    </row>
    <row r="919" spans="1:2">
      <c r="A919" t="s">
        <v>8669</v>
      </c>
      <c r="B919" t="s">
        <v>8670</v>
      </c>
    </row>
    <row r="920" spans="1:2">
      <c r="A920" t="s">
        <v>8671</v>
      </c>
      <c r="B920" t="s">
        <v>8672</v>
      </c>
    </row>
    <row r="921" spans="1:2">
      <c r="A921" t="s">
        <v>8673</v>
      </c>
      <c r="B921" t="s">
        <v>8674</v>
      </c>
    </row>
    <row r="922" spans="1:2">
      <c r="A922" t="s">
        <v>8675</v>
      </c>
      <c r="B922" t="s">
        <v>8676</v>
      </c>
    </row>
    <row r="923" spans="1:2">
      <c r="A923" t="s">
        <v>8677</v>
      </c>
      <c r="B923" t="s">
        <v>8678</v>
      </c>
    </row>
    <row r="924" spans="1:2">
      <c r="A924" t="s">
        <v>8679</v>
      </c>
      <c r="B924" t="s">
        <v>8680</v>
      </c>
    </row>
    <row r="925" spans="1:2">
      <c r="A925" t="s">
        <v>8681</v>
      </c>
      <c r="B925" t="s">
        <v>8682</v>
      </c>
    </row>
    <row r="926" spans="1:2">
      <c r="A926" t="s">
        <v>8683</v>
      </c>
      <c r="B926" t="s">
        <v>8684</v>
      </c>
    </row>
    <row r="927" spans="1:2">
      <c r="A927" t="s">
        <v>8685</v>
      </c>
      <c r="B927" t="s">
        <v>8686</v>
      </c>
    </row>
    <row r="928" spans="1:2">
      <c r="A928" t="s">
        <v>8687</v>
      </c>
      <c r="B928" t="s">
        <v>8688</v>
      </c>
    </row>
    <row r="929" spans="1:2">
      <c r="A929" t="s">
        <v>8689</v>
      </c>
      <c r="B929" t="s">
        <v>8690</v>
      </c>
    </row>
    <row r="930" spans="1:2">
      <c r="A930" t="s">
        <v>8691</v>
      </c>
      <c r="B930" t="s">
        <v>8692</v>
      </c>
    </row>
    <row r="931" spans="1:2">
      <c r="A931" t="s">
        <v>8693</v>
      </c>
      <c r="B931" t="s">
        <v>8694</v>
      </c>
    </row>
    <row r="932" spans="1:2">
      <c r="A932" t="s">
        <v>8695</v>
      </c>
      <c r="B932" t="s">
        <v>8696</v>
      </c>
    </row>
    <row r="933" spans="1:2">
      <c r="A933" t="s">
        <v>8697</v>
      </c>
      <c r="B933" t="s">
        <v>8698</v>
      </c>
    </row>
    <row r="934" spans="1:2">
      <c r="A934" t="s">
        <v>8699</v>
      </c>
      <c r="B934" t="s">
        <v>8700</v>
      </c>
    </row>
    <row r="935" spans="1:2">
      <c r="A935" t="s">
        <v>8701</v>
      </c>
      <c r="B935" t="s">
        <v>1431</v>
      </c>
    </row>
    <row r="936" spans="1:2">
      <c r="A936" t="s">
        <v>8702</v>
      </c>
      <c r="B936" t="s">
        <v>8703</v>
      </c>
    </row>
    <row r="937" spans="1:2">
      <c r="A937" t="s">
        <v>8704</v>
      </c>
      <c r="B937" t="s">
        <v>7356</v>
      </c>
    </row>
    <row r="938" spans="1:2">
      <c r="A938" t="s">
        <v>8705</v>
      </c>
      <c r="B938" t="s">
        <v>8706</v>
      </c>
    </row>
    <row r="939" spans="1:2">
      <c r="A939" t="s">
        <v>8707</v>
      </c>
      <c r="B939" t="s">
        <v>8708</v>
      </c>
    </row>
    <row r="940" spans="1:2">
      <c r="A940" t="s">
        <v>8709</v>
      </c>
      <c r="B940" t="s">
        <v>8710</v>
      </c>
    </row>
    <row r="941" spans="1:2">
      <c r="A941" t="s">
        <v>8711</v>
      </c>
      <c r="B941" t="s">
        <v>8712</v>
      </c>
    </row>
    <row r="942" spans="1:2">
      <c r="A942" t="s">
        <v>8713</v>
      </c>
      <c r="B942" t="s">
        <v>8714</v>
      </c>
    </row>
    <row r="943" spans="1:2">
      <c r="A943" t="s">
        <v>8715</v>
      </c>
      <c r="B943" t="s">
        <v>8716</v>
      </c>
    </row>
    <row r="944" spans="1:2">
      <c r="A944" t="s">
        <v>8717</v>
      </c>
      <c r="B944" t="s">
        <v>8718</v>
      </c>
    </row>
    <row r="945" spans="1:2">
      <c r="A945" t="s">
        <v>8719</v>
      </c>
      <c r="B945" t="s">
        <v>8720</v>
      </c>
    </row>
    <row r="946" spans="1:2">
      <c r="A946" t="s">
        <v>8721</v>
      </c>
      <c r="B946" t="s">
        <v>8722</v>
      </c>
    </row>
    <row r="947" spans="1:2">
      <c r="A947" t="s">
        <v>8723</v>
      </c>
      <c r="B947" t="s">
        <v>8724</v>
      </c>
    </row>
    <row r="948" spans="1:2">
      <c r="A948" t="s">
        <v>8725</v>
      </c>
      <c r="B948" t="s">
        <v>8726</v>
      </c>
    </row>
    <row r="949" spans="1:2">
      <c r="A949" t="s">
        <v>8725</v>
      </c>
      <c r="B949" t="s">
        <v>8727</v>
      </c>
    </row>
    <row r="950" spans="1:2">
      <c r="A950" t="s">
        <v>8728</v>
      </c>
      <c r="B950" t="s">
        <v>8729</v>
      </c>
    </row>
    <row r="951" spans="1:2">
      <c r="A951" t="s">
        <v>8728</v>
      </c>
      <c r="B951" t="s">
        <v>8730</v>
      </c>
    </row>
    <row r="952" spans="1:2">
      <c r="A952" t="s">
        <v>8731</v>
      </c>
      <c r="B952" t="s">
        <v>8732</v>
      </c>
    </row>
    <row r="953" spans="1:2">
      <c r="A953" t="s">
        <v>8731</v>
      </c>
      <c r="B953" t="s">
        <v>8732</v>
      </c>
    </row>
    <row r="954" spans="1:2">
      <c r="A954" t="s">
        <v>8733</v>
      </c>
      <c r="B954" t="s">
        <v>8734</v>
      </c>
    </row>
    <row r="955" spans="1:2">
      <c r="A955" t="s">
        <v>8733</v>
      </c>
      <c r="B955" t="s">
        <v>8735</v>
      </c>
    </row>
    <row r="956" spans="1:2">
      <c r="A956" t="s">
        <v>8736</v>
      </c>
      <c r="B956" t="s">
        <v>8737</v>
      </c>
    </row>
    <row r="957" spans="1:2">
      <c r="A957" t="s">
        <v>8736</v>
      </c>
      <c r="B957" t="s">
        <v>8738</v>
      </c>
    </row>
    <row r="958" spans="1:2">
      <c r="A958" t="s">
        <v>8739</v>
      </c>
      <c r="B958" t="s">
        <v>8740</v>
      </c>
    </row>
    <row r="959" spans="1:2">
      <c r="A959" t="s">
        <v>8739</v>
      </c>
      <c r="B959" t="s">
        <v>8741</v>
      </c>
    </row>
    <row r="960" spans="1:2">
      <c r="A960" t="s">
        <v>8742</v>
      </c>
      <c r="B960" t="s">
        <v>8743</v>
      </c>
    </row>
    <row r="961" spans="1:2">
      <c r="A961" t="s">
        <v>8744</v>
      </c>
      <c r="B961" t="s">
        <v>8745</v>
      </c>
    </row>
    <row r="962" spans="1:2">
      <c r="A962" t="s">
        <v>8746</v>
      </c>
      <c r="B962" t="s">
        <v>8747</v>
      </c>
    </row>
    <row r="963" spans="1:2">
      <c r="A963" t="s">
        <v>8748</v>
      </c>
      <c r="B963" t="s">
        <v>8749</v>
      </c>
    </row>
    <row r="964" spans="1:2">
      <c r="A964" t="s">
        <v>8750</v>
      </c>
      <c r="B964" t="s">
        <v>8751</v>
      </c>
    </row>
    <row r="965" spans="1:2">
      <c r="A965" t="s">
        <v>8752</v>
      </c>
      <c r="B965" t="s">
        <v>8753</v>
      </c>
    </row>
    <row r="966" spans="1:2">
      <c r="A966" t="s">
        <v>8754</v>
      </c>
      <c r="B966" t="s">
        <v>8755</v>
      </c>
    </row>
    <row r="967" spans="1:2">
      <c r="A967" t="s">
        <v>8756</v>
      </c>
      <c r="B967" t="s">
        <v>8757</v>
      </c>
    </row>
    <row r="968" spans="1:2">
      <c r="A968" t="s">
        <v>8758</v>
      </c>
      <c r="B968" t="s">
        <v>8759</v>
      </c>
    </row>
    <row r="969" spans="1:2">
      <c r="A969" t="s">
        <v>8760</v>
      </c>
      <c r="B969" t="s">
        <v>8761</v>
      </c>
    </row>
    <row r="970" spans="1:2">
      <c r="A970" t="s">
        <v>8762</v>
      </c>
      <c r="B970" t="s">
        <v>2218</v>
      </c>
    </row>
    <row r="971" spans="1:2">
      <c r="A971" t="s">
        <v>8763</v>
      </c>
      <c r="B971" t="s">
        <v>8764</v>
      </c>
    </row>
    <row r="972" spans="1:2">
      <c r="A972" t="s">
        <v>8765</v>
      </c>
      <c r="B972" t="s">
        <v>8766</v>
      </c>
    </row>
    <row r="973" spans="1:2">
      <c r="A973" t="s">
        <v>8767</v>
      </c>
      <c r="B973" t="s">
        <v>8768</v>
      </c>
    </row>
    <row r="974" spans="1:2">
      <c r="A974" t="s">
        <v>8769</v>
      </c>
      <c r="B974" t="s">
        <v>8770</v>
      </c>
    </row>
    <row r="975" spans="1:2">
      <c r="A975" t="s">
        <v>8771</v>
      </c>
      <c r="B975" t="s">
        <v>8772</v>
      </c>
    </row>
    <row r="976" spans="1:2">
      <c r="A976" t="s">
        <v>8773</v>
      </c>
      <c r="B976" t="s">
        <v>8774</v>
      </c>
    </row>
    <row r="977" spans="1:2">
      <c r="A977" t="s">
        <v>8775</v>
      </c>
      <c r="B977" t="s">
        <v>8776</v>
      </c>
    </row>
    <row r="978" spans="1:2">
      <c r="A978" t="s">
        <v>8777</v>
      </c>
      <c r="B978" t="s">
        <v>8778</v>
      </c>
    </row>
    <row r="979" spans="1:2">
      <c r="A979" t="s">
        <v>8779</v>
      </c>
      <c r="B979" t="s">
        <v>8780</v>
      </c>
    </row>
    <row r="980" spans="1:2">
      <c r="A980" t="s">
        <v>8781</v>
      </c>
      <c r="B980" t="s">
        <v>8782</v>
      </c>
    </row>
    <row r="981" spans="1:2">
      <c r="A981" t="s">
        <v>8783</v>
      </c>
      <c r="B981" t="s">
        <v>8784</v>
      </c>
    </row>
    <row r="982" spans="1:2">
      <c r="A982" t="s">
        <v>8785</v>
      </c>
      <c r="B982" t="s">
        <v>8786</v>
      </c>
    </row>
    <row r="983" spans="1:2">
      <c r="A983" t="s">
        <v>8787</v>
      </c>
      <c r="B983" t="s">
        <v>8788</v>
      </c>
    </row>
    <row r="984" spans="1:2">
      <c r="A984" t="s">
        <v>8789</v>
      </c>
      <c r="B984" t="s">
        <v>8790</v>
      </c>
    </row>
    <row r="985" spans="1:2">
      <c r="A985" t="s">
        <v>8791</v>
      </c>
      <c r="B985" t="s">
        <v>8792</v>
      </c>
    </row>
    <row r="986" spans="1:2">
      <c r="A986" t="s">
        <v>8793</v>
      </c>
      <c r="B986" t="s">
        <v>8794</v>
      </c>
    </row>
    <row r="987" spans="1:2">
      <c r="A987" t="s">
        <v>8795</v>
      </c>
      <c r="B987" t="s">
        <v>8796</v>
      </c>
    </row>
    <row r="988" spans="1:2">
      <c r="A988" t="s">
        <v>8797</v>
      </c>
      <c r="B988" t="s">
        <v>8798</v>
      </c>
    </row>
    <row r="989" spans="1:2">
      <c r="A989" t="s">
        <v>8799</v>
      </c>
      <c r="B989" t="s">
        <v>8800</v>
      </c>
    </row>
    <row r="990" spans="1:2">
      <c r="A990" t="s">
        <v>8801</v>
      </c>
      <c r="B990" t="s">
        <v>8802</v>
      </c>
    </row>
    <row r="991" spans="1:2">
      <c r="A991" t="s">
        <v>8803</v>
      </c>
      <c r="B991" t="s">
        <v>8804</v>
      </c>
    </row>
    <row r="992" spans="1:2">
      <c r="A992" t="s">
        <v>8805</v>
      </c>
      <c r="B992" t="s">
        <v>8806</v>
      </c>
    </row>
    <row r="993" spans="1:2">
      <c r="A993" t="s">
        <v>8807</v>
      </c>
      <c r="B993" t="s">
        <v>8808</v>
      </c>
    </row>
    <row r="994" spans="1:2">
      <c r="A994" t="s">
        <v>8809</v>
      </c>
      <c r="B994" t="s">
        <v>8810</v>
      </c>
    </row>
    <row r="995" spans="1:2">
      <c r="A995" t="s">
        <v>8811</v>
      </c>
      <c r="B995" t="s">
        <v>8812</v>
      </c>
    </row>
    <row r="996" spans="1:2">
      <c r="A996" t="s">
        <v>8813</v>
      </c>
      <c r="B996" t="s">
        <v>8814</v>
      </c>
    </row>
    <row r="997" spans="1:2">
      <c r="A997" t="s">
        <v>8815</v>
      </c>
      <c r="B997" t="s">
        <v>8816</v>
      </c>
    </row>
    <row r="998" spans="1:2">
      <c r="A998" t="s">
        <v>8817</v>
      </c>
      <c r="B998" t="s">
        <v>8818</v>
      </c>
    </row>
    <row r="999" spans="1:2">
      <c r="A999" t="s">
        <v>8819</v>
      </c>
      <c r="B999" t="s">
        <v>8820</v>
      </c>
    </row>
    <row r="1000" spans="1:2">
      <c r="A1000" t="s">
        <v>8821</v>
      </c>
      <c r="B1000" t="s">
        <v>8822</v>
      </c>
    </row>
    <row r="1001" spans="1:2">
      <c r="A1001" t="s">
        <v>8823</v>
      </c>
      <c r="B1001" t="s">
        <v>8824</v>
      </c>
    </row>
    <row r="1002" spans="1:2">
      <c r="A1002" t="s">
        <v>8825</v>
      </c>
      <c r="B1002" t="s">
        <v>8826</v>
      </c>
    </row>
    <row r="1003" spans="1:2">
      <c r="A1003" t="s">
        <v>8827</v>
      </c>
      <c r="B1003" t="s">
        <v>8828</v>
      </c>
    </row>
    <row r="1004" spans="1:2">
      <c r="A1004" t="s">
        <v>8829</v>
      </c>
      <c r="B1004" t="s">
        <v>8830</v>
      </c>
    </row>
    <row r="1005" spans="1:2">
      <c r="A1005" t="s">
        <v>8831</v>
      </c>
      <c r="B1005" t="s">
        <v>8832</v>
      </c>
    </row>
    <row r="1006" spans="1:2">
      <c r="A1006" t="s">
        <v>8833</v>
      </c>
      <c r="B1006" t="s">
        <v>8834</v>
      </c>
    </row>
    <row r="1007" spans="1:2">
      <c r="A1007" t="s">
        <v>8835</v>
      </c>
      <c r="B1007" t="s">
        <v>8836</v>
      </c>
    </row>
    <row r="1008" spans="1:2">
      <c r="A1008" t="s">
        <v>8837</v>
      </c>
      <c r="B1008" t="s">
        <v>8838</v>
      </c>
    </row>
    <row r="1009" spans="1:2">
      <c r="A1009" t="s">
        <v>8839</v>
      </c>
      <c r="B1009" t="s">
        <v>8840</v>
      </c>
    </row>
    <row r="1010" spans="1:2">
      <c r="A1010" t="s">
        <v>8841</v>
      </c>
      <c r="B1010" t="s">
        <v>8842</v>
      </c>
    </row>
    <row r="1011" spans="1:2">
      <c r="A1011" t="s">
        <v>8843</v>
      </c>
      <c r="B1011" t="s">
        <v>8844</v>
      </c>
    </row>
    <row r="1012" spans="1:2">
      <c r="A1012" t="s">
        <v>8845</v>
      </c>
      <c r="B1012" t="s">
        <v>8846</v>
      </c>
    </row>
    <row r="1013" spans="1:2">
      <c r="A1013" t="s">
        <v>8847</v>
      </c>
      <c r="B1013" t="s">
        <v>8848</v>
      </c>
    </row>
    <row r="1014" spans="1:2">
      <c r="A1014" t="s">
        <v>8849</v>
      </c>
      <c r="B1014" t="s">
        <v>8850</v>
      </c>
    </row>
    <row r="1015" spans="1:2">
      <c r="A1015" t="s">
        <v>8851</v>
      </c>
      <c r="B1015" t="s">
        <v>8852</v>
      </c>
    </row>
    <row r="1016" spans="1:2">
      <c r="A1016" t="s">
        <v>8853</v>
      </c>
      <c r="B1016" t="s">
        <v>8854</v>
      </c>
    </row>
    <row r="1017" spans="1:2">
      <c r="A1017" t="s">
        <v>8855</v>
      </c>
      <c r="B1017" t="s">
        <v>8856</v>
      </c>
    </row>
    <row r="1018" spans="1:2">
      <c r="A1018" t="s">
        <v>8857</v>
      </c>
      <c r="B1018" t="s">
        <v>8858</v>
      </c>
    </row>
    <row r="1019" spans="1:2">
      <c r="A1019" t="s">
        <v>8859</v>
      </c>
      <c r="B1019" t="s">
        <v>8860</v>
      </c>
    </row>
    <row r="1020" spans="1:2">
      <c r="A1020" t="s">
        <v>8861</v>
      </c>
      <c r="B1020" t="s">
        <v>8862</v>
      </c>
    </row>
    <row r="1021" spans="1:2">
      <c r="A1021" t="s">
        <v>8863</v>
      </c>
      <c r="B1021" t="s">
        <v>8864</v>
      </c>
    </row>
    <row r="1022" spans="1:2">
      <c r="A1022" t="s">
        <v>8865</v>
      </c>
      <c r="B1022" t="s">
        <v>8866</v>
      </c>
    </row>
    <row r="1023" spans="1:2">
      <c r="A1023" t="s">
        <v>8867</v>
      </c>
      <c r="B1023" t="s">
        <v>8868</v>
      </c>
    </row>
    <row r="1024" spans="1:2">
      <c r="A1024" t="s">
        <v>8869</v>
      </c>
      <c r="B1024" t="s">
        <v>8870</v>
      </c>
    </row>
    <row r="1025" spans="1:2">
      <c r="A1025" t="s">
        <v>8871</v>
      </c>
      <c r="B1025" t="s">
        <v>8872</v>
      </c>
    </row>
    <row r="1026" spans="1:2">
      <c r="A1026" t="s">
        <v>8873</v>
      </c>
      <c r="B1026" t="s">
        <v>8874</v>
      </c>
    </row>
    <row r="1027" spans="1:2">
      <c r="A1027" t="s">
        <v>8875</v>
      </c>
      <c r="B1027" t="s">
        <v>8876</v>
      </c>
    </row>
    <row r="1028" spans="1:2">
      <c r="A1028" t="s">
        <v>8877</v>
      </c>
      <c r="B1028" t="s">
        <v>8878</v>
      </c>
    </row>
    <row r="1029" spans="1:2">
      <c r="A1029" t="s">
        <v>8879</v>
      </c>
      <c r="B1029" t="s">
        <v>8880</v>
      </c>
    </row>
    <row r="1030" spans="1:2">
      <c r="A1030" t="s">
        <v>8881</v>
      </c>
      <c r="B1030" t="s">
        <v>8882</v>
      </c>
    </row>
    <row r="1031" spans="1:2">
      <c r="A1031" t="s">
        <v>8883</v>
      </c>
      <c r="B1031" t="s">
        <v>8884</v>
      </c>
    </row>
    <row r="1032" spans="1:2">
      <c r="A1032" t="s">
        <v>8885</v>
      </c>
      <c r="B1032" t="s">
        <v>8886</v>
      </c>
    </row>
    <row r="1033" spans="1:2">
      <c r="A1033" t="s">
        <v>8887</v>
      </c>
      <c r="B1033" t="s">
        <v>8888</v>
      </c>
    </row>
    <row r="1034" spans="1:2">
      <c r="A1034" t="s">
        <v>8889</v>
      </c>
      <c r="B1034" t="s">
        <v>8890</v>
      </c>
    </row>
    <row r="1035" spans="1:2">
      <c r="A1035" t="s">
        <v>8891</v>
      </c>
      <c r="B1035" t="s">
        <v>8892</v>
      </c>
    </row>
    <row r="1036" spans="1:2">
      <c r="A1036" t="s">
        <v>8893</v>
      </c>
      <c r="B1036" t="s">
        <v>8894</v>
      </c>
    </row>
    <row r="1037" spans="1:2">
      <c r="A1037" t="s">
        <v>8895</v>
      </c>
      <c r="B1037" t="s">
        <v>8896</v>
      </c>
    </row>
    <row r="1038" spans="1:2">
      <c r="A1038" t="s">
        <v>8897</v>
      </c>
      <c r="B1038" t="s">
        <v>8898</v>
      </c>
    </row>
    <row r="1039" spans="1:2">
      <c r="A1039" t="s">
        <v>8899</v>
      </c>
      <c r="B1039" t="s">
        <v>8900</v>
      </c>
    </row>
    <row r="1040" spans="1:2">
      <c r="A1040" t="s">
        <v>8901</v>
      </c>
      <c r="B1040" t="s">
        <v>8902</v>
      </c>
    </row>
    <row r="1041" spans="1:2">
      <c r="A1041" t="s">
        <v>8903</v>
      </c>
      <c r="B1041" t="s">
        <v>8904</v>
      </c>
    </row>
    <row r="1042" spans="1:2">
      <c r="A1042" t="s">
        <v>8905</v>
      </c>
      <c r="B1042" t="s">
        <v>8906</v>
      </c>
    </row>
    <row r="1043" spans="1:2">
      <c r="A1043" t="s">
        <v>8907</v>
      </c>
      <c r="B1043" t="s">
        <v>8908</v>
      </c>
    </row>
    <row r="1044" spans="1:2">
      <c r="A1044" t="s">
        <v>8909</v>
      </c>
      <c r="B1044" t="s">
        <v>8910</v>
      </c>
    </row>
    <row r="1045" spans="1:2">
      <c r="A1045" t="s">
        <v>8911</v>
      </c>
      <c r="B1045" t="s">
        <v>8912</v>
      </c>
    </row>
    <row r="1046" spans="1:2">
      <c r="A1046" t="s">
        <v>8913</v>
      </c>
      <c r="B1046" t="s">
        <v>8914</v>
      </c>
    </row>
    <row r="1047" spans="1:2">
      <c r="A1047" t="s">
        <v>8915</v>
      </c>
      <c r="B1047" t="s">
        <v>8916</v>
      </c>
    </row>
    <row r="1048" spans="1:2">
      <c r="A1048" t="s">
        <v>8917</v>
      </c>
      <c r="B1048" t="s">
        <v>8918</v>
      </c>
    </row>
    <row r="1049" spans="1:2">
      <c r="A1049" t="s">
        <v>8919</v>
      </c>
      <c r="B1049" t="s">
        <v>8920</v>
      </c>
    </row>
    <row r="1050" spans="1:2">
      <c r="A1050" t="s">
        <v>8921</v>
      </c>
      <c r="B1050" t="s">
        <v>8922</v>
      </c>
    </row>
    <row r="1051" spans="1:2">
      <c r="A1051" t="s">
        <v>8923</v>
      </c>
      <c r="B1051" t="s">
        <v>8924</v>
      </c>
    </row>
    <row r="1052" spans="1:2">
      <c r="A1052" t="s">
        <v>8925</v>
      </c>
      <c r="B1052" t="s">
        <v>182</v>
      </c>
    </row>
    <row r="1053" spans="1:2">
      <c r="A1053" t="s">
        <v>8926</v>
      </c>
      <c r="B1053" t="s">
        <v>8927</v>
      </c>
    </row>
    <row r="1054" spans="1:2">
      <c r="A1054" t="s">
        <v>8928</v>
      </c>
      <c r="B1054" t="s">
        <v>8929</v>
      </c>
    </row>
    <row r="1055" spans="1:2">
      <c r="A1055" t="s">
        <v>8930</v>
      </c>
      <c r="B1055" t="s">
        <v>271</v>
      </c>
    </row>
    <row r="1056" spans="1:2">
      <c r="A1056" t="s">
        <v>8931</v>
      </c>
      <c r="B1056" t="s">
        <v>491</v>
      </c>
    </row>
    <row r="1057" spans="1:2">
      <c r="A1057" t="s">
        <v>8932</v>
      </c>
      <c r="B1057" t="s">
        <v>8933</v>
      </c>
    </row>
    <row r="1058" spans="1:2">
      <c r="A1058" t="s">
        <v>8934</v>
      </c>
      <c r="B1058" t="s">
        <v>1051</v>
      </c>
    </row>
    <row r="1059" spans="1:2">
      <c r="A1059" t="s">
        <v>8935</v>
      </c>
      <c r="B1059" t="s">
        <v>8936</v>
      </c>
    </row>
    <row r="1060" spans="1:2">
      <c r="A1060" t="s">
        <v>8937</v>
      </c>
      <c r="B1060" t="s">
        <v>8938</v>
      </c>
    </row>
    <row r="1061" spans="1:2">
      <c r="A1061" t="s">
        <v>8939</v>
      </c>
      <c r="B1061" t="s">
        <v>8940</v>
      </c>
    </row>
    <row r="1062" spans="1:2">
      <c r="A1062" t="s">
        <v>8941</v>
      </c>
      <c r="B1062" t="s">
        <v>8942</v>
      </c>
    </row>
    <row r="1063" spans="1:2">
      <c r="A1063" t="s">
        <v>8943</v>
      </c>
      <c r="B1063" t="s">
        <v>785</v>
      </c>
    </row>
    <row r="1064" spans="1:2">
      <c r="A1064" t="s">
        <v>8944</v>
      </c>
      <c r="B1064" t="s">
        <v>8945</v>
      </c>
    </row>
    <row r="1065" spans="1:2">
      <c r="A1065" t="s">
        <v>8946</v>
      </c>
      <c r="B1065" t="s">
        <v>2736</v>
      </c>
    </row>
    <row r="1066" spans="1:2">
      <c r="A1066" t="s">
        <v>8947</v>
      </c>
      <c r="B1066" t="s">
        <v>8948</v>
      </c>
    </row>
    <row r="1067" spans="1:2">
      <c r="A1067" t="s">
        <v>8947</v>
      </c>
      <c r="B1067" t="s">
        <v>8949</v>
      </c>
    </row>
    <row r="1068" spans="1:2">
      <c r="A1068" t="s">
        <v>8950</v>
      </c>
      <c r="B1068" t="s">
        <v>8951</v>
      </c>
    </row>
    <row r="1069" spans="1:2">
      <c r="A1069" t="s">
        <v>8950</v>
      </c>
      <c r="B1069" t="s">
        <v>8952</v>
      </c>
    </row>
    <row r="1070" spans="1:2">
      <c r="A1070" t="s">
        <v>8953</v>
      </c>
      <c r="B1070" t="s">
        <v>8954</v>
      </c>
    </row>
    <row r="1071" spans="1:2">
      <c r="A1071" t="s">
        <v>8953</v>
      </c>
      <c r="B1071" t="s">
        <v>8955</v>
      </c>
    </row>
    <row r="1072" spans="1:2">
      <c r="A1072" t="s">
        <v>8956</v>
      </c>
      <c r="B1072" t="s">
        <v>8957</v>
      </c>
    </row>
    <row r="1073" spans="1:2">
      <c r="A1073" t="s">
        <v>8956</v>
      </c>
      <c r="B1073" t="s">
        <v>8958</v>
      </c>
    </row>
    <row r="1074" spans="1:2">
      <c r="A1074" t="s">
        <v>8959</v>
      </c>
      <c r="B1074" t="s">
        <v>8960</v>
      </c>
    </row>
    <row r="1075" spans="1:2">
      <c r="A1075" t="s">
        <v>8959</v>
      </c>
      <c r="B1075" t="s">
        <v>8961</v>
      </c>
    </row>
    <row r="1076" spans="1:2">
      <c r="A1076" t="s">
        <v>8962</v>
      </c>
      <c r="B1076" t="s">
        <v>8963</v>
      </c>
    </row>
    <row r="1077" spans="1:2">
      <c r="A1077" t="s">
        <v>8962</v>
      </c>
      <c r="B1077" t="s">
        <v>8964</v>
      </c>
    </row>
    <row r="1078" spans="1:2">
      <c r="A1078" t="s">
        <v>8965</v>
      </c>
      <c r="B1078" t="s">
        <v>8966</v>
      </c>
    </row>
    <row r="1079" spans="1:2">
      <c r="A1079" t="s">
        <v>8967</v>
      </c>
      <c r="B1079" t="s">
        <v>8968</v>
      </c>
    </row>
    <row r="1080" spans="1:2">
      <c r="A1080" t="s">
        <v>8969</v>
      </c>
      <c r="B1080" t="s">
        <v>8970</v>
      </c>
    </row>
    <row r="1081" spans="1:2">
      <c r="A1081" t="s">
        <v>8971</v>
      </c>
      <c r="B1081" t="s">
        <v>8972</v>
      </c>
    </row>
    <row r="1082" spans="1:2">
      <c r="A1082" t="s">
        <v>8973</v>
      </c>
      <c r="B1082" t="s">
        <v>8974</v>
      </c>
    </row>
    <row r="1083" spans="1:2">
      <c r="A1083" t="s">
        <v>8975</v>
      </c>
      <c r="B1083" t="s">
        <v>7549</v>
      </c>
    </row>
    <row r="1084" spans="1:2">
      <c r="A1084" t="s">
        <v>8976</v>
      </c>
      <c r="B1084" t="s">
        <v>8977</v>
      </c>
    </row>
    <row r="1085" spans="1:2">
      <c r="A1085" t="s">
        <v>8978</v>
      </c>
      <c r="B1085" t="s">
        <v>7218</v>
      </c>
    </row>
    <row r="1086" spans="1:2">
      <c r="A1086" t="s">
        <v>8979</v>
      </c>
      <c r="B1086" t="s">
        <v>7220</v>
      </c>
    </row>
    <row r="1087" spans="1:2">
      <c r="A1087" t="s">
        <v>8980</v>
      </c>
      <c r="B1087" t="s">
        <v>7555</v>
      </c>
    </row>
    <row r="1088" spans="1:2">
      <c r="A1088" t="s">
        <v>8981</v>
      </c>
      <c r="B1088" t="s">
        <v>8982</v>
      </c>
    </row>
    <row r="1089" spans="1:2">
      <c r="A1089" t="s">
        <v>8983</v>
      </c>
      <c r="B1089" t="s">
        <v>8984</v>
      </c>
    </row>
    <row r="1090" spans="1:2">
      <c r="A1090" t="s">
        <v>8985</v>
      </c>
      <c r="B1090" t="s">
        <v>8986</v>
      </c>
    </row>
    <row r="1091" spans="1:2">
      <c r="A1091" t="s">
        <v>8987</v>
      </c>
      <c r="B1091" t="s">
        <v>7224</v>
      </c>
    </row>
    <row r="1092" spans="1:2">
      <c r="A1092" t="s">
        <v>8988</v>
      </c>
      <c r="B1092" t="s">
        <v>7226</v>
      </c>
    </row>
    <row r="1093" spans="1:2">
      <c r="A1093" t="s">
        <v>8989</v>
      </c>
      <c r="B1093" t="s">
        <v>8990</v>
      </c>
    </row>
    <row r="1094" spans="1:2">
      <c r="A1094" t="s">
        <v>8991</v>
      </c>
      <c r="B1094" t="s">
        <v>8992</v>
      </c>
    </row>
    <row r="1095" spans="1:2">
      <c r="A1095" t="s">
        <v>8993</v>
      </c>
      <c r="B1095" t="s">
        <v>8994</v>
      </c>
    </row>
    <row r="1096" spans="1:2">
      <c r="A1096" t="s">
        <v>8995</v>
      </c>
      <c r="B1096" t="s">
        <v>8996</v>
      </c>
    </row>
    <row r="1097" spans="1:2">
      <c r="A1097" t="s">
        <v>8997</v>
      </c>
      <c r="B1097" t="s">
        <v>8998</v>
      </c>
    </row>
    <row r="1098" spans="1:2">
      <c r="A1098" t="s">
        <v>8999</v>
      </c>
      <c r="B1098" t="s">
        <v>9000</v>
      </c>
    </row>
    <row r="1099" spans="1:2">
      <c r="A1099" t="s">
        <v>9001</v>
      </c>
      <c r="B1099" t="s">
        <v>9002</v>
      </c>
    </row>
    <row r="1100" spans="1:2">
      <c r="A1100" t="s">
        <v>9003</v>
      </c>
      <c r="B1100" t="s">
        <v>9004</v>
      </c>
    </row>
    <row r="1101" spans="1:2">
      <c r="A1101" t="s">
        <v>9005</v>
      </c>
      <c r="B1101" t="s">
        <v>9006</v>
      </c>
    </row>
    <row r="1102" spans="1:2">
      <c r="A1102" t="s">
        <v>9007</v>
      </c>
      <c r="B1102" t="s">
        <v>9008</v>
      </c>
    </row>
    <row r="1103" spans="1:2">
      <c r="A1103" t="s">
        <v>9009</v>
      </c>
      <c r="B1103" t="s">
        <v>9010</v>
      </c>
    </row>
    <row r="1104" spans="1:2">
      <c r="A1104" t="s">
        <v>9011</v>
      </c>
      <c r="B1104" t="s">
        <v>9012</v>
      </c>
    </row>
    <row r="1105" spans="1:2">
      <c r="A1105" t="s">
        <v>9013</v>
      </c>
      <c r="B1105" t="s">
        <v>9014</v>
      </c>
    </row>
    <row r="1106" spans="1:2">
      <c r="A1106" t="s">
        <v>9015</v>
      </c>
      <c r="B1106" t="s">
        <v>9016</v>
      </c>
    </row>
    <row r="1107" spans="1:2">
      <c r="A1107" t="s">
        <v>9017</v>
      </c>
      <c r="B1107" t="s">
        <v>9018</v>
      </c>
    </row>
    <row r="1108" spans="1:2">
      <c r="A1108" t="s">
        <v>9019</v>
      </c>
      <c r="B1108" t="s">
        <v>9020</v>
      </c>
    </row>
    <row r="1109" spans="1:2">
      <c r="A1109" t="s">
        <v>9021</v>
      </c>
      <c r="B1109" t="s">
        <v>9022</v>
      </c>
    </row>
    <row r="1110" spans="1:2">
      <c r="A1110" t="s">
        <v>9023</v>
      </c>
      <c r="B1110" t="s">
        <v>9024</v>
      </c>
    </row>
    <row r="1111" spans="1:2">
      <c r="A1111" t="s">
        <v>9025</v>
      </c>
      <c r="B1111" t="s">
        <v>9026</v>
      </c>
    </row>
    <row r="1112" spans="1:2">
      <c r="A1112" t="s">
        <v>9027</v>
      </c>
      <c r="B1112" t="s">
        <v>9028</v>
      </c>
    </row>
    <row r="1113" spans="1:2">
      <c r="A1113" t="s">
        <v>9029</v>
      </c>
      <c r="B1113" t="s">
        <v>7326</v>
      </c>
    </row>
    <row r="1114" spans="1:2">
      <c r="A1114" t="s">
        <v>9030</v>
      </c>
      <c r="B1114" t="s">
        <v>9031</v>
      </c>
    </row>
    <row r="1115" spans="1:2">
      <c r="A1115" t="s">
        <v>9032</v>
      </c>
      <c r="B1115" t="s">
        <v>9033</v>
      </c>
    </row>
    <row r="1116" spans="1:2">
      <c r="A1116" t="s">
        <v>9034</v>
      </c>
      <c r="B1116" t="s">
        <v>9035</v>
      </c>
    </row>
    <row r="1117" spans="1:2">
      <c r="A1117" t="s">
        <v>9036</v>
      </c>
      <c r="B1117" t="s">
        <v>9037</v>
      </c>
    </row>
    <row r="1118" spans="1:2">
      <c r="A1118" t="s">
        <v>9038</v>
      </c>
      <c r="B1118" t="s">
        <v>9039</v>
      </c>
    </row>
    <row r="1119" spans="1:2">
      <c r="A1119" t="s">
        <v>9040</v>
      </c>
      <c r="B1119" t="s">
        <v>9041</v>
      </c>
    </row>
    <row r="1120" spans="1:2">
      <c r="A1120" t="s">
        <v>9042</v>
      </c>
      <c r="B1120" t="s">
        <v>9043</v>
      </c>
    </row>
    <row r="1121" spans="1:2">
      <c r="A1121" t="s">
        <v>9044</v>
      </c>
      <c r="B1121" t="s">
        <v>9045</v>
      </c>
    </row>
    <row r="1122" spans="1:2">
      <c r="A1122" t="s">
        <v>9046</v>
      </c>
      <c r="B1122" t="s">
        <v>9047</v>
      </c>
    </row>
    <row r="1123" spans="1:2">
      <c r="A1123" t="s">
        <v>9048</v>
      </c>
      <c r="B1123" t="s">
        <v>9049</v>
      </c>
    </row>
    <row r="1124" spans="1:2">
      <c r="A1124" t="s">
        <v>9050</v>
      </c>
      <c r="B1124" t="s">
        <v>9051</v>
      </c>
    </row>
    <row r="1125" spans="1:2">
      <c r="A1125" t="s">
        <v>9052</v>
      </c>
      <c r="B1125" t="s">
        <v>9053</v>
      </c>
    </row>
    <row r="1126" spans="1:2">
      <c r="A1126" t="s">
        <v>9054</v>
      </c>
      <c r="B1126" t="s">
        <v>9055</v>
      </c>
    </row>
    <row r="1127" spans="1:2">
      <c r="A1127" t="s">
        <v>9056</v>
      </c>
      <c r="B1127" t="s">
        <v>9057</v>
      </c>
    </row>
    <row r="1128" spans="1:2">
      <c r="A1128" t="s">
        <v>9058</v>
      </c>
      <c r="B1128" t="s">
        <v>9059</v>
      </c>
    </row>
    <row r="1129" spans="1:2">
      <c r="A1129" t="s">
        <v>9060</v>
      </c>
      <c r="B1129" t="s">
        <v>9061</v>
      </c>
    </row>
    <row r="1130" spans="1:2">
      <c r="A1130" t="s">
        <v>9062</v>
      </c>
      <c r="B1130" t="s">
        <v>9063</v>
      </c>
    </row>
    <row r="1131" spans="1:2">
      <c r="A1131" t="s">
        <v>9064</v>
      </c>
      <c r="B1131" t="s">
        <v>9065</v>
      </c>
    </row>
    <row r="1132" spans="1:2">
      <c r="A1132" t="s">
        <v>9066</v>
      </c>
      <c r="B1132" t="s">
        <v>9067</v>
      </c>
    </row>
    <row r="1133" spans="1:2">
      <c r="A1133" t="s">
        <v>9068</v>
      </c>
      <c r="B1133" t="s">
        <v>9069</v>
      </c>
    </row>
    <row r="1134" spans="1:2">
      <c r="A1134" t="s">
        <v>9070</v>
      </c>
      <c r="B1134" t="s">
        <v>9071</v>
      </c>
    </row>
    <row r="1135" spans="1:2">
      <c r="A1135" t="s">
        <v>9072</v>
      </c>
      <c r="B1135" t="s">
        <v>9073</v>
      </c>
    </row>
    <row r="1136" spans="1:2">
      <c r="A1136" t="s">
        <v>9074</v>
      </c>
      <c r="B1136" t="s">
        <v>9075</v>
      </c>
    </row>
    <row r="1137" spans="1:2">
      <c r="A1137" t="s">
        <v>9076</v>
      </c>
      <c r="B1137" t="s">
        <v>9077</v>
      </c>
    </row>
    <row r="1138" spans="1:2">
      <c r="A1138" t="s">
        <v>9078</v>
      </c>
      <c r="B1138" t="s">
        <v>9079</v>
      </c>
    </row>
    <row r="1139" spans="1:2">
      <c r="A1139" t="s">
        <v>9080</v>
      </c>
      <c r="B1139" t="s">
        <v>9081</v>
      </c>
    </row>
    <row r="1140" spans="1:2">
      <c r="A1140" t="s">
        <v>9082</v>
      </c>
      <c r="B1140" t="s">
        <v>9083</v>
      </c>
    </row>
    <row r="1141" spans="1:2">
      <c r="A1141" t="s">
        <v>9084</v>
      </c>
      <c r="B1141" t="s">
        <v>9085</v>
      </c>
    </row>
    <row r="1142" spans="1:2">
      <c r="A1142" t="s">
        <v>9086</v>
      </c>
      <c r="B1142" t="s">
        <v>9087</v>
      </c>
    </row>
    <row r="1143" spans="1:2">
      <c r="A1143" t="s">
        <v>9088</v>
      </c>
      <c r="B1143" t="s">
        <v>9089</v>
      </c>
    </row>
    <row r="1144" spans="1:2">
      <c r="A1144" t="s">
        <v>9090</v>
      </c>
      <c r="B1144" t="s">
        <v>9091</v>
      </c>
    </row>
    <row r="1145" spans="1:2">
      <c r="A1145" t="s">
        <v>9092</v>
      </c>
      <c r="B1145" t="s">
        <v>9093</v>
      </c>
    </row>
    <row r="1146" spans="1:2">
      <c r="A1146" t="s">
        <v>9094</v>
      </c>
      <c r="B1146" t="s">
        <v>9095</v>
      </c>
    </row>
    <row r="1147" spans="1:2">
      <c r="A1147" t="s">
        <v>9096</v>
      </c>
      <c r="B1147" t="s">
        <v>9097</v>
      </c>
    </row>
    <row r="1148" spans="1:2">
      <c r="A1148" t="s">
        <v>9098</v>
      </c>
      <c r="B1148" t="s">
        <v>9099</v>
      </c>
    </row>
    <row r="1149" spans="1:2">
      <c r="A1149" t="s">
        <v>9100</v>
      </c>
      <c r="B1149" t="s">
        <v>9101</v>
      </c>
    </row>
    <row r="1150" spans="1:2">
      <c r="A1150" t="s">
        <v>9102</v>
      </c>
      <c r="B1150" t="s">
        <v>9103</v>
      </c>
    </row>
    <row r="1151" spans="1:2">
      <c r="A1151" t="s">
        <v>9104</v>
      </c>
      <c r="B1151" t="s">
        <v>9105</v>
      </c>
    </row>
    <row r="1152" spans="1:2">
      <c r="A1152" t="s">
        <v>9106</v>
      </c>
      <c r="B1152" t="s">
        <v>9107</v>
      </c>
    </row>
    <row r="1153" spans="1:2">
      <c r="A1153" t="s">
        <v>9108</v>
      </c>
      <c r="B1153" t="s">
        <v>9109</v>
      </c>
    </row>
    <row r="1154" spans="1:2">
      <c r="A1154" t="s">
        <v>9110</v>
      </c>
      <c r="B1154" t="s">
        <v>9111</v>
      </c>
    </row>
    <row r="1155" spans="1:2">
      <c r="A1155" t="s">
        <v>9112</v>
      </c>
      <c r="B1155" t="s">
        <v>9113</v>
      </c>
    </row>
    <row r="1156" spans="1:2">
      <c r="A1156" t="s">
        <v>9114</v>
      </c>
      <c r="B1156" t="s">
        <v>9115</v>
      </c>
    </row>
    <row r="1157" spans="1:2">
      <c r="A1157" t="s">
        <v>9116</v>
      </c>
      <c r="B1157" t="s">
        <v>9117</v>
      </c>
    </row>
    <row r="1158" spans="1:2">
      <c r="A1158" t="s">
        <v>9118</v>
      </c>
      <c r="B1158" t="s">
        <v>9119</v>
      </c>
    </row>
    <row r="1159" spans="1:2">
      <c r="A1159" t="s">
        <v>9120</v>
      </c>
      <c r="B1159" t="s">
        <v>9121</v>
      </c>
    </row>
    <row r="1160" spans="1:2">
      <c r="A1160" t="s">
        <v>9122</v>
      </c>
      <c r="B1160" t="s">
        <v>9123</v>
      </c>
    </row>
    <row r="1161" spans="1:2">
      <c r="A1161" t="s">
        <v>9124</v>
      </c>
      <c r="B1161" t="s">
        <v>9125</v>
      </c>
    </row>
    <row r="1162" spans="1:2">
      <c r="A1162" t="s">
        <v>9126</v>
      </c>
      <c r="B1162" t="s">
        <v>9127</v>
      </c>
    </row>
    <row r="1163" spans="1:2">
      <c r="A1163" t="s">
        <v>9128</v>
      </c>
      <c r="B1163" t="s">
        <v>9129</v>
      </c>
    </row>
    <row r="1164" spans="1:2">
      <c r="A1164" t="s">
        <v>9130</v>
      </c>
      <c r="B1164" t="s">
        <v>9131</v>
      </c>
    </row>
    <row r="1165" spans="1:2">
      <c r="A1165" t="s">
        <v>9132</v>
      </c>
      <c r="B1165" t="s">
        <v>9133</v>
      </c>
    </row>
    <row r="1166" spans="1:2">
      <c r="A1166" t="s">
        <v>9134</v>
      </c>
      <c r="B1166" t="s">
        <v>9135</v>
      </c>
    </row>
    <row r="1167" spans="1:2">
      <c r="A1167" t="s">
        <v>9136</v>
      </c>
      <c r="B1167" t="s">
        <v>9137</v>
      </c>
    </row>
    <row r="1168" spans="1:2">
      <c r="A1168" t="s">
        <v>9138</v>
      </c>
      <c r="B1168" t="s">
        <v>9139</v>
      </c>
    </row>
    <row r="1169" spans="1:2">
      <c r="A1169" t="s">
        <v>9140</v>
      </c>
      <c r="B1169" t="s">
        <v>9141</v>
      </c>
    </row>
    <row r="1170" spans="1:2">
      <c r="A1170" t="s">
        <v>9142</v>
      </c>
      <c r="B1170" t="s">
        <v>9143</v>
      </c>
    </row>
    <row r="1171" spans="1:2">
      <c r="A1171" t="s">
        <v>9144</v>
      </c>
      <c r="B1171" t="s">
        <v>9145</v>
      </c>
    </row>
    <row r="1172" spans="1:2">
      <c r="A1172" t="s">
        <v>9146</v>
      </c>
      <c r="B1172" t="s">
        <v>9147</v>
      </c>
    </row>
    <row r="1173" spans="1:2">
      <c r="A1173" t="s">
        <v>9148</v>
      </c>
      <c r="B1173" t="s">
        <v>9149</v>
      </c>
    </row>
    <row r="1174" spans="1:2">
      <c r="A1174" t="s">
        <v>9150</v>
      </c>
      <c r="B1174" t="s">
        <v>9151</v>
      </c>
    </row>
    <row r="1175" spans="1:2">
      <c r="A1175" t="s">
        <v>9152</v>
      </c>
      <c r="B1175" t="s">
        <v>9153</v>
      </c>
    </row>
    <row r="1176" spans="1:2">
      <c r="A1176" t="s">
        <v>9154</v>
      </c>
      <c r="B1176" t="s">
        <v>9155</v>
      </c>
    </row>
    <row r="1177" spans="1:2">
      <c r="A1177" t="s">
        <v>9156</v>
      </c>
      <c r="B1177" t="s">
        <v>9157</v>
      </c>
    </row>
    <row r="1178" spans="1:2">
      <c r="A1178" t="s">
        <v>9158</v>
      </c>
      <c r="B1178" t="s">
        <v>9159</v>
      </c>
    </row>
    <row r="1179" spans="1:2">
      <c r="A1179" t="s">
        <v>9160</v>
      </c>
      <c r="B1179" t="s">
        <v>9161</v>
      </c>
    </row>
    <row r="1180" spans="1:2">
      <c r="A1180" t="s">
        <v>9162</v>
      </c>
      <c r="B1180" t="s">
        <v>9163</v>
      </c>
    </row>
    <row r="1181" spans="1:2">
      <c r="A1181" t="s">
        <v>9164</v>
      </c>
      <c r="B1181" t="s">
        <v>9165</v>
      </c>
    </row>
    <row r="1182" spans="1:2">
      <c r="A1182" t="s">
        <v>9166</v>
      </c>
      <c r="B1182" t="s">
        <v>9167</v>
      </c>
    </row>
    <row r="1183" spans="1:2">
      <c r="A1183" t="s">
        <v>9168</v>
      </c>
      <c r="B1183" t="s">
        <v>9169</v>
      </c>
    </row>
    <row r="1184" spans="1:2">
      <c r="A1184" t="s">
        <v>9170</v>
      </c>
      <c r="B1184" t="s">
        <v>8578</v>
      </c>
    </row>
    <row r="1185" spans="1:2">
      <c r="A1185" t="s">
        <v>9171</v>
      </c>
      <c r="B1185" t="s">
        <v>9172</v>
      </c>
    </row>
    <row r="1186" spans="1:2">
      <c r="A1186" t="s">
        <v>9173</v>
      </c>
      <c r="B1186" t="s">
        <v>9174</v>
      </c>
    </row>
    <row r="1187" spans="1:2">
      <c r="A1187" t="s">
        <v>9175</v>
      </c>
      <c r="B1187" t="s">
        <v>9176</v>
      </c>
    </row>
    <row r="1188" spans="1:2">
      <c r="A1188" t="s">
        <v>9177</v>
      </c>
      <c r="B1188" t="s">
        <v>9178</v>
      </c>
    </row>
    <row r="1189" spans="1:2">
      <c r="A1189" t="s">
        <v>9179</v>
      </c>
      <c r="B1189" t="s">
        <v>9180</v>
      </c>
    </row>
    <row r="1190" spans="1:2">
      <c r="A1190" t="s">
        <v>9181</v>
      </c>
      <c r="B1190" t="s">
        <v>9182</v>
      </c>
    </row>
    <row r="1191" spans="1:2">
      <c r="A1191" t="s">
        <v>9183</v>
      </c>
      <c r="B1191" t="s">
        <v>9184</v>
      </c>
    </row>
    <row r="1192" spans="1:2">
      <c r="A1192" t="s">
        <v>9185</v>
      </c>
      <c r="B1192" t="s">
        <v>9186</v>
      </c>
    </row>
    <row r="1193" spans="1:2">
      <c r="A1193" t="s">
        <v>9187</v>
      </c>
      <c r="B1193" t="s">
        <v>9188</v>
      </c>
    </row>
    <row r="1194" spans="1:2">
      <c r="A1194" t="s">
        <v>9189</v>
      </c>
      <c r="B1194" t="s">
        <v>9190</v>
      </c>
    </row>
    <row r="1195" spans="1:2">
      <c r="A1195" t="s">
        <v>9191</v>
      </c>
      <c r="B1195" t="s">
        <v>9192</v>
      </c>
    </row>
    <row r="1196" spans="1:2">
      <c r="A1196" t="s">
        <v>9193</v>
      </c>
      <c r="B1196" t="s">
        <v>9194</v>
      </c>
    </row>
    <row r="1197" spans="1:2">
      <c r="A1197" t="s">
        <v>9195</v>
      </c>
      <c r="B1197" t="s">
        <v>8482</v>
      </c>
    </row>
    <row r="1198" spans="1:2">
      <c r="A1198" t="s">
        <v>9196</v>
      </c>
      <c r="B1198" t="s">
        <v>9197</v>
      </c>
    </row>
    <row r="1199" spans="1:2">
      <c r="A1199" t="s">
        <v>9198</v>
      </c>
      <c r="B1199" t="s">
        <v>9199</v>
      </c>
    </row>
    <row r="1200" spans="1:2">
      <c r="A1200" t="s">
        <v>9200</v>
      </c>
      <c r="B1200" t="s">
        <v>9201</v>
      </c>
    </row>
    <row r="1201" spans="1:2">
      <c r="A1201" t="s">
        <v>9202</v>
      </c>
      <c r="B1201" t="s">
        <v>9203</v>
      </c>
    </row>
    <row r="1202" spans="1:2">
      <c r="A1202" t="s">
        <v>9204</v>
      </c>
      <c r="B1202" t="s">
        <v>9205</v>
      </c>
    </row>
    <row r="1203" spans="1:2">
      <c r="A1203" t="s">
        <v>9206</v>
      </c>
      <c r="B1203" t="s">
        <v>9207</v>
      </c>
    </row>
    <row r="1204" spans="1:2">
      <c r="A1204" t="s">
        <v>9208</v>
      </c>
      <c r="B1204" t="s">
        <v>9209</v>
      </c>
    </row>
    <row r="1205" spans="1:2">
      <c r="A1205" t="s">
        <v>9210</v>
      </c>
      <c r="B1205" t="s">
        <v>9211</v>
      </c>
    </row>
    <row r="1206" spans="1:2">
      <c r="A1206" t="s">
        <v>9212</v>
      </c>
      <c r="B1206" t="s">
        <v>9213</v>
      </c>
    </row>
    <row r="1207" spans="1:2">
      <c r="A1207" t="s">
        <v>9214</v>
      </c>
      <c r="B1207" t="s">
        <v>9215</v>
      </c>
    </row>
    <row r="1208" spans="1:2">
      <c r="A1208" t="s">
        <v>9216</v>
      </c>
      <c r="B1208" t="s">
        <v>9217</v>
      </c>
    </row>
    <row r="1209" spans="1:2">
      <c r="A1209" t="s">
        <v>9218</v>
      </c>
      <c r="B1209" t="s">
        <v>3208</v>
      </c>
    </row>
    <row r="1210" spans="1:2">
      <c r="A1210" t="s">
        <v>9219</v>
      </c>
      <c r="B1210" t="s">
        <v>9220</v>
      </c>
    </row>
    <row r="1211" spans="1:2">
      <c r="A1211" t="s">
        <v>9221</v>
      </c>
      <c r="B1211" t="s">
        <v>9222</v>
      </c>
    </row>
    <row r="1212" spans="1:2">
      <c r="A1212" t="s">
        <v>9223</v>
      </c>
      <c r="B1212" t="s">
        <v>9224</v>
      </c>
    </row>
    <row r="1213" spans="1:2">
      <c r="A1213" t="s">
        <v>9225</v>
      </c>
      <c r="B1213" t="s">
        <v>9226</v>
      </c>
    </row>
    <row r="1214" spans="1:2">
      <c r="A1214" t="s">
        <v>9227</v>
      </c>
      <c r="B1214" t="s">
        <v>9228</v>
      </c>
    </row>
    <row r="1215" spans="1:2">
      <c r="A1215" t="s">
        <v>9229</v>
      </c>
      <c r="B1215" t="s">
        <v>9230</v>
      </c>
    </row>
    <row r="1216" spans="1:2">
      <c r="A1216" t="s">
        <v>9231</v>
      </c>
      <c r="B1216" t="s">
        <v>9232</v>
      </c>
    </row>
    <row r="1217" spans="1:2">
      <c r="A1217" t="s">
        <v>9233</v>
      </c>
      <c r="B1217" t="s">
        <v>9234</v>
      </c>
    </row>
    <row r="1218" spans="1:2">
      <c r="A1218" t="s">
        <v>9235</v>
      </c>
      <c r="B1218" t="s">
        <v>9236</v>
      </c>
    </row>
    <row r="1219" spans="1:2">
      <c r="A1219" t="s">
        <v>9237</v>
      </c>
      <c r="B1219" t="s">
        <v>9238</v>
      </c>
    </row>
    <row r="1220" spans="1:2">
      <c r="A1220" t="s">
        <v>9239</v>
      </c>
      <c r="B1220" t="s">
        <v>9240</v>
      </c>
    </row>
    <row r="1221" spans="1:2">
      <c r="A1221" t="s">
        <v>9241</v>
      </c>
      <c r="B1221" t="s">
        <v>9242</v>
      </c>
    </row>
    <row r="1222" spans="1:2">
      <c r="A1222" t="s">
        <v>9243</v>
      </c>
      <c r="B1222" t="s">
        <v>9244</v>
      </c>
    </row>
    <row r="1223" spans="1:2">
      <c r="A1223" t="s">
        <v>9245</v>
      </c>
      <c r="B1223" t="s">
        <v>9246</v>
      </c>
    </row>
    <row r="1224" spans="1:2">
      <c r="A1224" t="s">
        <v>9247</v>
      </c>
      <c r="B1224" t="s">
        <v>9248</v>
      </c>
    </row>
    <row r="1225" spans="1:2">
      <c r="A1225" t="s">
        <v>9249</v>
      </c>
      <c r="B1225" t="s">
        <v>9250</v>
      </c>
    </row>
    <row r="1226" spans="1:2">
      <c r="A1226" t="s">
        <v>9251</v>
      </c>
      <c r="B1226" t="s">
        <v>9252</v>
      </c>
    </row>
    <row r="1227" spans="1:2">
      <c r="A1227" t="s">
        <v>9253</v>
      </c>
      <c r="B1227" t="s">
        <v>9254</v>
      </c>
    </row>
    <row r="1228" spans="1:2">
      <c r="A1228" t="s">
        <v>9255</v>
      </c>
      <c r="B1228" t="s">
        <v>9256</v>
      </c>
    </row>
    <row r="1229" spans="1:2">
      <c r="A1229" t="s">
        <v>9257</v>
      </c>
      <c r="B1229" t="s">
        <v>9258</v>
      </c>
    </row>
    <row r="1230" spans="1:2">
      <c r="A1230" t="s">
        <v>9259</v>
      </c>
      <c r="B1230" t="s">
        <v>9260</v>
      </c>
    </row>
    <row r="1231" spans="1:2">
      <c r="A1231" t="s">
        <v>9261</v>
      </c>
      <c r="B1231" t="s">
        <v>9262</v>
      </c>
    </row>
    <row r="1232" spans="1:2">
      <c r="A1232" t="s">
        <v>9263</v>
      </c>
      <c r="B1232" t="s">
        <v>9264</v>
      </c>
    </row>
    <row r="1233" spans="1:2">
      <c r="A1233" t="s">
        <v>9265</v>
      </c>
      <c r="B1233" t="s">
        <v>9266</v>
      </c>
    </row>
    <row r="1234" spans="1:2">
      <c r="A1234" t="s">
        <v>9267</v>
      </c>
      <c r="B1234" t="s">
        <v>9268</v>
      </c>
    </row>
    <row r="1235" spans="1:2">
      <c r="A1235" t="s">
        <v>9269</v>
      </c>
      <c r="B1235" t="s">
        <v>9270</v>
      </c>
    </row>
    <row r="1236" spans="1:2">
      <c r="A1236" t="s">
        <v>9271</v>
      </c>
      <c r="B1236" t="s">
        <v>9272</v>
      </c>
    </row>
    <row r="1237" spans="1:2">
      <c r="A1237" t="s">
        <v>9273</v>
      </c>
      <c r="B1237" t="s">
        <v>9274</v>
      </c>
    </row>
    <row r="1238" spans="1:2">
      <c r="A1238" t="s">
        <v>9275</v>
      </c>
      <c r="B1238" t="s">
        <v>9276</v>
      </c>
    </row>
    <row r="1239" spans="1:2">
      <c r="A1239" t="s">
        <v>9277</v>
      </c>
      <c r="B1239" t="s">
        <v>9278</v>
      </c>
    </row>
    <row r="1240" spans="1:2">
      <c r="A1240" t="s">
        <v>9279</v>
      </c>
      <c r="B1240" t="s">
        <v>9280</v>
      </c>
    </row>
    <row r="1241" spans="1:2">
      <c r="A1241" t="s">
        <v>9281</v>
      </c>
      <c r="B1241" t="s">
        <v>9282</v>
      </c>
    </row>
    <row r="1242" spans="1:2">
      <c r="A1242" t="s">
        <v>9283</v>
      </c>
      <c r="B1242" t="s">
        <v>9284</v>
      </c>
    </row>
    <row r="1243" spans="1:2">
      <c r="A1243" t="s">
        <v>9285</v>
      </c>
      <c r="B1243" t="s">
        <v>9286</v>
      </c>
    </row>
    <row r="1244" spans="1:2">
      <c r="A1244" t="s">
        <v>9287</v>
      </c>
      <c r="B1244" t="s">
        <v>9288</v>
      </c>
    </row>
    <row r="1245" spans="1:2">
      <c r="A1245" t="s">
        <v>9289</v>
      </c>
      <c r="B1245" t="s">
        <v>9290</v>
      </c>
    </row>
    <row r="1246" spans="1:2">
      <c r="A1246" t="s">
        <v>9291</v>
      </c>
      <c r="B1246" t="s">
        <v>9292</v>
      </c>
    </row>
    <row r="1247" spans="1:2">
      <c r="A1247" t="s">
        <v>9293</v>
      </c>
      <c r="B1247" t="s">
        <v>9294</v>
      </c>
    </row>
    <row r="1248" spans="1:2">
      <c r="A1248" t="s">
        <v>9295</v>
      </c>
      <c r="B1248" t="s">
        <v>9296</v>
      </c>
    </row>
    <row r="1249" spans="1:2">
      <c r="A1249" t="s">
        <v>9297</v>
      </c>
      <c r="B1249" t="s">
        <v>9298</v>
      </c>
    </row>
    <row r="1250" spans="1:2">
      <c r="A1250" t="s">
        <v>9297</v>
      </c>
      <c r="B1250" t="s">
        <v>9299</v>
      </c>
    </row>
    <row r="1251" spans="1:2">
      <c r="A1251" t="s">
        <v>9300</v>
      </c>
      <c r="B1251" t="s">
        <v>9301</v>
      </c>
    </row>
    <row r="1252" spans="1:2">
      <c r="A1252" t="s">
        <v>9300</v>
      </c>
      <c r="B1252" t="s">
        <v>9302</v>
      </c>
    </row>
    <row r="1253" spans="1:2">
      <c r="A1253" t="s">
        <v>9303</v>
      </c>
      <c r="B1253" t="s">
        <v>9304</v>
      </c>
    </row>
    <row r="1254" spans="1:2">
      <c r="A1254" t="s">
        <v>9303</v>
      </c>
      <c r="B1254" t="s">
        <v>9305</v>
      </c>
    </row>
    <row r="1255" spans="1:2">
      <c r="A1255" t="s">
        <v>9306</v>
      </c>
      <c r="B1255" t="s">
        <v>9307</v>
      </c>
    </row>
    <row r="1256" spans="1:2">
      <c r="A1256" t="s">
        <v>9306</v>
      </c>
      <c r="B1256" t="s">
        <v>9308</v>
      </c>
    </row>
    <row r="1257" spans="1:2">
      <c r="A1257" t="s">
        <v>9309</v>
      </c>
      <c r="B1257" t="s">
        <v>9310</v>
      </c>
    </row>
    <row r="1258" spans="1:2">
      <c r="A1258" t="s">
        <v>9309</v>
      </c>
      <c r="B1258" t="s">
        <v>9311</v>
      </c>
    </row>
    <row r="1259" spans="1:2">
      <c r="A1259" t="s">
        <v>9312</v>
      </c>
      <c r="B1259" t="s">
        <v>9313</v>
      </c>
    </row>
    <row r="1260" spans="1:2">
      <c r="A1260" t="s">
        <v>9312</v>
      </c>
      <c r="B1260" t="s">
        <v>9314</v>
      </c>
    </row>
    <row r="1261" spans="1:2">
      <c r="A1261" t="s">
        <v>9315</v>
      </c>
      <c r="B1261" t="s">
        <v>9316</v>
      </c>
    </row>
    <row r="1262" spans="1:2">
      <c r="A1262" t="s">
        <v>9317</v>
      </c>
      <c r="B1262" t="s">
        <v>9318</v>
      </c>
    </row>
    <row r="1263" spans="1:2">
      <c r="A1263" t="s">
        <v>9319</v>
      </c>
      <c r="B1263" t="s">
        <v>9320</v>
      </c>
    </row>
    <row r="1264" spans="1:2">
      <c r="A1264" t="s">
        <v>9321</v>
      </c>
      <c r="B1264" t="s">
        <v>7352</v>
      </c>
    </row>
    <row r="1265" spans="1:2">
      <c r="A1265" t="s">
        <v>9322</v>
      </c>
      <c r="B1265" t="s">
        <v>9323</v>
      </c>
    </row>
    <row r="1266" spans="1:2">
      <c r="A1266" t="s">
        <v>9324</v>
      </c>
      <c r="B1266" t="s">
        <v>9325</v>
      </c>
    </row>
    <row r="1267" spans="1:2">
      <c r="A1267" t="s">
        <v>9326</v>
      </c>
      <c r="B1267" t="s">
        <v>9327</v>
      </c>
    </row>
    <row r="1268" spans="1:2">
      <c r="A1268" t="s">
        <v>9328</v>
      </c>
      <c r="B1268" t="s">
        <v>9329</v>
      </c>
    </row>
    <row r="1269" spans="1:2">
      <c r="A1269" t="s">
        <v>9330</v>
      </c>
      <c r="B1269" t="s">
        <v>9331</v>
      </c>
    </row>
    <row r="1270" spans="1:2">
      <c r="A1270" t="s">
        <v>9332</v>
      </c>
      <c r="B1270" t="s">
        <v>9333</v>
      </c>
    </row>
    <row r="1271" spans="1:2">
      <c r="A1271" t="s">
        <v>9334</v>
      </c>
      <c r="B1271" t="s">
        <v>9335</v>
      </c>
    </row>
    <row r="1272" spans="1:2">
      <c r="A1272" t="s">
        <v>9336</v>
      </c>
      <c r="B1272" t="s">
        <v>9337</v>
      </c>
    </row>
    <row r="1273" spans="1:2">
      <c r="A1273" t="s">
        <v>9338</v>
      </c>
      <c r="B1273" t="s">
        <v>9339</v>
      </c>
    </row>
    <row r="1274" spans="1:2">
      <c r="A1274" t="s">
        <v>9340</v>
      </c>
      <c r="B1274" t="s">
        <v>9341</v>
      </c>
    </row>
    <row r="1275" spans="1:2">
      <c r="A1275" t="s">
        <v>9342</v>
      </c>
      <c r="B1275" t="s">
        <v>9343</v>
      </c>
    </row>
    <row r="1276" spans="1:2">
      <c r="A1276" t="s">
        <v>9344</v>
      </c>
      <c r="B1276" t="s">
        <v>9345</v>
      </c>
    </row>
    <row r="1277" spans="1:2">
      <c r="A1277" t="s">
        <v>9346</v>
      </c>
      <c r="B1277" t="s">
        <v>9345</v>
      </c>
    </row>
    <row r="1278" spans="1:2">
      <c r="A1278" t="s">
        <v>9347</v>
      </c>
      <c r="B1278" t="s">
        <v>9348</v>
      </c>
    </row>
    <row r="1279" spans="1:2">
      <c r="A1279" t="s">
        <v>9349</v>
      </c>
      <c r="B1279" t="s">
        <v>9350</v>
      </c>
    </row>
    <row r="1280" spans="1:2">
      <c r="A1280" t="s">
        <v>9351</v>
      </c>
      <c r="B1280" t="s">
        <v>9352</v>
      </c>
    </row>
    <row r="1281" spans="1:2">
      <c r="A1281" t="s">
        <v>9353</v>
      </c>
      <c r="B1281" t="s">
        <v>9354</v>
      </c>
    </row>
    <row r="1282" spans="1:2">
      <c r="A1282" t="s">
        <v>9355</v>
      </c>
      <c r="B1282" t="s">
        <v>9356</v>
      </c>
    </row>
    <row r="1283" spans="1:2">
      <c r="A1283" t="s">
        <v>9357</v>
      </c>
      <c r="B1283" t="s">
        <v>9358</v>
      </c>
    </row>
    <row r="1284" spans="1:2">
      <c r="A1284" t="s">
        <v>9359</v>
      </c>
      <c r="B1284" t="s">
        <v>9360</v>
      </c>
    </row>
    <row r="1285" spans="1:2">
      <c r="A1285" t="s">
        <v>9361</v>
      </c>
      <c r="B1285" t="s">
        <v>9362</v>
      </c>
    </row>
    <row r="1286" spans="1:2">
      <c r="A1286" t="s">
        <v>9363</v>
      </c>
      <c r="B1286" t="s">
        <v>9364</v>
      </c>
    </row>
    <row r="1287" spans="1:2">
      <c r="A1287" t="s">
        <v>9365</v>
      </c>
      <c r="B1287" t="s">
        <v>9366</v>
      </c>
    </row>
    <row r="1288" spans="1:2">
      <c r="A1288" t="s">
        <v>9367</v>
      </c>
      <c r="B1288" t="s">
        <v>9368</v>
      </c>
    </row>
    <row r="1289" spans="1:2">
      <c r="A1289" t="s">
        <v>9369</v>
      </c>
      <c r="B1289" t="s">
        <v>9370</v>
      </c>
    </row>
    <row r="1290" spans="1:2">
      <c r="A1290" t="s">
        <v>9371</v>
      </c>
      <c r="B1290" t="s">
        <v>9372</v>
      </c>
    </row>
    <row r="1291" spans="1:2">
      <c r="A1291" t="s">
        <v>9373</v>
      </c>
      <c r="B1291" t="s">
        <v>9374</v>
      </c>
    </row>
    <row r="1292" spans="1:2">
      <c r="A1292" t="s">
        <v>9375</v>
      </c>
      <c r="B1292" t="s">
        <v>9376</v>
      </c>
    </row>
    <row r="1293" spans="1:2">
      <c r="A1293" t="s">
        <v>9377</v>
      </c>
      <c r="B1293" t="s">
        <v>3083</v>
      </c>
    </row>
    <row r="1294" spans="1:2">
      <c r="A1294" t="s">
        <v>9378</v>
      </c>
      <c r="B1294" t="s">
        <v>9379</v>
      </c>
    </row>
    <row r="1295" spans="1:2">
      <c r="A1295" t="s">
        <v>9380</v>
      </c>
      <c r="B1295" t="s">
        <v>9381</v>
      </c>
    </row>
    <row r="1296" spans="1:2">
      <c r="A1296" t="s">
        <v>9382</v>
      </c>
      <c r="B1296" t="s">
        <v>9383</v>
      </c>
    </row>
    <row r="1297" spans="1:2">
      <c r="A1297" t="s">
        <v>9384</v>
      </c>
      <c r="B1297" t="s">
        <v>9385</v>
      </c>
    </row>
    <row r="1298" spans="1:2">
      <c r="A1298" t="s">
        <v>9386</v>
      </c>
      <c r="B1298" t="s">
        <v>9387</v>
      </c>
    </row>
    <row r="1299" spans="1:2">
      <c r="A1299" t="s">
        <v>9388</v>
      </c>
      <c r="B1299" t="s">
        <v>9389</v>
      </c>
    </row>
    <row r="1300" spans="1:2">
      <c r="A1300" t="s">
        <v>9390</v>
      </c>
      <c r="B1300" t="s">
        <v>9391</v>
      </c>
    </row>
    <row r="1301" spans="1:2">
      <c r="A1301" t="s">
        <v>9392</v>
      </c>
      <c r="B1301" t="s">
        <v>9393</v>
      </c>
    </row>
    <row r="1302" spans="1:2">
      <c r="A1302" t="s">
        <v>9394</v>
      </c>
      <c r="B1302" t="s">
        <v>9395</v>
      </c>
    </row>
    <row r="1303" spans="1:2">
      <c r="A1303" t="s">
        <v>9396</v>
      </c>
      <c r="B1303" t="s">
        <v>9397</v>
      </c>
    </row>
    <row r="1304" spans="1:2">
      <c r="A1304" t="s">
        <v>9398</v>
      </c>
      <c r="B1304" t="s">
        <v>9399</v>
      </c>
    </row>
    <row r="1305" spans="1:2">
      <c r="A1305" t="s">
        <v>9400</v>
      </c>
      <c r="B1305" t="s">
        <v>9401</v>
      </c>
    </row>
    <row r="1306" spans="1:2">
      <c r="A1306" t="s">
        <v>9402</v>
      </c>
      <c r="B1306" t="s">
        <v>9403</v>
      </c>
    </row>
    <row r="1307" spans="1:2">
      <c r="A1307" t="s">
        <v>9404</v>
      </c>
      <c r="B1307" t="s">
        <v>9405</v>
      </c>
    </row>
    <row r="1308" spans="1:2">
      <c r="A1308" t="s">
        <v>9406</v>
      </c>
      <c r="B1308" t="s">
        <v>9407</v>
      </c>
    </row>
    <row r="1309" spans="1:2">
      <c r="A1309" t="s">
        <v>9408</v>
      </c>
      <c r="B1309" t="s">
        <v>9409</v>
      </c>
    </row>
    <row r="1310" spans="1:2">
      <c r="A1310" t="s">
        <v>9410</v>
      </c>
      <c r="B1310" t="s">
        <v>9411</v>
      </c>
    </row>
    <row r="1311" spans="1:2">
      <c r="A1311" t="s">
        <v>9412</v>
      </c>
      <c r="B1311" t="s">
        <v>9413</v>
      </c>
    </row>
    <row r="1312" spans="1:2">
      <c r="A1312" t="s">
        <v>9414</v>
      </c>
      <c r="B1312" t="s">
        <v>9415</v>
      </c>
    </row>
    <row r="1313" spans="1:2">
      <c r="A1313" t="s">
        <v>9416</v>
      </c>
      <c r="B1313" t="s">
        <v>9417</v>
      </c>
    </row>
    <row r="1314" spans="1:2">
      <c r="A1314" t="s">
        <v>9418</v>
      </c>
      <c r="B1314" t="s">
        <v>799</v>
      </c>
    </row>
    <row r="1315" spans="1:2">
      <c r="A1315" t="s">
        <v>9419</v>
      </c>
      <c r="B1315" t="s">
        <v>798</v>
      </c>
    </row>
    <row r="1316" spans="1:2">
      <c r="A1316" t="s">
        <v>9420</v>
      </c>
      <c r="B1316" t="s">
        <v>9421</v>
      </c>
    </row>
    <row r="1317" spans="1:2">
      <c r="A1317" t="s">
        <v>9420</v>
      </c>
      <c r="B1317" t="s">
        <v>9422</v>
      </c>
    </row>
    <row r="1318" spans="1:2">
      <c r="A1318" t="s">
        <v>9423</v>
      </c>
      <c r="B1318" t="s">
        <v>9424</v>
      </c>
    </row>
    <row r="1319" spans="1:2">
      <c r="A1319" t="s">
        <v>9423</v>
      </c>
      <c r="B1319" t="s">
        <v>9425</v>
      </c>
    </row>
    <row r="1320" spans="1:2">
      <c r="A1320" t="s">
        <v>9426</v>
      </c>
      <c r="B1320" t="s">
        <v>9427</v>
      </c>
    </row>
    <row r="1321" spans="1:2">
      <c r="A1321" t="s">
        <v>9426</v>
      </c>
      <c r="B1321" t="s">
        <v>9428</v>
      </c>
    </row>
    <row r="1322" spans="1:2">
      <c r="A1322" t="s">
        <v>9429</v>
      </c>
      <c r="B1322" t="s">
        <v>3029</v>
      </c>
    </row>
    <row r="1323" spans="1:2">
      <c r="A1323" t="s">
        <v>9430</v>
      </c>
      <c r="B1323" t="s">
        <v>9431</v>
      </c>
    </row>
    <row r="1324" spans="1:2">
      <c r="A1324" t="s">
        <v>9432</v>
      </c>
      <c r="B1324" t="s">
        <v>9433</v>
      </c>
    </row>
    <row r="1325" spans="1:2">
      <c r="A1325" t="s">
        <v>9432</v>
      </c>
      <c r="B1325" t="s">
        <v>9434</v>
      </c>
    </row>
    <row r="1326" spans="1:2">
      <c r="A1326" t="s">
        <v>9435</v>
      </c>
      <c r="B1326" t="s">
        <v>7320</v>
      </c>
    </row>
    <row r="1327" spans="1:2">
      <c r="A1327" t="s">
        <v>9436</v>
      </c>
      <c r="B1327" t="s">
        <v>7320</v>
      </c>
    </row>
    <row r="1328" spans="1:2">
      <c r="A1328" t="s">
        <v>9437</v>
      </c>
      <c r="B1328" t="s">
        <v>9438</v>
      </c>
    </row>
    <row r="1329" spans="1:2">
      <c r="A1329" t="s">
        <v>9437</v>
      </c>
      <c r="B1329" t="s">
        <v>9439</v>
      </c>
    </row>
    <row r="1330" spans="1:2">
      <c r="A1330" t="s">
        <v>9440</v>
      </c>
      <c r="B1330" t="s">
        <v>9441</v>
      </c>
    </row>
    <row r="1331" spans="1:2">
      <c r="A1331" t="s">
        <v>9440</v>
      </c>
      <c r="B1331" t="s">
        <v>9442</v>
      </c>
    </row>
    <row r="1332" spans="1:2">
      <c r="A1332" t="s">
        <v>9443</v>
      </c>
      <c r="B1332" t="s">
        <v>9444</v>
      </c>
    </row>
    <row r="1333" spans="1:2">
      <c r="A1333" t="s">
        <v>9443</v>
      </c>
      <c r="B1333" t="s">
        <v>9445</v>
      </c>
    </row>
    <row r="1334" spans="1:2">
      <c r="A1334" t="s">
        <v>9446</v>
      </c>
      <c r="B1334" t="s">
        <v>9447</v>
      </c>
    </row>
    <row r="1335" spans="1:2">
      <c r="A1335" t="s">
        <v>9446</v>
      </c>
      <c r="B1335" t="s">
        <v>9448</v>
      </c>
    </row>
    <row r="1336" spans="1:2">
      <c r="A1336" t="s">
        <v>9449</v>
      </c>
      <c r="B1336" t="s">
        <v>9450</v>
      </c>
    </row>
    <row r="1337" spans="1:2">
      <c r="A1337" t="s">
        <v>9451</v>
      </c>
      <c r="B1337" t="s">
        <v>9452</v>
      </c>
    </row>
    <row r="1338" spans="1:2">
      <c r="A1338" t="s">
        <v>9453</v>
      </c>
      <c r="B1338" t="s">
        <v>9454</v>
      </c>
    </row>
    <row r="1339" spans="1:2">
      <c r="A1339" t="s">
        <v>9453</v>
      </c>
      <c r="B1339" t="s">
        <v>9455</v>
      </c>
    </row>
    <row r="1340" spans="1:2">
      <c r="A1340" t="s">
        <v>9456</v>
      </c>
      <c r="B1340" t="s">
        <v>9457</v>
      </c>
    </row>
    <row r="1341" spans="1:2">
      <c r="A1341" t="s">
        <v>9456</v>
      </c>
      <c r="B1341" t="s">
        <v>9458</v>
      </c>
    </row>
    <row r="1342" spans="1:2">
      <c r="A1342" t="s">
        <v>9459</v>
      </c>
      <c r="B1342" t="s">
        <v>9460</v>
      </c>
    </row>
    <row r="1343" spans="1:2">
      <c r="A1343" t="s">
        <v>9459</v>
      </c>
      <c r="B1343" t="s">
        <v>9461</v>
      </c>
    </row>
    <row r="1344" spans="1:2">
      <c r="A1344" t="s">
        <v>9462</v>
      </c>
      <c r="B1344" t="s">
        <v>9463</v>
      </c>
    </row>
    <row r="1345" spans="1:2">
      <c r="A1345" t="s">
        <v>9462</v>
      </c>
      <c r="B1345" t="s">
        <v>9464</v>
      </c>
    </row>
    <row r="1346" spans="1:2">
      <c r="A1346" t="s">
        <v>9465</v>
      </c>
      <c r="B1346" t="s">
        <v>9466</v>
      </c>
    </row>
    <row r="1347" spans="1:2">
      <c r="A1347" t="s">
        <v>9465</v>
      </c>
      <c r="B1347" t="s">
        <v>9467</v>
      </c>
    </row>
    <row r="1348" spans="1:2">
      <c r="A1348" t="s">
        <v>9468</v>
      </c>
      <c r="B1348" t="s">
        <v>9469</v>
      </c>
    </row>
    <row r="1349" spans="1:2">
      <c r="A1349" t="s">
        <v>9468</v>
      </c>
      <c r="B1349" t="s">
        <v>9470</v>
      </c>
    </row>
    <row r="1350" spans="1:2">
      <c r="A1350" t="s">
        <v>9471</v>
      </c>
      <c r="B1350" t="s">
        <v>9472</v>
      </c>
    </row>
    <row r="1351" spans="1:2">
      <c r="A1351" t="s">
        <v>9471</v>
      </c>
      <c r="B1351" t="s">
        <v>9473</v>
      </c>
    </row>
    <row r="1352" spans="1:2">
      <c r="A1352" t="s">
        <v>9474</v>
      </c>
      <c r="B1352" t="s">
        <v>9475</v>
      </c>
    </row>
    <row r="1353" spans="1:2">
      <c r="A1353" t="s">
        <v>9474</v>
      </c>
      <c r="B1353" t="s">
        <v>9476</v>
      </c>
    </row>
    <row r="1354" spans="1:2">
      <c r="A1354" t="s">
        <v>9477</v>
      </c>
      <c r="B1354" t="s">
        <v>9478</v>
      </c>
    </row>
    <row r="1355" spans="1:2">
      <c r="A1355" t="s">
        <v>9477</v>
      </c>
      <c r="B1355" t="s">
        <v>9479</v>
      </c>
    </row>
    <row r="1356" spans="1:2">
      <c r="A1356" t="s">
        <v>9480</v>
      </c>
      <c r="B1356" t="s">
        <v>9481</v>
      </c>
    </row>
    <row r="1357" spans="1:2">
      <c r="A1357" t="s">
        <v>9480</v>
      </c>
      <c r="B1357" t="s">
        <v>9482</v>
      </c>
    </row>
    <row r="1358" spans="1:2">
      <c r="A1358" t="s">
        <v>9483</v>
      </c>
      <c r="B1358" t="s">
        <v>9484</v>
      </c>
    </row>
    <row r="1359" spans="1:2">
      <c r="A1359" t="s">
        <v>9483</v>
      </c>
      <c r="B1359" t="s">
        <v>9485</v>
      </c>
    </row>
    <row r="1360" spans="1:2">
      <c r="A1360" t="s">
        <v>9486</v>
      </c>
      <c r="B1360" t="s">
        <v>9487</v>
      </c>
    </row>
    <row r="1361" spans="1:2">
      <c r="A1361" t="s">
        <v>9486</v>
      </c>
      <c r="B1361" t="s">
        <v>9488</v>
      </c>
    </row>
    <row r="1362" spans="1:2">
      <c r="A1362" t="s">
        <v>9489</v>
      </c>
      <c r="B1362" t="s">
        <v>9490</v>
      </c>
    </row>
    <row r="1363" spans="1:2">
      <c r="A1363" t="s">
        <v>9489</v>
      </c>
      <c r="B1363" t="s">
        <v>9491</v>
      </c>
    </row>
    <row r="1364" spans="1:2">
      <c r="A1364" t="s">
        <v>9492</v>
      </c>
      <c r="B1364" t="s">
        <v>9493</v>
      </c>
    </row>
    <row r="1365" spans="1:2">
      <c r="A1365" t="s">
        <v>9492</v>
      </c>
      <c r="B1365" t="s">
        <v>9494</v>
      </c>
    </row>
    <row r="1366" spans="1:2">
      <c r="A1366" t="s">
        <v>9495</v>
      </c>
      <c r="B1366" t="s">
        <v>9496</v>
      </c>
    </row>
    <row r="1367" spans="1:2">
      <c r="A1367" t="s">
        <v>9495</v>
      </c>
      <c r="B1367" t="s">
        <v>9497</v>
      </c>
    </row>
    <row r="1368" spans="1:2">
      <c r="A1368" t="s">
        <v>9498</v>
      </c>
      <c r="B1368" t="s">
        <v>9499</v>
      </c>
    </row>
    <row r="1369" spans="1:2">
      <c r="A1369" t="s">
        <v>9498</v>
      </c>
      <c r="B1369" t="s">
        <v>9500</v>
      </c>
    </row>
    <row r="1370" spans="1:2">
      <c r="A1370" t="s">
        <v>9501</v>
      </c>
      <c r="B1370" t="s">
        <v>9502</v>
      </c>
    </row>
    <row r="1371" spans="1:2">
      <c r="A1371" t="s">
        <v>9501</v>
      </c>
      <c r="B1371" t="s">
        <v>9503</v>
      </c>
    </row>
    <row r="1372" spans="1:2">
      <c r="A1372" t="s">
        <v>9504</v>
      </c>
      <c r="B1372" t="s">
        <v>9505</v>
      </c>
    </row>
    <row r="1373" spans="1:2">
      <c r="A1373" t="s">
        <v>9504</v>
      </c>
      <c r="B1373" t="s">
        <v>9506</v>
      </c>
    </row>
    <row r="1374" spans="1:2">
      <c r="A1374" t="s">
        <v>9507</v>
      </c>
      <c r="B1374" t="s">
        <v>9508</v>
      </c>
    </row>
    <row r="1375" spans="1:2">
      <c r="A1375" t="s">
        <v>9507</v>
      </c>
      <c r="B1375" t="s">
        <v>9509</v>
      </c>
    </row>
    <row r="1376" spans="1:2">
      <c r="A1376" t="s">
        <v>9510</v>
      </c>
      <c r="B1376" t="s">
        <v>9511</v>
      </c>
    </row>
    <row r="1377" spans="1:2">
      <c r="A1377" t="s">
        <v>9510</v>
      </c>
      <c r="B1377" t="s">
        <v>9512</v>
      </c>
    </row>
    <row r="1378" spans="1:2">
      <c r="A1378" t="s">
        <v>9513</v>
      </c>
      <c r="B1378" t="s">
        <v>9514</v>
      </c>
    </row>
    <row r="1379" spans="1:2">
      <c r="A1379" t="s">
        <v>9513</v>
      </c>
      <c r="B1379" t="s">
        <v>9515</v>
      </c>
    </row>
    <row r="1380" spans="1:2">
      <c r="A1380" t="s">
        <v>9516</v>
      </c>
      <c r="B1380" t="s">
        <v>9517</v>
      </c>
    </row>
    <row r="1381" spans="1:2">
      <c r="A1381" t="s">
        <v>9516</v>
      </c>
      <c r="B1381" t="s">
        <v>9518</v>
      </c>
    </row>
    <row r="1382" spans="1:2">
      <c r="A1382" t="s">
        <v>9519</v>
      </c>
      <c r="B1382" t="s">
        <v>9520</v>
      </c>
    </row>
    <row r="1383" spans="1:2">
      <c r="A1383" t="s">
        <v>9519</v>
      </c>
      <c r="B1383" t="s">
        <v>9521</v>
      </c>
    </row>
    <row r="1384" spans="1:2">
      <c r="A1384" t="s">
        <v>9522</v>
      </c>
      <c r="B1384" t="s">
        <v>9523</v>
      </c>
    </row>
    <row r="1385" spans="1:2">
      <c r="A1385" t="s">
        <v>9522</v>
      </c>
      <c r="B1385" t="s">
        <v>9524</v>
      </c>
    </row>
    <row r="1386" spans="1:2">
      <c r="A1386" t="s">
        <v>9525</v>
      </c>
      <c r="B1386" t="s">
        <v>9526</v>
      </c>
    </row>
    <row r="1387" spans="1:2">
      <c r="A1387" t="s">
        <v>9525</v>
      </c>
      <c r="B1387" t="s">
        <v>9527</v>
      </c>
    </row>
    <row r="1388" spans="1:2">
      <c r="A1388" t="s">
        <v>9528</v>
      </c>
      <c r="B1388" t="s">
        <v>9529</v>
      </c>
    </row>
    <row r="1389" spans="1:2">
      <c r="A1389" t="s">
        <v>9528</v>
      </c>
      <c r="B1389" t="s">
        <v>9530</v>
      </c>
    </row>
    <row r="1390" spans="1:2">
      <c r="A1390" t="s">
        <v>9531</v>
      </c>
      <c r="B1390" t="s">
        <v>9532</v>
      </c>
    </row>
    <row r="1391" spans="1:2">
      <c r="A1391" t="s">
        <v>9531</v>
      </c>
      <c r="B1391" t="s">
        <v>9533</v>
      </c>
    </row>
    <row r="1392" spans="1:2">
      <c r="A1392" t="s">
        <v>9534</v>
      </c>
      <c r="B1392" t="s">
        <v>9535</v>
      </c>
    </row>
    <row r="1393" spans="1:2">
      <c r="A1393" t="s">
        <v>9534</v>
      </c>
      <c r="B1393" t="s">
        <v>9536</v>
      </c>
    </row>
    <row r="1394" spans="1:2">
      <c r="A1394" t="s">
        <v>9537</v>
      </c>
      <c r="B1394" t="s">
        <v>9538</v>
      </c>
    </row>
    <row r="1395" spans="1:2">
      <c r="A1395" t="s">
        <v>9537</v>
      </c>
      <c r="B1395" t="s">
        <v>9539</v>
      </c>
    </row>
    <row r="1396" spans="1:2">
      <c r="A1396" t="s">
        <v>9540</v>
      </c>
      <c r="B1396" t="s">
        <v>9541</v>
      </c>
    </row>
    <row r="1397" spans="1:2">
      <c r="A1397" t="s">
        <v>9540</v>
      </c>
      <c r="B1397" t="s">
        <v>9542</v>
      </c>
    </row>
    <row r="1398" spans="1:2">
      <c r="A1398" t="s">
        <v>9543</v>
      </c>
      <c r="B1398" t="s">
        <v>9544</v>
      </c>
    </row>
    <row r="1399" spans="1:2">
      <c r="A1399" t="s">
        <v>9545</v>
      </c>
      <c r="B1399" t="s">
        <v>8152</v>
      </c>
    </row>
    <row r="1400" spans="1:2">
      <c r="A1400" t="s">
        <v>9546</v>
      </c>
      <c r="B1400" t="s">
        <v>9547</v>
      </c>
    </row>
    <row r="1401" spans="1:2">
      <c r="A1401" t="s">
        <v>9548</v>
      </c>
      <c r="B1401" t="s">
        <v>9549</v>
      </c>
    </row>
    <row r="1402" spans="1:2">
      <c r="A1402" t="s">
        <v>9550</v>
      </c>
      <c r="B1402" t="s">
        <v>9551</v>
      </c>
    </row>
    <row r="1403" spans="1:2">
      <c r="A1403" t="s">
        <v>9552</v>
      </c>
      <c r="B1403" t="s">
        <v>9553</v>
      </c>
    </row>
    <row r="1404" spans="1:2">
      <c r="A1404" t="s">
        <v>9554</v>
      </c>
      <c r="B1404" t="s">
        <v>9555</v>
      </c>
    </row>
    <row r="1405" spans="1:2">
      <c r="A1405" t="s">
        <v>9556</v>
      </c>
      <c r="B1405" t="s">
        <v>9557</v>
      </c>
    </row>
    <row r="1406" spans="1:2">
      <c r="A1406" t="s">
        <v>9558</v>
      </c>
      <c r="B1406" t="s">
        <v>9559</v>
      </c>
    </row>
    <row r="1407" spans="1:2">
      <c r="A1407" t="s">
        <v>9560</v>
      </c>
      <c r="B1407" t="s">
        <v>9561</v>
      </c>
    </row>
    <row r="1408" spans="1:2">
      <c r="A1408" t="s">
        <v>9562</v>
      </c>
      <c r="B1408" t="s">
        <v>9563</v>
      </c>
    </row>
    <row r="1409" spans="1:2">
      <c r="A1409" t="s">
        <v>9564</v>
      </c>
      <c r="B1409" t="s">
        <v>9565</v>
      </c>
    </row>
    <row r="1410" spans="1:2">
      <c r="A1410" t="s">
        <v>9566</v>
      </c>
      <c r="B1410" t="s">
        <v>9567</v>
      </c>
    </row>
    <row r="1411" spans="1:2">
      <c r="A1411" t="s">
        <v>9568</v>
      </c>
      <c r="B1411" t="s">
        <v>9569</v>
      </c>
    </row>
    <row r="1412" spans="1:2">
      <c r="A1412" t="s">
        <v>9570</v>
      </c>
      <c r="B1412" t="s">
        <v>9571</v>
      </c>
    </row>
    <row r="1413" spans="1:2">
      <c r="A1413" t="s">
        <v>9572</v>
      </c>
      <c r="B1413" t="s">
        <v>9573</v>
      </c>
    </row>
    <row r="1414" spans="1:2">
      <c r="A1414" t="s">
        <v>9574</v>
      </c>
      <c r="B1414" t="s">
        <v>9575</v>
      </c>
    </row>
    <row r="1415" spans="1:2">
      <c r="A1415" t="s">
        <v>9576</v>
      </c>
      <c r="B1415" t="s">
        <v>9577</v>
      </c>
    </row>
    <row r="1416" spans="1:2">
      <c r="A1416" t="s">
        <v>9578</v>
      </c>
      <c r="B1416" t="s">
        <v>9579</v>
      </c>
    </row>
    <row r="1417" spans="1:2">
      <c r="A1417" t="s">
        <v>9580</v>
      </c>
      <c r="B1417" t="s">
        <v>9581</v>
      </c>
    </row>
    <row r="1418" spans="1:2">
      <c r="A1418" t="s">
        <v>9582</v>
      </c>
      <c r="B1418" t="s">
        <v>9583</v>
      </c>
    </row>
    <row r="1419" spans="1:2">
      <c r="A1419" t="s">
        <v>9584</v>
      </c>
      <c r="B1419" t="s">
        <v>9585</v>
      </c>
    </row>
    <row r="1420" spans="1:2">
      <c r="A1420" t="s">
        <v>9586</v>
      </c>
      <c r="B1420" t="s">
        <v>9587</v>
      </c>
    </row>
    <row r="1421" spans="1:2">
      <c r="A1421" t="s">
        <v>9588</v>
      </c>
      <c r="B1421" t="s">
        <v>9589</v>
      </c>
    </row>
    <row r="1422" spans="1:2">
      <c r="A1422" t="s">
        <v>9590</v>
      </c>
      <c r="B1422" t="s">
        <v>9591</v>
      </c>
    </row>
    <row r="1423" spans="1:2">
      <c r="A1423" t="s">
        <v>9592</v>
      </c>
      <c r="B1423" t="s">
        <v>9593</v>
      </c>
    </row>
    <row r="1424" spans="1:2">
      <c r="A1424" t="s">
        <v>9594</v>
      </c>
      <c r="B1424" t="s">
        <v>9595</v>
      </c>
    </row>
    <row r="1425" spans="1:2">
      <c r="A1425" t="s">
        <v>9596</v>
      </c>
      <c r="B1425" t="s">
        <v>9597</v>
      </c>
    </row>
    <row r="1426" spans="1:2">
      <c r="A1426" t="s">
        <v>9598</v>
      </c>
      <c r="B1426" t="s">
        <v>9599</v>
      </c>
    </row>
    <row r="1427" spans="1:2">
      <c r="A1427" t="s">
        <v>9600</v>
      </c>
      <c r="B1427" t="s">
        <v>9601</v>
      </c>
    </row>
    <row r="1428" spans="1:2">
      <c r="A1428" t="s">
        <v>9602</v>
      </c>
      <c r="B1428" t="s">
        <v>9603</v>
      </c>
    </row>
    <row r="1429" spans="1:2">
      <c r="A1429" t="s">
        <v>9604</v>
      </c>
      <c r="B1429" t="s">
        <v>9605</v>
      </c>
    </row>
    <row r="1430" spans="1:2">
      <c r="A1430" t="s">
        <v>9606</v>
      </c>
      <c r="B1430" t="s">
        <v>9607</v>
      </c>
    </row>
    <row r="1431" spans="1:2">
      <c r="A1431" t="s">
        <v>9608</v>
      </c>
      <c r="B1431" t="s">
        <v>9609</v>
      </c>
    </row>
    <row r="1432" spans="1:2">
      <c r="A1432" t="s">
        <v>9610</v>
      </c>
      <c r="B1432" t="s">
        <v>9611</v>
      </c>
    </row>
    <row r="1433" spans="1:2">
      <c r="A1433" t="s">
        <v>9612</v>
      </c>
      <c r="B1433" t="s">
        <v>9613</v>
      </c>
    </row>
    <row r="1434" spans="1:2">
      <c r="A1434" t="s">
        <v>9614</v>
      </c>
      <c r="B1434" t="s">
        <v>9615</v>
      </c>
    </row>
    <row r="1435" spans="1:2">
      <c r="A1435" t="s">
        <v>9616</v>
      </c>
      <c r="B1435" t="s">
        <v>9617</v>
      </c>
    </row>
    <row r="1436" spans="1:2">
      <c r="A1436" t="s">
        <v>9618</v>
      </c>
      <c r="B1436" t="s">
        <v>9619</v>
      </c>
    </row>
    <row r="1437" spans="1:2">
      <c r="A1437" t="s">
        <v>9620</v>
      </c>
      <c r="B1437" t="s">
        <v>8408</v>
      </c>
    </row>
    <row r="1438" spans="1:2">
      <c r="A1438" t="s">
        <v>9621</v>
      </c>
      <c r="B1438" t="s">
        <v>9622</v>
      </c>
    </row>
    <row r="1439" spans="1:2">
      <c r="A1439" t="s">
        <v>9623</v>
      </c>
      <c r="B1439" t="s">
        <v>9624</v>
      </c>
    </row>
    <row r="1440" spans="1:2">
      <c r="A1440" t="s">
        <v>9625</v>
      </c>
      <c r="B1440" t="s">
        <v>9626</v>
      </c>
    </row>
    <row r="1441" spans="1:2">
      <c r="A1441" t="s">
        <v>9627</v>
      </c>
      <c r="B1441" t="s">
        <v>9628</v>
      </c>
    </row>
    <row r="1442" spans="1:2">
      <c r="A1442" t="s">
        <v>9629</v>
      </c>
      <c r="B1442" t="s">
        <v>9630</v>
      </c>
    </row>
    <row r="1443" spans="1:2">
      <c r="A1443" t="s">
        <v>9631</v>
      </c>
      <c r="B1443" t="s">
        <v>9632</v>
      </c>
    </row>
    <row r="1444" spans="1:2">
      <c r="A1444" t="s">
        <v>9633</v>
      </c>
      <c r="B1444" t="s">
        <v>9634</v>
      </c>
    </row>
    <row r="1445" spans="1:2">
      <c r="A1445" t="s">
        <v>9635</v>
      </c>
      <c r="B1445" t="s">
        <v>9636</v>
      </c>
    </row>
    <row r="1446" spans="1:2">
      <c r="A1446" t="s">
        <v>9637</v>
      </c>
      <c r="B1446" t="s">
        <v>9638</v>
      </c>
    </row>
    <row r="1447" spans="1:2">
      <c r="A1447" t="s">
        <v>9639</v>
      </c>
      <c r="B1447" t="s">
        <v>9640</v>
      </c>
    </row>
    <row r="1448" spans="1:2">
      <c r="A1448" t="s">
        <v>9641</v>
      </c>
      <c r="B1448" t="s">
        <v>9642</v>
      </c>
    </row>
    <row r="1449" spans="1:2">
      <c r="A1449" t="s">
        <v>9643</v>
      </c>
      <c r="B1449" t="s">
        <v>9644</v>
      </c>
    </row>
    <row r="1450" spans="1:2">
      <c r="A1450" t="s">
        <v>9645</v>
      </c>
      <c r="B1450" t="s">
        <v>9646</v>
      </c>
    </row>
    <row r="1451" spans="1:2">
      <c r="A1451" t="s">
        <v>9647</v>
      </c>
      <c r="B1451" t="s">
        <v>9648</v>
      </c>
    </row>
    <row r="1452" spans="1:2">
      <c r="A1452" t="s">
        <v>9649</v>
      </c>
      <c r="B1452" t="s">
        <v>9650</v>
      </c>
    </row>
    <row r="1453" spans="1:2">
      <c r="A1453" t="s">
        <v>9651</v>
      </c>
      <c r="B1453" t="s">
        <v>9652</v>
      </c>
    </row>
    <row r="1454" spans="1:2">
      <c r="A1454" t="s">
        <v>9653</v>
      </c>
      <c r="B1454" t="s">
        <v>9654</v>
      </c>
    </row>
    <row r="1455" spans="1:2">
      <c r="A1455" t="s">
        <v>9655</v>
      </c>
      <c r="B1455" t="s">
        <v>9656</v>
      </c>
    </row>
    <row r="1456" spans="1:2">
      <c r="A1456" t="s">
        <v>9657</v>
      </c>
      <c r="B1456" t="s">
        <v>9658</v>
      </c>
    </row>
    <row r="1457" spans="1:2">
      <c r="A1457" t="s">
        <v>9659</v>
      </c>
      <c r="B1457" t="s">
        <v>9660</v>
      </c>
    </row>
    <row r="1458" spans="1:2">
      <c r="A1458" t="s">
        <v>9661</v>
      </c>
      <c r="B1458" t="s">
        <v>9662</v>
      </c>
    </row>
    <row r="1459" spans="1:2">
      <c r="A1459" t="s">
        <v>9663</v>
      </c>
      <c r="B1459" t="s">
        <v>9664</v>
      </c>
    </row>
    <row r="1460" spans="1:2">
      <c r="A1460" t="s">
        <v>9665</v>
      </c>
      <c r="B1460" t="s">
        <v>9666</v>
      </c>
    </row>
    <row r="1461" spans="1:2">
      <c r="A1461" t="s">
        <v>9667</v>
      </c>
      <c r="B1461" t="s">
        <v>9668</v>
      </c>
    </row>
    <row r="1462" spans="1:2">
      <c r="A1462" t="s">
        <v>9669</v>
      </c>
      <c r="B1462" t="s">
        <v>9670</v>
      </c>
    </row>
    <row r="1463" spans="1:2">
      <c r="A1463" t="s">
        <v>9671</v>
      </c>
      <c r="B1463" t="s">
        <v>9672</v>
      </c>
    </row>
    <row r="1464" spans="1:2">
      <c r="A1464" t="s">
        <v>9673</v>
      </c>
      <c r="B1464" t="s">
        <v>9674</v>
      </c>
    </row>
    <row r="1465" spans="1:2">
      <c r="A1465" t="s">
        <v>9675</v>
      </c>
      <c r="B1465" t="s">
        <v>9676</v>
      </c>
    </row>
    <row r="1466" spans="1:2">
      <c r="A1466" t="s">
        <v>9677</v>
      </c>
      <c r="B1466" t="s">
        <v>9678</v>
      </c>
    </row>
    <row r="1467" spans="1:2">
      <c r="A1467" t="s">
        <v>9679</v>
      </c>
      <c r="B1467" t="s">
        <v>9680</v>
      </c>
    </row>
    <row r="1468" spans="1:2">
      <c r="A1468" t="s">
        <v>9681</v>
      </c>
      <c r="B1468" t="s">
        <v>7805</v>
      </c>
    </row>
    <row r="1469" spans="1:2">
      <c r="A1469" t="s">
        <v>9682</v>
      </c>
      <c r="B1469" t="s">
        <v>9683</v>
      </c>
    </row>
    <row r="1470" spans="1:2">
      <c r="A1470" t="s">
        <v>9684</v>
      </c>
      <c r="B1470" t="s">
        <v>9685</v>
      </c>
    </row>
    <row r="1471" spans="1:2">
      <c r="A1471" t="s">
        <v>9686</v>
      </c>
      <c r="B1471" t="s">
        <v>9687</v>
      </c>
    </row>
    <row r="1472" spans="1:2">
      <c r="A1472" t="s">
        <v>9688</v>
      </c>
      <c r="B1472" t="s">
        <v>867</v>
      </c>
    </row>
    <row r="1473" spans="1:2">
      <c r="A1473" t="s">
        <v>9689</v>
      </c>
      <c r="B1473" t="s">
        <v>866</v>
      </c>
    </row>
    <row r="1474" spans="1:2">
      <c r="A1474" t="s">
        <v>9690</v>
      </c>
      <c r="B1474" t="s">
        <v>9691</v>
      </c>
    </row>
    <row r="1475" spans="1:2">
      <c r="A1475" t="s">
        <v>9692</v>
      </c>
      <c r="B1475" t="s">
        <v>9693</v>
      </c>
    </row>
    <row r="1476" spans="1:2">
      <c r="A1476" t="s">
        <v>9694</v>
      </c>
      <c r="B1476" t="s">
        <v>9695</v>
      </c>
    </row>
    <row r="1477" spans="1:2">
      <c r="A1477" t="s">
        <v>9696</v>
      </c>
      <c r="B1477" t="s">
        <v>9697</v>
      </c>
    </row>
    <row r="1478" spans="1:2">
      <c r="A1478" t="s">
        <v>9698</v>
      </c>
      <c r="B1478" t="s">
        <v>9699</v>
      </c>
    </row>
    <row r="1479" spans="1:2">
      <c r="A1479" t="s">
        <v>9700</v>
      </c>
      <c r="B1479" t="s">
        <v>9701</v>
      </c>
    </row>
    <row r="1480" spans="1:2">
      <c r="A1480" t="s">
        <v>9702</v>
      </c>
      <c r="B1480" t="s">
        <v>9703</v>
      </c>
    </row>
    <row r="1481" spans="1:2">
      <c r="A1481" t="s">
        <v>9704</v>
      </c>
      <c r="B1481" t="s">
        <v>9705</v>
      </c>
    </row>
    <row r="1482" spans="1:2">
      <c r="A1482" t="s">
        <v>9706</v>
      </c>
      <c r="B1482" t="s">
        <v>9707</v>
      </c>
    </row>
    <row r="1483" spans="1:2">
      <c r="A1483" t="s">
        <v>9708</v>
      </c>
      <c r="B1483" t="s">
        <v>9709</v>
      </c>
    </row>
    <row r="1484" spans="1:2">
      <c r="A1484" t="s">
        <v>9710</v>
      </c>
      <c r="B1484" t="s">
        <v>9711</v>
      </c>
    </row>
    <row r="1485" spans="1:2">
      <c r="A1485" t="s">
        <v>9712</v>
      </c>
      <c r="B1485" t="s">
        <v>9713</v>
      </c>
    </row>
    <row r="1486" spans="1:2">
      <c r="A1486" t="s">
        <v>9714</v>
      </c>
      <c r="B1486" t="s">
        <v>9715</v>
      </c>
    </row>
    <row r="1487" spans="1:2">
      <c r="A1487" t="s">
        <v>9716</v>
      </c>
      <c r="B1487" t="s">
        <v>9717</v>
      </c>
    </row>
    <row r="1488" spans="1:2">
      <c r="A1488" t="s">
        <v>9718</v>
      </c>
      <c r="B1488" t="s">
        <v>9719</v>
      </c>
    </row>
    <row r="1489" spans="1:2">
      <c r="A1489" t="s">
        <v>9720</v>
      </c>
      <c r="B1489" t="s">
        <v>9721</v>
      </c>
    </row>
    <row r="1490" spans="1:2">
      <c r="A1490" t="s">
        <v>9722</v>
      </c>
      <c r="B1490" t="s">
        <v>9723</v>
      </c>
    </row>
    <row r="1491" spans="1:2">
      <c r="A1491" t="s">
        <v>9724</v>
      </c>
      <c r="B1491" t="s">
        <v>9725</v>
      </c>
    </row>
    <row r="1492" spans="1:2">
      <c r="A1492" t="s">
        <v>9726</v>
      </c>
      <c r="B1492" t="s">
        <v>9727</v>
      </c>
    </row>
    <row r="1493" spans="1:2">
      <c r="A1493" t="s">
        <v>9728</v>
      </c>
      <c r="B1493" t="s">
        <v>9729</v>
      </c>
    </row>
    <row r="1494" spans="1:2">
      <c r="A1494" t="s">
        <v>9730</v>
      </c>
      <c r="B1494" t="s">
        <v>2120</v>
      </c>
    </row>
    <row r="1495" spans="1:2">
      <c r="A1495" t="s">
        <v>9731</v>
      </c>
      <c r="B1495" t="s">
        <v>9732</v>
      </c>
    </row>
    <row r="1496" spans="1:2">
      <c r="A1496" t="s">
        <v>9733</v>
      </c>
      <c r="B1496" t="s">
        <v>9734</v>
      </c>
    </row>
    <row r="1497" spans="1:2">
      <c r="A1497" t="s">
        <v>9735</v>
      </c>
      <c r="B1497" t="s">
        <v>9736</v>
      </c>
    </row>
    <row r="1498" spans="1:2">
      <c r="A1498" t="s">
        <v>9737</v>
      </c>
      <c r="B1498" t="s">
        <v>9738</v>
      </c>
    </row>
    <row r="1499" spans="1:2">
      <c r="A1499" t="s">
        <v>9739</v>
      </c>
      <c r="B1499" t="s">
        <v>9740</v>
      </c>
    </row>
    <row r="1500" spans="1:2">
      <c r="A1500" t="s">
        <v>9741</v>
      </c>
      <c r="B1500" t="s">
        <v>9742</v>
      </c>
    </row>
    <row r="1501" spans="1:2">
      <c r="A1501" t="s">
        <v>9743</v>
      </c>
      <c r="B1501" t="s">
        <v>9744</v>
      </c>
    </row>
    <row r="1502" spans="1:2">
      <c r="A1502" t="s">
        <v>9745</v>
      </c>
      <c r="B1502" t="s">
        <v>9746</v>
      </c>
    </row>
    <row r="1503" spans="1:2">
      <c r="A1503" t="s">
        <v>9747</v>
      </c>
      <c r="B1503" t="s">
        <v>9748</v>
      </c>
    </row>
    <row r="1504" spans="1:2">
      <c r="A1504" t="s">
        <v>9749</v>
      </c>
      <c r="B1504" t="s">
        <v>9750</v>
      </c>
    </row>
    <row r="1505" spans="1:2">
      <c r="A1505" t="s">
        <v>9751</v>
      </c>
      <c r="B1505" t="s">
        <v>9752</v>
      </c>
    </row>
    <row r="1506" spans="1:2">
      <c r="A1506" t="s">
        <v>9753</v>
      </c>
      <c r="B1506" t="s">
        <v>9754</v>
      </c>
    </row>
    <row r="1507" spans="1:2">
      <c r="A1507" t="s">
        <v>9755</v>
      </c>
      <c r="B1507" t="s">
        <v>9756</v>
      </c>
    </row>
    <row r="1508" spans="1:2">
      <c r="A1508" t="s">
        <v>9757</v>
      </c>
      <c r="B1508" t="s">
        <v>9758</v>
      </c>
    </row>
    <row r="1509" spans="1:2">
      <c r="A1509" t="s">
        <v>9759</v>
      </c>
      <c r="B1509" t="s">
        <v>9760</v>
      </c>
    </row>
    <row r="1510" spans="1:2">
      <c r="A1510" t="s">
        <v>9761</v>
      </c>
      <c r="B1510" t="s">
        <v>9762</v>
      </c>
    </row>
    <row r="1511" spans="1:2">
      <c r="A1511" t="s">
        <v>9763</v>
      </c>
      <c r="B1511" t="s">
        <v>9764</v>
      </c>
    </row>
    <row r="1512" spans="1:2">
      <c r="A1512" t="s">
        <v>9765</v>
      </c>
      <c r="B1512" t="s">
        <v>9766</v>
      </c>
    </row>
    <row r="1513" spans="1:2">
      <c r="A1513" t="s">
        <v>9767</v>
      </c>
      <c r="B1513" t="s">
        <v>9768</v>
      </c>
    </row>
    <row r="1514" spans="1:2">
      <c r="A1514" t="s">
        <v>9769</v>
      </c>
      <c r="B1514" t="s">
        <v>9770</v>
      </c>
    </row>
    <row r="1515" spans="1:2">
      <c r="A1515" t="s">
        <v>9771</v>
      </c>
      <c r="B1515" t="s">
        <v>9772</v>
      </c>
    </row>
    <row r="1516" spans="1:2">
      <c r="A1516" t="s">
        <v>9773</v>
      </c>
      <c r="B1516" t="s">
        <v>9774</v>
      </c>
    </row>
    <row r="1517" spans="1:2">
      <c r="A1517" t="s">
        <v>9775</v>
      </c>
      <c r="B1517" t="s">
        <v>9776</v>
      </c>
    </row>
    <row r="1518" spans="1:2">
      <c r="A1518" t="s">
        <v>9777</v>
      </c>
      <c r="B1518" t="s">
        <v>9778</v>
      </c>
    </row>
    <row r="1519" spans="1:2">
      <c r="A1519" t="s">
        <v>9779</v>
      </c>
      <c r="B1519" t="s">
        <v>9780</v>
      </c>
    </row>
    <row r="1520" spans="1:2">
      <c r="A1520" t="s">
        <v>9781</v>
      </c>
      <c r="B1520" t="s">
        <v>9782</v>
      </c>
    </row>
    <row r="1521" spans="1:2">
      <c r="A1521" t="s">
        <v>9783</v>
      </c>
      <c r="B1521" t="s">
        <v>9784</v>
      </c>
    </row>
    <row r="1522" spans="1:2">
      <c r="A1522" t="s">
        <v>9785</v>
      </c>
      <c r="B1522" t="s">
        <v>9786</v>
      </c>
    </row>
    <row r="1523" spans="1:2">
      <c r="A1523" t="s">
        <v>9787</v>
      </c>
      <c r="B1523" t="s">
        <v>9788</v>
      </c>
    </row>
    <row r="1524" spans="1:2">
      <c r="A1524" t="s">
        <v>9789</v>
      </c>
      <c r="B1524" t="s">
        <v>9790</v>
      </c>
    </row>
    <row r="1525" spans="1:2">
      <c r="A1525" t="s">
        <v>9791</v>
      </c>
      <c r="B1525" t="s">
        <v>9792</v>
      </c>
    </row>
    <row r="1526" spans="1:2">
      <c r="A1526" t="s">
        <v>9793</v>
      </c>
      <c r="B1526" t="s">
        <v>9794</v>
      </c>
    </row>
    <row r="1527" spans="1:2">
      <c r="A1527" t="s">
        <v>9795</v>
      </c>
      <c r="B1527" t="s">
        <v>9796</v>
      </c>
    </row>
    <row r="1528" spans="1:2">
      <c r="A1528" t="s">
        <v>9797</v>
      </c>
      <c r="B1528" t="s">
        <v>9798</v>
      </c>
    </row>
    <row r="1529" spans="1:2">
      <c r="A1529" t="s">
        <v>9799</v>
      </c>
      <c r="B1529" t="s">
        <v>9800</v>
      </c>
    </row>
    <row r="1530" spans="1:2">
      <c r="A1530" t="s">
        <v>9801</v>
      </c>
      <c r="B1530" t="s">
        <v>9802</v>
      </c>
    </row>
    <row r="1531" spans="1:2">
      <c r="A1531" t="s">
        <v>9803</v>
      </c>
      <c r="B1531" t="s">
        <v>9804</v>
      </c>
    </row>
    <row r="1532" spans="1:2">
      <c r="A1532" t="s">
        <v>9805</v>
      </c>
      <c r="B1532" t="s">
        <v>9806</v>
      </c>
    </row>
    <row r="1533" spans="1:2">
      <c r="A1533" t="s">
        <v>9807</v>
      </c>
      <c r="B1533" t="s">
        <v>9808</v>
      </c>
    </row>
    <row r="1534" spans="1:2">
      <c r="A1534" t="s">
        <v>9809</v>
      </c>
      <c r="B1534" t="s">
        <v>9810</v>
      </c>
    </row>
    <row r="1535" spans="1:2">
      <c r="A1535" t="s">
        <v>9811</v>
      </c>
      <c r="B1535" t="s">
        <v>9812</v>
      </c>
    </row>
    <row r="1536" spans="1:2">
      <c r="A1536" t="s">
        <v>9813</v>
      </c>
      <c r="B1536" t="s">
        <v>9814</v>
      </c>
    </row>
    <row r="1537" spans="1:2">
      <c r="A1537" t="s">
        <v>9815</v>
      </c>
      <c r="B1537" t="s">
        <v>9816</v>
      </c>
    </row>
    <row r="1538" spans="1:2">
      <c r="A1538" t="s">
        <v>9817</v>
      </c>
      <c r="B1538" t="s">
        <v>9818</v>
      </c>
    </row>
    <row r="1539" spans="1:2">
      <c r="A1539" t="s">
        <v>9819</v>
      </c>
      <c r="B1539" t="s">
        <v>9820</v>
      </c>
    </row>
    <row r="1540" spans="1:2">
      <c r="A1540" t="s">
        <v>9821</v>
      </c>
      <c r="B1540" t="s">
        <v>9822</v>
      </c>
    </row>
    <row r="1541" spans="1:2">
      <c r="A1541" t="s">
        <v>9823</v>
      </c>
      <c r="B1541" t="s">
        <v>9824</v>
      </c>
    </row>
    <row r="1542" spans="1:2">
      <c r="A1542" t="s">
        <v>9825</v>
      </c>
      <c r="B1542" t="s">
        <v>9826</v>
      </c>
    </row>
    <row r="1543" spans="1:2">
      <c r="A1543" t="s">
        <v>9827</v>
      </c>
      <c r="B1543" t="s">
        <v>9828</v>
      </c>
    </row>
    <row r="1544" spans="1:2">
      <c r="A1544" t="s">
        <v>9829</v>
      </c>
      <c r="B1544" t="s">
        <v>9830</v>
      </c>
    </row>
    <row r="1545" spans="1:2">
      <c r="A1545" t="s">
        <v>9831</v>
      </c>
      <c r="B1545" t="s">
        <v>9832</v>
      </c>
    </row>
    <row r="1546" spans="1:2">
      <c r="A1546" t="s">
        <v>9833</v>
      </c>
      <c r="B1546" t="s">
        <v>9834</v>
      </c>
    </row>
    <row r="1547" spans="1:2">
      <c r="A1547" t="s">
        <v>9835</v>
      </c>
      <c r="B1547" t="s">
        <v>9836</v>
      </c>
    </row>
    <row r="1548" spans="1:2">
      <c r="A1548" t="s">
        <v>9837</v>
      </c>
      <c r="B1548" t="s">
        <v>9838</v>
      </c>
    </row>
    <row r="1549" spans="1:2">
      <c r="A1549" t="s">
        <v>9839</v>
      </c>
      <c r="B1549" t="s">
        <v>9840</v>
      </c>
    </row>
    <row r="1550" spans="1:2">
      <c r="A1550" t="s">
        <v>9841</v>
      </c>
      <c r="B1550" t="s">
        <v>9842</v>
      </c>
    </row>
    <row r="1551" spans="1:2">
      <c r="A1551" t="s">
        <v>9843</v>
      </c>
      <c r="B1551" t="s">
        <v>9844</v>
      </c>
    </row>
    <row r="1552" spans="1:2">
      <c r="A1552" t="s">
        <v>9845</v>
      </c>
      <c r="B1552" t="s">
        <v>9846</v>
      </c>
    </row>
    <row r="1553" spans="1:2">
      <c r="A1553" t="s">
        <v>9847</v>
      </c>
      <c r="B1553" t="s">
        <v>9848</v>
      </c>
    </row>
    <row r="1554" spans="1:2">
      <c r="A1554" t="s">
        <v>9849</v>
      </c>
      <c r="B1554" t="s">
        <v>9850</v>
      </c>
    </row>
    <row r="1555" spans="1:2">
      <c r="A1555" t="s">
        <v>9851</v>
      </c>
      <c r="B1555" t="s">
        <v>9852</v>
      </c>
    </row>
    <row r="1556" spans="1:2">
      <c r="A1556" t="s">
        <v>9853</v>
      </c>
      <c r="B1556" t="s">
        <v>9854</v>
      </c>
    </row>
    <row r="1557" spans="1:2">
      <c r="A1557" t="s">
        <v>9855</v>
      </c>
      <c r="B1557" t="s">
        <v>9856</v>
      </c>
    </row>
    <row r="1558" spans="1:2">
      <c r="A1558" t="s">
        <v>9857</v>
      </c>
      <c r="B1558" t="s">
        <v>9858</v>
      </c>
    </row>
    <row r="1559" spans="1:2">
      <c r="A1559" t="s">
        <v>9859</v>
      </c>
      <c r="B1559" t="s">
        <v>9860</v>
      </c>
    </row>
    <row r="1560" spans="1:2">
      <c r="A1560" t="s">
        <v>9861</v>
      </c>
      <c r="B1560" t="s">
        <v>9862</v>
      </c>
    </row>
    <row r="1561" spans="1:2">
      <c r="A1561" t="s">
        <v>9863</v>
      </c>
      <c r="B1561" t="s">
        <v>9864</v>
      </c>
    </row>
    <row r="1562" spans="1:2">
      <c r="A1562" t="s">
        <v>9865</v>
      </c>
      <c r="B1562" t="s">
        <v>9866</v>
      </c>
    </row>
    <row r="1563" spans="1:2">
      <c r="A1563" t="s">
        <v>9867</v>
      </c>
      <c r="B1563" t="s">
        <v>9868</v>
      </c>
    </row>
    <row r="1564" spans="1:2">
      <c r="A1564" t="s">
        <v>9869</v>
      </c>
      <c r="B1564" t="s">
        <v>9870</v>
      </c>
    </row>
    <row r="1565" spans="1:2">
      <c r="A1565" t="s">
        <v>9871</v>
      </c>
      <c r="B1565" t="s">
        <v>9872</v>
      </c>
    </row>
    <row r="1566" spans="1:2">
      <c r="A1566" t="s">
        <v>9873</v>
      </c>
      <c r="B1566" t="s">
        <v>9874</v>
      </c>
    </row>
    <row r="1567" spans="1:2">
      <c r="A1567" t="s">
        <v>9875</v>
      </c>
      <c r="B1567" t="s">
        <v>9876</v>
      </c>
    </row>
    <row r="1568" spans="1:2">
      <c r="A1568" t="s">
        <v>9877</v>
      </c>
      <c r="B1568" t="s">
        <v>9878</v>
      </c>
    </row>
    <row r="1569" spans="1:2">
      <c r="A1569" t="s">
        <v>9879</v>
      </c>
      <c r="B1569" t="s">
        <v>9880</v>
      </c>
    </row>
    <row r="1570" spans="1:2">
      <c r="A1570" t="s">
        <v>9881</v>
      </c>
      <c r="B1570" t="s">
        <v>9882</v>
      </c>
    </row>
    <row r="1571" spans="1:2">
      <c r="A1571" t="s">
        <v>9883</v>
      </c>
      <c r="B1571" t="s">
        <v>9884</v>
      </c>
    </row>
    <row r="1572" spans="1:2">
      <c r="A1572" t="s">
        <v>9885</v>
      </c>
      <c r="B1572" t="s">
        <v>9886</v>
      </c>
    </row>
    <row r="1573" spans="1:2">
      <c r="A1573" t="s">
        <v>9887</v>
      </c>
      <c r="B1573" t="s">
        <v>9888</v>
      </c>
    </row>
    <row r="1574" spans="1:2">
      <c r="A1574" t="s">
        <v>9889</v>
      </c>
      <c r="B1574" t="s">
        <v>9890</v>
      </c>
    </row>
    <row r="1575" spans="1:2">
      <c r="A1575" t="s">
        <v>9891</v>
      </c>
      <c r="B1575" t="s">
        <v>9892</v>
      </c>
    </row>
    <row r="1576" spans="1:2">
      <c r="A1576" t="s">
        <v>9893</v>
      </c>
      <c r="B1576" t="s">
        <v>9894</v>
      </c>
    </row>
    <row r="1577" spans="1:2">
      <c r="A1577" t="s">
        <v>9895</v>
      </c>
      <c r="B1577" t="s">
        <v>9896</v>
      </c>
    </row>
    <row r="1578" spans="1:2">
      <c r="A1578" t="s">
        <v>9897</v>
      </c>
      <c r="B1578" t="s">
        <v>9898</v>
      </c>
    </row>
    <row r="1579" spans="1:2">
      <c r="A1579" t="s">
        <v>9899</v>
      </c>
      <c r="B1579" t="s">
        <v>9900</v>
      </c>
    </row>
    <row r="1580" spans="1:2">
      <c r="A1580" t="s">
        <v>9901</v>
      </c>
      <c r="B1580" t="s">
        <v>9902</v>
      </c>
    </row>
    <row r="1581" spans="1:2">
      <c r="A1581" t="s">
        <v>9903</v>
      </c>
      <c r="B1581" t="s">
        <v>9904</v>
      </c>
    </row>
    <row r="1582" spans="1:2">
      <c r="A1582" t="s">
        <v>9905</v>
      </c>
      <c r="B1582" t="s">
        <v>9906</v>
      </c>
    </row>
    <row r="1583" spans="1:2">
      <c r="A1583" t="s">
        <v>9907</v>
      </c>
      <c r="B1583" t="s">
        <v>9908</v>
      </c>
    </row>
    <row r="1584" spans="1:2">
      <c r="A1584" t="s">
        <v>9909</v>
      </c>
      <c r="B1584" t="s">
        <v>9910</v>
      </c>
    </row>
    <row r="1585" spans="1:2">
      <c r="A1585" t="s">
        <v>9911</v>
      </c>
      <c r="B1585" t="s">
        <v>9912</v>
      </c>
    </row>
    <row r="1586" spans="1:2">
      <c r="A1586" t="s">
        <v>9913</v>
      </c>
      <c r="B1586" t="s">
        <v>9914</v>
      </c>
    </row>
    <row r="1587" spans="1:2">
      <c r="A1587" t="s">
        <v>9915</v>
      </c>
      <c r="B1587" t="s">
        <v>9916</v>
      </c>
    </row>
    <row r="1588" spans="1:2">
      <c r="A1588" t="s">
        <v>9917</v>
      </c>
      <c r="B1588" t="s">
        <v>9918</v>
      </c>
    </row>
    <row r="1589" spans="1:2">
      <c r="A1589" t="s">
        <v>9919</v>
      </c>
      <c r="B1589" t="s">
        <v>9920</v>
      </c>
    </row>
    <row r="1590" spans="1:2">
      <c r="A1590" t="s">
        <v>9921</v>
      </c>
      <c r="B1590" t="s">
        <v>9922</v>
      </c>
    </row>
    <row r="1591" spans="1:2">
      <c r="A1591" t="s">
        <v>9923</v>
      </c>
      <c r="B1591" t="s">
        <v>9924</v>
      </c>
    </row>
    <row r="1592" spans="1:2">
      <c r="A1592" t="s">
        <v>9925</v>
      </c>
      <c r="B1592" t="s">
        <v>9926</v>
      </c>
    </row>
    <row r="1593" spans="1:2">
      <c r="A1593" t="s">
        <v>9927</v>
      </c>
      <c r="B1593" t="s">
        <v>9928</v>
      </c>
    </row>
    <row r="1594" spans="1:2">
      <c r="A1594" t="s">
        <v>9929</v>
      </c>
      <c r="B1594" t="s">
        <v>9930</v>
      </c>
    </row>
    <row r="1595" spans="1:2">
      <c r="A1595" t="s">
        <v>9931</v>
      </c>
      <c r="B1595" t="s">
        <v>2699</v>
      </c>
    </row>
    <row r="1596" spans="1:2">
      <c r="A1596" t="s">
        <v>9932</v>
      </c>
      <c r="B1596" t="s">
        <v>9933</v>
      </c>
    </row>
    <row r="1597" spans="1:2">
      <c r="A1597" t="s">
        <v>9934</v>
      </c>
      <c r="B1597" t="s">
        <v>9935</v>
      </c>
    </row>
    <row r="1598" spans="1:2">
      <c r="A1598" t="s">
        <v>9936</v>
      </c>
      <c r="B1598" t="s">
        <v>9937</v>
      </c>
    </row>
    <row r="1599" spans="1:2">
      <c r="A1599" t="s">
        <v>9938</v>
      </c>
      <c r="B1599" t="s">
        <v>9939</v>
      </c>
    </row>
    <row r="1600" spans="1:2">
      <c r="A1600" t="s">
        <v>9940</v>
      </c>
      <c r="B1600" t="s">
        <v>9941</v>
      </c>
    </row>
    <row r="1601" spans="1:2">
      <c r="A1601" t="s">
        <v>9942</v>
      </c>
      <c r="B1601" t="s">
        <v>9943</v>
      </c>
    </row>
    <row r="1602" spans="1:2">
      <c r="A1602" t="s">
        <v>9944</v>
      </c>
      <c r="B1602" t="s">
        <v>9945</v>
      </c>
    </row>
    <row r="1603" spans="1:2">
      <c r="A1603" t="s">
        <v>9946</v>
      </c>
      <c r="B1603" t="s">
        <v>9947</v>
      </c>
    </row>
    <row r="1604" spans="1:2">
      <c r="A1604" t="s">
        <v>9948</v>
      </c>
      <c r="B1604" t="s">
        <v>9949</v>
      </c>
    </row>
    <row r="1605" spans="1:2">
      <c r="A1605" t="s">
        <v>9950</v>
      </c>
      <c r="B1605" t="s">
        <v>9951</v>
      </c>
    </row>
    <row r="1606" spans="1:2">
      <c r="A1606" t="s">
        <v>9952</v>
      </c>
      <c r="B1606" t="s">
        <v>9953</v>
      </c>
    </row>
    <row r="1607" spans="1:2">
      <c r="A1607" t="s">
        <v>9954</v>
      </c>
      <c r="B1607" t="s">
        <v>9955</v>
      </c>
    </row>
    <row r="1608" spans="1:2">
      <c r="A1608" t="s">
        <v>9956</v>
      </c>
      <c r="B1608" t="s">
        <v>9957</v>
      </c>
    </row>
    <row r="1609" spans="1:2">
      <c r="A1609" t="s">
        <v>9958</v>
      </c>
      <c r="B1609" t="s">
        <v>9959</v>
      </c>
    </row>
    <row r="1610" spans="1:2">
      <c r="A1610" t="s">
        <v>9960</v>
      </c>
      <c r="B1610" t="s">
        <v>9961</v>
      </c>
    </row>
    <row r="1611" spans="1:2">
      <c r="A1611" t="s">
        <v>9962</v>
      </c>
      <c r="B1611" t="s">
        <v>9963</v>
      </c>
    </row>
    <row r="1612" spans="1:2">
      <c r="A1612" t="s">
        <v>9964</v>
      </c>
      <c r="B1612" t="s">
        <v>9965</v>
      </c>
    </row>
    <row r="1613" spans="1:2">
      <c r="A1613" t="s">
        <v>9966</v>
      </c>
      <c r="B1613" t="s">
        <v>9967</v>
      </c>
    </row>
    <row r="1614" spans="1:2">
      <c r="A1614" t="s">
        <v>9968</v>
      </c>
      <c r="B1614" t="s">
        <v>9969</v>
      </c>
    </row>
    <row r="1615" spans="1:2">
      <c r="A1615" t="s">
        <v>9970</v>
      </c>
      <c r="B1615" t="s">
        <v>9971</v>
      </c>
    </row>
    <row r="1616" spans="1:2">
      <c r="A1616" t="s">
        <v>9972</v>
      </c>
      <c r="B1616" t="s">
        <v>9973</v>
      </c>
    </row>
    <row r="1617" spans="1:2">
      <c r="A1617" t="s">
        <v>9974</v>
      </c>
      <c r="B1617" t="s">
        <v>9975</v>
      </c>
    </row>
    <row r="1618" spans="1:2">
      <c r="A1618" t="s">
        <v>9976</v>
      </c>
      <c r="B1618" t="s">
        <v>9977</v>
      </c>
    </row>
    <row r="1619" spans="1:2">
      <c r="A1619" t="s">
        <v>9978</v>
      </c>
      <c r="B1619" t="s">
        <v>9979</v>
      </c>
    </row>
    <row r="1620" spans="1:2">
      <c r="A1620" t="s">
        <v>9980</v>
      </c>
      <c r="B1620" t="s">
        <v>9981</v>
      </c>
    </row>
    <row r="1621" spans="1:2">
      <c r="A1621" t="s">
        <v>9982</v>
      </c>
      <c r="B1621" t="s">
        <v>9983</v>
      </c>
    </row>
    <row r="1622" spans="1:2">
      <c r="A1622" t="s">
        <v>9984</v>
      </c>
      <c r="B1622" t="s">
        <v>9985</v>
      </c>
    </row>
    <row r="1623" spans="1:2">
      <c r="A1623" t="s">
        <v>9986</v>
      </c>
      <c r="B1623" t="s">
        <v>9987</v>
      </c>
    </row>
    <row r="1624" spans="1:2">
      <c r="A1624" t="s">
        <v>9988</v>
      </c>
      <c r="B1624" t="s">
        <v>9989</v>
      </c>
    </row>
    <row r="1625" spans="1:2">
      <c r="A1625" t="s">
        <v>9990</v>
      </c>
      <c r="B1625" t="s">
        <v>9991</v>
      </c>
    </row>
    <row r="1626" spans="1:2">
      <c r="A1626" t="s">
        <v>9992</v>
      </c>
      <c r="B1626" t="s">
        <v>9993</v>
      </c>
    </row>
    <row r="1627" spans="1:2">
      <c r="A1627" t="s">
        <v>9994</v>
      </c>
      <c r="B1627" t="s">
        <v>9995</v>
      </c>
    </row>
    <row r="1628" spans="1:2">
      <c r="A1628" t="s">
        <v>9996</v>
      </c>
      <c r="B1628" t="s">
        <v>9997</v>
      </c>
    </row>
    <row r="1629" spans="1:2">
      <c r="A1629" t="s">
        <v>9998</v>
      </c>
      <c r="B1629" t="s">
        <v>9999</v>
      </c>
    </row>
    <row r="1630" spans="1:2">
      <c r="A1630" t="s">
        <v>10000</v>
      </c>
      <c r="B1630" t="s">
        <v>10001</v>
      </c>
    </row>
    <row r="1631" spans="1:2">
      <c r="A1631" t="s">
        <v>10002</v>
      </c>
      <c r="B1631" t="s">
        <v>10003</v>
      </c>
    </row>
    <row r="1632" spans="1:2">
      <c r="A1632" t="s">
        <v>10004</v>
      </c>
      <c r="B1632" t="s">
        <v>10005</v>
      </c>
    </row>
    <row r="1633" spans="1:2">
      <c r="A1633" t="s">
        <v>10006</v>
      </c>
      <c r="B1633" t="s">
        <v>10007</v>
      </c>
    </row>
    <row r="1634" spans="1:2">
      <c r="A1634" t="s">
        <v>10008</v>
      </c>
      <c r="B1634" t="s">
        <v>10009</v>
      </c>
    </row>
    <row r="1635" spans="1:2">
      <c r="A1635" t="s">
        <v>10010</v>
      </c>
      <c r="B1635" t="s">
        <v>10011</v>
      </c>
    </row>
    <row r="1636" spans="1:2">
      <c r="A1636" t="s">
        <v>10012</v>
      </c>
      <c r="B1636" t="s">
        <v>10013</v>
      </c>
    </row>
    <row r="1637" spans="1:2">
      <c r="A1637" t="s">
        <v>10014</v>
      </c>
      <c r="B1637" t="s">
        <v>10015</v>
      </c>
    </row>
    <row r="1638" spans="1:2">
      <c r="A1638" t="s">
        <v>10016</v>
      </c>
      <c r="B1638" t="s">
        <v>10017</v>
      </c>
    </row>
    <row r="1639" spans="1:2">
      <c r="A1639" t="s">
        <v>10018</v>
      </c>
      <c r="B1639" t="s">
        <v>10019</v>
      </c>
    </row>
    <row r="1640" spans="1:2">
      <c r="A1640" t="s">
        <v>10020</v>
      </c>
      <c r="B1640" t="s">
        <v>10021</v>
      </c>
    </row>
    <row r="1641" spans="1:2">
      <c r="A1641" t="s">
        <v>10022</v>
      </c>
      <c r="B1641" t="s">
        <v>10023</v>
      </c>
    </row>
    <row r="1642" spans="1:2">
      <c r="A1642" t="s">
        <v>10024</v>
      </c>
      <c r="B1642" t="s">
        <v>10025</v>
      </c>
    </row>
    <row r="1643" spans="1:2">
      <c r="A1643" t="s">
        <v>10026</v>
      </c>
      <c r="B1643" t="s">
        <v>10027</v>
      </c>
    </row>
    <row r="1644" spans="1:2">
      <c r="A1644" t="s">
        <v>10028</v>
      </c>
      <c r="B1644" t="s">
        <v>10029</v>
      </c>
    </row>
    <row r="1645" spans="1:2">
      <c r="A1645" t="s">
        <v>10030</v>
      </c>
      <c r="B1645" t="s">
        <v>10031</v>
      </c>
    </row>
    <row r="1646" spans="1:2">
      <c r="A1646" t="s">
        <v>10032</v>
      </c>
      <c r="B1646" t="s">
        <v>10033</v>
      </c>
    </row>
    <row r="1647" spans="1:2">
      <c r="A1647" t="s">
        <v>10034</v>
      </c>
      <c r="B1647" t="s">
        <v>10035</v>
      </c>
    </row>
    <row r="1648" spans="1:2">
      <c r="A1648" t="s">
        <v>10036</v>
      </c>
      <c r="B1648" t="s">
        <v>10037</v>
      </c>
    </row>
    <row r="1649" spans="1:2">
      <c r="A1649" t="s">
        <v>10038</v>
      </c>
      <c r="B1649" t="s">
        <v>10039</v>
      </c>
    </row>
    <row r="1650" spans="1:2">
      <c r="A1650" t="s">
        <v>10040</v>
      </c>
      <c r="B1650" t="s">
        <v>10041</v>
      </c>
    </row>
    <row r="1651" spans="1:2">
      <c r="A1651" t="s">
        <v>10042</v>
      </c>
      <c r="B1651" t="s">
        <v>10043</v>
      </c>
    </row>
    <row r="1652" spans="1:2">
      <c r="A1652" t="s">
        <v>10044</v>
      </c>
      <c r="B1652" t="s">
        <v>10045</v>
      </c>
    </row>
    <row r="1653" spans="1:2">
      <c r="A1653" t="s">
        <v>10046</v>
      </c>
      <c r="B1653" t="s">
        <v>10047</v>
      </c>
    </row>
    <row r="1654" spans="1:2">
      <c r="A1654" t="s">
        <v>10048</v>
      </c>
      <c r="B1654" t="s">
        <v>10049</v>
      </c>
    </row>
    <row r="1655" spans="1:2">
      <c r="A1655" t="s">
        <v>10050</v>
      </c>
      <c r="B1655" t="s">
        <v>10051</v>
      </c>
    </row>
    <row r="1656" spans="1:2">
      <c r="A1656" t="s">
        <v>10052</v>
      </c>
      <c r="B1656" t="s">
        <v>10053</v>
      </c>
    </row>
    <row r="1657" spans="1:2">
      <c r="A1657" t="s">
        <v>10054</v>
      </c>
      <c r="B1657" t="s">
        <v>10055</v>
      </c>
    </row>
    <row r="1658" spans="1:2">
      <c r="A1658" t="s">
        <v>10056</v>
      </c>
      <c r="B1658" t="s">
        <v>10057</v>
      </c>
    </row>
    <row r="1659" spans="1:2">
      <c r="A1659" t="s">
        <v>10058</v>
      </c>
      <c r="B1659" t="s">
        <v>10059</v>
      </c>
    </row>
    <row r="1660" spans="1:2">
      <c r="A1660" t="s">
        <v>10060</v>
      </c>
      <c r="B1660" t="s">
        <v>10061</v>
      </c>
    </row>
    <row r="1661" spans="1:2">
      <c r="A1661" t="s">
        <v>10062</v>
      </c>
      <c r="B1661" t="s">
        <v>10063</v>
      </c>
    </row>
    <row r="1662" spans="1:2">
      <c r="A1662" t="s">
        <v>10064</v>
      </c>
      <c r="B1662" t="s">
        <v>10065</v>
      </c>
    </row>
    <row r="1663" spans="1:2">
      <c r="A1663" t="s">
        <v>10066</v>
      </c>
      <c r="B1663" t="s">
        <v>10067</v>
      </c>
    </row>
    <row r="1664" spans="1:2">
      <c r="A1664" t="s">
        <v>10068</v>
      </c>
      <c r="B1664" t="s">
        <v>10069</v>
      </c>
    </row>
    <row r="1665" spans="1:2">
      <c r="A1665" t="s">
        <v>10070</v>
      </c>
      <c r="B1665" t="s">
        <v>10071</v>
      </c>
    </row>
    <row r="1666" spans="1:2">
      <c r="A1666" t="s">
        <v>10072</v>
      </c>
      <c r="B1666" t="s">
        <v>10073</v>
      </c>
    </row>
    <row r="1667" spans="1:2">
      <c r="A1667" t="s">
        <v>10074</v>
      </c>
      <c r="B1667" t="s">
        <v>10075</v>
      </c>
    </row>
    <row r="1668" spans="1:2">
      <c r="A1668" t="s">
        <v>10076</v>
      </c>
      <c r="B1668" t="s">
        <v>10077</v>
      </c>
    </row>
    <row r="1669" spans="1:2">
      <c r="A1669" t="s">
        <v>10078</v>
      </c>
      <c r="B1669" t="s">
        <v>10079</v>
      </c>
    </row>
    <row r="1670" spans="1:2">
      <c r="A1670" t="s">
        <v>10080</v>
      </c>
      <c r="B1670" t="s">
        <v>10081</v>
      </c>
    </row>
    <row r="1671" spans="1:2">
      <c r="A1671" t="s">
        <v>10082</v>
      </c>
      <c r="B1671" t="s">
        <v>10083</v>
      </c>
    </row>
    <row r="1672" spans="1:2">
      <c r="A1672" t="s">
        <v>10084</v>
      </c>
      <c r="B1672" t="s">
        <v>10085</v>
      </c>
    </row>
    <row r="1673" spans="1:2">
      <c r="A1673" t="s">
        <v>10086</v>
      </c>
      <c r="B1673" t="s">
        <v>10087</v>
      </c>
    </row>
    <row r="1674" spans="1:2">
      <c r="A1674" t="s">
        <v>10088</v>
      </c>
      <c r="B1674" t="s">
        <v>10089</v>
      </c>
    </row>
    <row r="1675" spans="1:2">
      <c r="A1675" t="s">
        <v>10090</v>
      </c>
      <c r="B1675" t="s">
        <v>10091</v>
      </c>
    </row>
    <row r="1676" spans="1:2">
      <c r="A1676" t="s">
        <v>10092</v>
      </c>
      <c r="B1676" t="s">
        <v>10093</v>
      </c>
    </row>
    <row r="1677" spans="1:2">
      <c r="A1677" t="s">
        <v>10094</v>
      </c>
      <c r="B1677" t="s">
        <v>10095</v>
      </c>
    </row>
    <row r="1678" spans="1:2">
      <c r="A1678" t="s">
        <v>10096</v>
      </c>
      <c r="B1678" t="s">
        <v>10097</v>
      </c>
    </row>
    <row r="1679" spans="1:2">
      <c r="A1679" t="s">
        <v>10098</v>
      </c>
      <c r="B1679" t="s">
        <v>10099</v>
      </c>
    </row>
    <row r="1680" spans="1:2">
      <c r="A1680" t="s">
        <v>10100</v>
      </c>
      <c r="B1680" t="s">
        <v>10101</v>
      </c>
    </row>
    <row r="1681" spans="1:2">
      <c r="A1681" t="s">
        <v>10102</v>
      </c>
      <c r="B1681" t="s">
        <v>10103</v>
      </c>
    </row>
    <row r="1682" spans="1:2">
      <c r="A1682" t="s">
        <v>10104</v>
      </c>
      <c r="B1682" t="s">
        <v>10105</v>
      </c>
    </row>
    <row r="1683" spans="1:2">
      <c r="A1683" t="s">
        <v>10106</v>
      </c>
      <c r="B1683" t="s">
        <v>10107</v>
      </c>
    </row>
    <row r="1684" spans="1:2">
      <c r="A1684" t="s">
        <v>10108</v>
      </c>
      <c r="B1684" t="s">
        <v>10109</v>
      </c>
    </row>
    <row r="1685" spans="1:2">
      <c r="A1685" t="s">
        <v>10110</v>
      </c>
      <c r="B1685" t="s">
        <v>10111</v>
      </c>
    </row>
    <row r="1686" spans="1:2">
      <c r="A1686" t="s">
        <v>10112</v>
      </c>
      <c r="B1686" t="s">
        <v>10113</v>
      </c>
    </row>
    <row r="1687" spans="1:2">
      <c r="A1687" t="s">
        <v>10114</v>
      </c>
      <c r="B1687" t="s">
        <v>10115</v>
      </c>
    </row>
    <row r="1688" spans="1:2">
      <c r="A1688" t="s">
        <v>10116</v>
      </c>
      <c r="B1688" t="s">
        <v>10117</v>
      </c>
    </row>
    <row r="1689" spans="1:2">
      <c r="A1689" t="s">
        <v>10118</v>
      </c>
      <c r="B1689" t="s">
        <v>10119</v>
      </c>
    </row>
    <row r="1690" spans="1:2">
      <c r="A1690" t="s">
        <v>10120</v>
      </c>
      <c r="B1690" t="s">
        <v>10121</v>
      </c>
    </row>
    <row r="1691" spans="1:2">
      <c r="A1691" t="s">
        <v>10122</v>
      </c>
      <c r="B1691" t="s">
        <v>10123</v>
      </c>
    </row>
    <row r="1692" spans="1:2">
      <c r="A1692" t="s">
        <v>10124</v>
      </c>
      <c r="B1692" t="s">
        <v>10125</v>
      </c>
    </row>
    <row r="1693" spans="1:2">
      <c r="A1693" t="s">
        <v>10126</v>
      </c>
      <c r="B1693" t="s">
        <v>10127</v>
      </c>
    </row>
    <row r="1694" spans="1:2">
      <c r="A1694" t="s">
        <v>10128</v>
      </c>
      <c r="B1694" t="s">
        <v>10129</v>
      </c>
    </row>
    <row r="1695" spans="1:2">
      <c r="A1695" t="s">
        <v>10130</v>
      </c>
      <c r="B1695" t="s">
        <v>10131</v>
      </c>
    </row>
    <row r="1696" spans="1:2">
      <c r="A1696" t="s">
        <v>10132</v>
      </c>
      <c r="B1696" t="s">
        <v>10133</v>
      </c>
    </row>
    <row r="1697" spans="1:2">
      <c r="A1697" t="s">
        <v>10134</v>
      </c>
      <c r="B1697" t="s">
        <v>10135</v>
      </c>
    </row>
    <row r="1698" spans="1:2">
      <c r="A1698" t="s">
        <v>10136</v>
      </c>
      <c r="B1698" t="s">
        <v>10137</v>
      </c>
    </row>
    <row r="1699" spans="1:2">
      <c r="A1699" t="s">
        <v>10138</v>
      </c>
      <c r="B1699" t="s">
        <v>10139</v>
      </c>
    </row>
    <row r="1700" spans="1:2">
      <c r="A1700" t="s">
        <v>10140</v>
      </c>
      <c r="B1700" t="s">
        <v>10141</v>
      </c>
    </row>
    <row r="1701" spans="1:2">
      <c r="A1701" t="s">
        <v>10142</v>
      </c>
      <c r="B1701" t="s">
        <v>10143</v>
      </c>
    </row>
    <row r="1702" spans="1:2">
      <c r="A1702" t="s">
        <v>10144</v>
      </c>
      <c r="B1702" t="s">
        <v>10145</v>
      </c>
    </row>
    <row r="1703" spans="1:2">
      <c r="A1703" t="s">
        <v>10146</v>
      </c>
      <c r="B1703" t="s">
        <v>10147</v>
      </c>
    </row>
    <row r="1704" spans="1:2">
      <c r="A1704" t="s">
        <v>10148</v>
      </c>
      <c r="B1704" t="s">
        <v>10149</v>
      </c>
    </row>
    <row r="1705" spans="1:2">
      <c r="A1705" t="s">
        <v>10150</v>
      </c>
      <c r="B1705" t="s">
        <v>10151</v>
      </c>
    </row>
    <row r="1706" spans="1:2">
      <c r="A1706" t="s">
        <v>10152</v>
      </c>
      <c r="B1706" t="s">
        <v>10153</v>
      </c>
    </row>
    <row r="1707" spans="1:2">
      <c r="A1707" t="s">
        <v>10154</v>
      </c>
      <c r="B1707" t="s">
        <v>10155</v>
      </c>
    </row>
    <row r="1708" spans="1:2">
      <c r="A1708" t="s">
        <v>10156</v>
      </c>
      <c r="B1708" t="s">
        <v>10157</v>
      </c>
    </row>
    <row r="1709" spans="1:2">
      <c r="A1709" t="s">
        <v>10158</v>
      </c>
      <c r="B1709" t="s">
        <v>10159</v>
      </c>
    </row>
    <row r="1710" spans="1:2">
      <c r="A1710" t="s">
        <v>10160</v>
      </c>
      <c r="B1710" t="s">
        <v>10161</v>
      </c>
    </row>
    <row r="1711" spans="1:2">
      <c r="A1711" t="s">
        <v>10162</v>
      </c>
      <c r="B1711" t="s">
        <v>10163</v>
      </c>
    </row>
    <row r="1712" spans="1:2">
      <c r="A1712" t="s">
        <v>10164</v>
      </c>
      <c r="B1712" t="s">
        <v>10165</v>
      </c>
    </row>
    <row r="1713" spans="1:2">
      <c r="A1713" t="s">
        <v>10166</v>
      </c>
      <c r="B1713" t="s">
        <v>10167</v>
      </c>
    </row>
    <row r="1714" spans="1:2">
      <c r="A1714" t="s">
        <v>10168</v>
      </c>
      <c r="B1714" t="s">
        <v>10169</v>
      </c>
    </row>
    <row r="1715" spans="1:2">
      <c r="A1715" t="s">
        <v>10170</v>
      </c>
      <c r="B1715" t="s">
        <v>10171</v>
      </c>
    </row>
    <row r="1716" spans="1:2">
      <c r="A1716" t="s">
        <v>10172</v>
      </c>
      <c r="B1716" t="s">
        <v>10173</v>
      </c>
    </row>
    <row r="1717" spans="1:2">
      <c r="A1717" t="s">
        <v>10174</v>
      </c>
      <c r="B1717" t="s">
        <v>10175</v>
      </c>
    </row>
    <row r="1718" spans="1:2">
      <c r="A1718" t="s">
        <v>10176</v>
      </c>
      <c r="B1718" t="s">
        <v>10177</v>
      </c>
    </row>
    <row r="1719" spans="1:2">
      <c r="A1719" t="s">
        <v>10178</v>
      </c>
      <c r="B1719" t="s">
        <v>10179</v>
      </c>
    </row>
    <row r="1720" spans="1:2">
      <c r="A1720" t="s">
        <v>10180</v>
      </c>
      <c r="B1720" t="s">
        <v>10181</v>
      </c>
    </row>
    <row r="1721" spans="1:2">
      <c r="A1721" t="s">
        <v>10182</v>
      </c>
      <c r="B1721" t="s">
        <v>10183</v>
      </c>
    </row>
    <row r="1722" spans="1:2">
      <c r="A1722" t="s">
        <v>10184</v>
      </c>
      <c r="B1722" t="s">
        <v>10185</v>
      </c>
    </row>
    <row r="1723" spans="1:2">
      <c r="A1723" t="s">
        <v>10186</v>
      </c>
      <c r="B1723" t="s">
        <v>10187</v>
      </c>
    </row>
    <row r="1724" spans="1:2">
      <c r="A1724" t="s">
        <v>10188</v>
      </c>
      <c r="B1724" t="s">
        <v>10189</v>
      </c>
    </row>
    <row r="1725" spans="1:2">
      <c r="A1725" t="s">
        <v>10190</v>
      </c>
      <c r="B1725" t="s">
        <v>10191</v>
      </c>
    </row>
    <row r="1726" spans="1:2">
      <c r="A1726" t="s">
        <v>10192</v>
      </c>
      <c r="B1726" t="s">
        <v>10193</v>
      </c>
    </row>
    <row r="1727" spans="1:2">
      <c r="A1727" t="s">
        <v>10194</v>
      </c>
      <c r="B1727" t="s">
        <v>10195</v>
      </c>
    </row>
    <row r="1728" spans="1:2">
      <c r="A1728" t="s">
        <v>10196</v>
      </c>
      <c r="B1728" t="s">
        <v>10197</v>
      </c>
    </row>
    <row r="1729" spans="1:2">
      <c r="A1729" t="s">
        <v>10198</v>
      </c>
      <c r="B1729" t="s">
        <v>10199</v>
      </c>
    </row>
    <row r="1730" spans="1:2">
      <c r="A1730" t="s">
        <v>10200</v>
      </c>
      <c r="B1730" t="s">
        <v>10201</v>
      </c>
    </row>
    <row r="1731" spans="1:2">
      <c r="A1731" t="s">
        <v>10202</v>
      </c>
      <c r="B1731" t="s">
        <v>10203</v>
      </c>
    </row>
    <row r="1732" spans="1:2">
      <c r="A1732" t="s">
        <v>10204</v>
      </c>
      <c r="B1732" t="s">
        <v>10205</v>
      </c>
    </row>
    <row r="1733" spans="1:2">
      <c r="A1733" t="s">
        <v>10206</v>
      </c>
      <c r="B1733" t="s">
        <v>10207</v>
      </c>
    </row>
    <row r="1734" spans="1:2">
      <c r="A1734" t="s">
        <v>10208</v>
      </c>
      <c r="B1734" t="s">
        <v>10209</v>
      </c>
    </row>
    <row r="1735" spans="1:2">
      <c r="A1735" t="s">
        <v>10210</v>
      </c>
      <c r="B1735" t="s">
        <v>10211</v>
      </c>
    </row>
    <row r="1736" spans="1:2">
      <c r="A1736" t="s">
        <v>10212</v>
      </c>
      <c r="B1736" t="s">
        <v>10213</v>
      </c>
    </row>
    <row r="1737" spans="1:2">
      <c r="A1737" t="s">
        <v>10214</v>
      </c>
      <c r="B1737" t="s">
        <v>10215</v>
      </c>
    </row>
    <row r="1738" spans="1:2">
      <c r="A1738" t="s">
        <v>10216</v>
      </c>
      <c r="B1738" t="s">
        <v>10217</v>
      </c>
    </row>
    <row r="1739" spans="1:2">
      <c r="A1739" t="s">
        <v>10218</v>
      </c>
      <c r="B1739" t="s">
        <v>10219</v>
      </c>
    </row>
    <row r="1740" spans="1:2">
      <c r="A1740" t="s">
        <v>10220</v>
      </c>
      <c r="B1740" t="s">
        <v>10221</v>
      </c>
    </row>
    <row r="1741" spans="1:2">
      <c r="A1741" t="s">
        <v>10222</v>
      </c>
      <c r="B1741" t="s">
        <v>10223</v>
      </c>
    </row>
    <row r="1742" spans="1:2">
      <c r="A1742" t="s">
        <v>10224</v>
      </c>
      <c r="B1742" t="s">
        <v>10225</v>
      </c>
    </row>
    <row r="1743" spans="1:2">
      <c r="A1743" t="s">
        <v>10226</v>
      </c>
      <c r="B1743" t="s">
        <v>10227</v>
      </c>
    </row>
    <row r="1744" spans="1:2">
      <c r="A1744" t="s">
        <v>10228</v>
      </c>
      <c r="B1744" t="s">
        <v>10229</v>
      </c>
    </row>
    <row r="1745" spans="1:2">
      <c r="A1745" t="s">
        <v>10230</v>
      </c>
      <c r="B1745" t="s">
        <v>3069</v>
      </c>
    </row>
    <row r="1746" spans="1:2">
      <c r="A1746" t="s">
        <v>10231</v>
      </c>
      <c r="B1746" t="s">
        <v>10232</v>
      </c>
    </row>
    <row r="1747" spans="1:2">
      <c r="A1747" t="s">
        <v>10233</v>
      </c>
      <c r="B1747" t="s">
        <v>10234</v>
      </c>
    </row>
    <row r="1748" spans="1:2">
      <c r="A1748" t="s">
        <v>10235</v>
      </c>
      <c r="B1748" t="s">
        <v>10236</v>
      </c>
    </row>
    <row r="1749" spans="1:2">
      <c r="A1749" t="s">
        <v>10237</v>
      </c>
      <c r="B1749" t="s">
        <v>10238</v>
      </c>
    </row>
    <row r="1750" spans="1:2">
      <c r="A1750" t="s">
        <v>10239</v>
      </c>
      <c r="B1750" t="s">
        <v>10240</v>
      </c>
    </row>
    <row r="1751" spans="1:2">
      <c r="A1751" t="s">
        <v>10241</v>
      </c>
      <c r="B1751" t="s">
        <v>10242</v>
      </c>
    </row>
    <row r="1752" spans="1:2">
      <c r="A1752" t="s">
        <v>10243</v>
      </c>
      <c r="B1752" t="s">
        <v>10244</v>
      </c>
    </row>
    <row r="1753" spans="1:2">
      <c r="A1753" t="s">
        <v>10245</v>
      </c>
      <c r="B1753" t="s">
        <v>10246</v>
      </c>
    </row>
    <row r="1754" spans="1:2">
      <c r="A1754" t="s">
        <v>10247</v>
      </c>
      <c r="B1754" t="s">
        <v>10248</v>
      </c>
    </row>
    <row r="1755" spans="1:2">
      <c r="A1755" t="s">
        <v>10249</v>
      </c>
      <c r="B1755" t="s">
        <v>10250</v>
      </c>
    </row>
    <row r="1756" spans="1:2">
      <c r="A1756" t="s">
        <v>10251</v>
      </c>
      <c r="B1756" t="s">
        <v>10252</v>
      </c>
    </row>
    <row r="1757" spans="1:2">
      <c r="A1757" t="s">
        <v>10253</v>
      </c>
      <c r="B1757" t="s">
        <v>10254</v>
      </c>
    </row>
    <row r="1758" spans="1:2">
      <c r="A1758" t="s">
        <v>10255</v>
      </c>
      <c r="B1758" t="s">
        <v>10256</v>
      </c>
    </row>
    <row r="1759" spans="1:2">
      <c r="A1759" t="s">
        <v>10257</v>
      </c>
      <c r="B1759" t="s">
        <v>10258</v>
      </c>
    </row>
    <row r="1760" spans="1:2">
      <c r="A1760" t="s">
        <v>10259</v>
      </c>
      <c r="B1760" t="s">
        <v>10260</v>
      </c>
    </row>
    <row r="1761" spans="1:2">
      <c r="A1761" t="s">
        <v>10261</v>
      </c>
      <c r="B1761" t="s">
        <v>10262</v>
      </c>
    </row>
    <row r="1762" spans="1:2">
      <c r="A1762" t="s">
        <v>10263</v>
      </c>
      <c r="B1762" t="s">
        <v>10264</v>
      </c>
    </row>
    <row r="1763" spans="1:2">
      <c r="A1763" t="s">
        <v>10265</v>
      </c>
      <c r="B1763" t="s">
        <v>10266</v>
      </c>
    </row>
    <row r="1764" spans="1:2">
      <c r="A1764" t="s">
        <v>10267</v>
      </c>
      <c r="B1764" t="s">
        <v>10268</v>
      </c>
    </row>
    <row r="1765" spans="1:2">
      <c r="A1765" t="s">
        <v>10269</v>
      </c>
      <c r="B1765" t="s">
        <v>10270</v>
      </c>
    </row>
    <row r="1766" spans="1:2">
      <c r="A1766" t="s">
        <v>10271</v>
      </c>
      <c r="B1766" t="s">
        <v>10272</v>
      </c>
    </row>
    <row r="1767" spans="1:2">
      <c r="A1767" t="s">
        <v>10273</v>
      </c>
      <c r="B1767" t="s">
        <v>10274</v>
      </c>
    </row>
    <row r="1768" spans="1:2">
      <c r="A1768" t="s">
        <v>10275</v>
      </c>
      <c r="B1768" t="s">
        <v>10276</v>
      </c>
    </row>
    <row r="1769" spans="1:2">
      <c r="A1769" t="s">
        <v>10277</v>
      </c>
      <c r="B1769" t="s">
        <v>10278</v>
      </c>
    </row>
    <row r="1770" spans="1:2">
      <c r="A1770" t="s">
        <v>10279</v>
      </c>
      <c r="B1770" t="s">
        <v>10280</v>
      </c>
    </row>
    <row r="1771" spans="1:2">
      <c r="A1771" t="s">
        <v>10281</v>
      </c>
      <c r="B1771" t="s">
        <v>10282</v>
      </c>
    </row>
    <row r="1772" spans="1:2">
      <c r="A1772" t="s">
        <v>10283</v>
      </c>
      <c r="B1772" t="s">
        <v>7549</v>
      </c>
    </row>
    <row r="1773" spans="1:2">
      <c r="A1773" t="s">
        <v>10284</v>
      </c>
      <c r="B1773" t="s">
        <v>8977</v>
      </c>
    </row>
    <row r="1774" spans="1:2">
      <c r="A1774" t="s">
        <v>10285</v>
      </c>
      <c r="B1774" t="s">
        <v>7218</v>
      </c>
    </row>
    <row r="1775" spans="1:2">
      <c r="A1775" t="s">
        <v>10286</v>
      </c>
      <c r="B1775" t="s">
        <v>7220</v>
      </c>
    </row>
    <row r="1776" spans="1:2">
      <c r="A1776" t="s">
        <v>10287</v>
      </c>
      <c r="B1776" t="s">
        <v>8984</v>
      </c>
    </row>
    <row r="1777" spans="1:2">
      <c r="A1777" t="s">
        <v>10288</v>
      </c>
      <c r="B1777" t="s">
        <v>8986</v>
      </c>
    </row>
    <row r="1778" spans="1:2">
      <c r="A1778" t="s">
        <v>10289</v>
      </c>
      <c r="B1778" t="s">
        <v>10290</v>
      </c>
    </row>
    <row r="1779" spans="1:2">
      <c r="A1779" t="s">
        <v>10291</v>
      </c>
      <c r="B1779" t="s">
        <v>10292</v>
      </c>
    </row>
    <row r="1780" spans="1:2">
      <c r="A1780" t="s">
        <v>10293</v>
      </c>
      <c r="B1780" t="s">
        <v>10294</v>
      </c>
    </row>
    <row r="1781" spans="1:2">
      <c r="A1781" t="s">
        <v>10295</v>
      </c>
      <c r="B1781" t="s">
        <v>10296</v>
      </c>
    </row>
    <row r="1782" spans="1:2">
      <c r="A1782" t="s">
        <v>10297</v>
      </c>
      <c r="B1782" t="s">
        <v>10298</v>
      </c>
    </row>
    <row r="1783" spans="1:2">
      <c r="A1783" t="s">
        <v>10299</v>
      </c>
      <c r="B1783" t="s">
        <v>10300</v>
      </c>
    </row>
    <row r="1784" spans="1:2">
      <c r="A1784" t="s">
        <v>10301</v>
      </c>
      <c r="B1784" t="s">
        <v>10302</v>
      </c>
    </row>
    <row r="1785" spans="1:2">
      <c r="A1785" t="s">
        <v>10303</v>
      </c>
      <c r="B1785" t="s">
        <v>10304</v>
      </c>
    </row>
    <row r="1786" spans="1:2">
      <c r="A1786" t="s">
        <v>10305</v>
      </c>
      <c r="B1786" t="s">
        <v>10306</v>
      </c>
    </row>
    <row r="1787" spans="1:2">
      <c r="A1787" t="s">
        <v>10307</v>
      </c>
      <c r="B1787" t="s">
        <v>10308</v>
      </c>
    </row>
    <row r="1788" spans="1:2">
      <c r="A1788" t="s">
        <v>10309</v>
      </c>
      <c r="B1788" t="s">
        <v>10310</v>
      </c>
    </row>
    <row r="1789" spans="1:2">
      <c r="A1789" t="s">
        <v>10311</v>
      </c>
      <c r="B1789" t="s">
        <v>10312</v>
      </c>
    </row>
    <row r="1790" spans="1:2">
      <c r="A1790" t="s">
        <v>10313</v>
      </c>
      <c r="B1790" t="s">
        <v>10314</v>
      </c>
    </row>
    <row r="1791" spans="1:2">
      <c r="A1791" t="s">
        <v>10315</v>
      </c>
      <c r="B1791" t="s">
        <v>537</v>
      </c>
    </row>
    <row r="1792" spans="1:2">
      <c r="A1792" t="s">
        <v>10316</v>
      </c>
      <c r="B1792" t="s">
        <v>10317</v>
      </c>
    </row>
    <row r="1793" spans="1:2">
      <c r="A1793" t="s">
        <v>10318</v>
      </c>
      <c r="B1793" t="s">
        <v>10319</v>
      </c>
    </row>
    <row r="1794" spans="1:2">
      <c r="A1794" t="s">
        <v>10320</v>
      </c>
      <c r="B1794" t="s">
        <v>10321</v>
      </c>
    </row>
    <row r="1795" spans="1:2">
      <c r="A1795" t="s">
        <v>10322</v>
      </c>
      <c r="B1795" t="s">
        <v>10323</v>
      </c>
    </row>
    <row r="1796" spans="1:2">
      <c r="A1796" t="s">
        <v>10324</v>
      </c>
      <c r="B1796" t="s">
        <v>8152</v>
      </c>
    </row>
    <row r="1797" spans="1:2">
      <c r="A1797" t="s">
        <v>10325</v>
      </c>
      <c r="B1797" t="s">
        <v>9557</v>
      </c>
    </row>
    <row r="1798" spans="1:2">
      <c r="A1798" t="s">
        <v>10326</v>
      </c>
      <c r="B1798" t="s">
        <v>8164</v>
      </c>
    </row>
    <row r="1799" spans="1:2">
      <c r="A1799" t="s">
        <v>10327</v>
      </c>
      <c r="B1799" t="s">
        <v>9565</v>
      </c>
    </row>
    <row r="1800" spans="1:2">
      <c r="A1800" t="s">
        <v>10328</v>
      </c>
      <c r="B1800" t="s">
        <v>10329</v>
      </c>
    </row>
    <row r="1801" spans="1:2">
      <c r="A1801" t="s">
        <v>10330</v>
      </c>
      <c r="B1801" t="s">
        <v>10331</v>
      </c>
    </row>
    <row r="1802" spans="1:2">
      <c r="A1802" t="s">
        <v>10332</v>
      </c>
      <c r="B1802" t="s">
        <v>10333</v>
      </c>
    </row>
    <row r="1803" spans="1:2">
      <c r="A1803" t="s">
        <v>10334</v>
      </c>
      <c r="B1803" t="s">
        <v>10335</v>
      </c>
    </row>
    <row r="1804" spans="1:2">
      <c r="A1804" t="s">
        <v>10336</v>
      </c>
      <c r="B1804" t="s">
        <v>10337</v>
      </c>
    </row>
    <row r="1805" spans="1:2">
      <c r="A1805" t="s">
        <v>10338</v>
      </c>
      <c r="B1805" t="s">
        <v>10339</v>
      </c>
    </row>
    <row r="1806" spans="1:2">
      <c r="A1806" t="s">
        <v>10340</v>
      </c>
      <c r="B1806" t="s">
        <v>9573</v>
      </c>
    </row>
    <row r="1807" spans="1:2">
      <c r="A1807" t="s">
        <v>10341</v>
      </c>
      <c r="B1807" t="s">
        <v>10342</v>
      </c>
    </row>
    <row r="1808" spans="1:2">
      <c r="A1808" t="s">
        <v>10343</v>
      </c>
      <c r="B1808" t="s">
        <v>10344</v>
      </c>
    </row>
    <row r="1809" spans="1:2">
      <c r="A1809" t="s">
        <v>10345</v>
      </c>
      <c r="B1809" t="s">
        <v>10346</v>
      </c>
    </row>
    <row r="1810" spans="1:2">
      <c r="A1810" t="s">
        <v>10347</v>
      </c>
      <c r="B1810" t="s">
        <v>10348</v>
      </c>
    </row>
    <row r="1811" spans="1:2">
      <c r="A1811" t="s">
        <v>10349</v>
      </c>
      <c r="B1811" t="s">
        <v>10350</v>
      </c>
    </row>
    <row r="1812" spans="1:2">
      <c r="A1812" t="s">
        <v>10351</v>
      </c>
      <c r="B1812" t="s">
        <v>10352</v>
      </c>
    </row>
    <row r="1813" spans="1:2">
      <c r="A1813" t="s">
        <v>10353</v>
      </c>
      <c r="B1813" t="s">
        <v>10354</v>
      </c>
    </row>
    <row r="1814" spans="1:2">
      <c r="A1814" t="s">
        <v>10355</v>
      </c>
      <c r="B1814" t="s">
        <v>10356</v>
      </c>
    </row>
    <row r="1815" spans="1:2">
      <c r="A1815" t="s">
        <v>10357</v>
      </c>
      <c r="B1815" t="s">
        <v>10358</v>
      </c>
    </row>
    <row r="1816" spans="1:2">
      <c r="A1816" t="s">
        <v>10359</v>
      </c>
      <c r="B1816" t="s">
        <v>9573</v>
      </c>
    </row>
    <row r="1817" spans="1:2">
      <c r="A1817" t="s">
        <v>10360</v>
      </c>
      <c r="B1817" t="s">
        <v>10361</v>
      </c>
    </row>
    <row r="1818" spans="1:2">
      <c r="A1818" t="s">
        <v>10362</v>
      </c>
      <c r="B1818" t="s">
        <v>10363</v>
      </c>
    </row>
    <row r="1819" spans="1:2">
      <c r="A1819" t="s">
        <v>10364</v>
      </c>
      <c r="B1819" t="s">
        <v>10365</v>
      </c>
    </row>
    <row r="1820" spans="1:2">
      <c r="A1820" t="s">
        <v>10366</v>
      </c>
      <c r="B1820" t="s">
        <v>10367</v>
      </c>
    </row>
    <row r="1821" spans="1:2">
      <c r="A1821" t="s">
        <v>10368</v>
      </c>
      <c r="B1821" t="s">
        <v>10365</v>
      </c>
    </row>
    <row r="1822" spans="1:2">
      <c r="A1822" t="s">
        <v>10369</v>
      </c>
      <c r="B1822" t="s">
        <v>10370</v>
      </c>
    </row>
    <row r="1823" spans="1:2">
      <c r="A1823" t="s">
        <v>10371</v>
      </c>
      <c r="B1823" t="s">
        <v>10372</v>
      </c>
    </row>
    <row r="1824" spans="1:2">
      <c r="A1824" t="s">
        <v>10373</v>
      </c>
      <c r="B1824" t="s">
        <v>10374</v>
      </c>
    </row>
    <row r="1825" spans="1:2">
      <c r="A1825" t="s">
        <v>10375</v>
      </c>
      <c r="B1825" t="s">
        <v>10376</v>
      </c>
    </row>
    <row r="1826" spans="1:2">
      <c r="A1826" t="s">
        <v>10377</v>
      </c>
      <c r="B1826" t="s">
        <v>10378</v>
      </c>
    </row>
    <row r="1827" spans="1:2">
      <c r="A1827" t="s">
        <v>10379</v>
      </c>
      <c r="B1827" t="s">
        <v>10380</v>
      </c>
    </row>
    <row r="1828" spans="1:2">
      <c r="A1828" t="s">
        <v>10381</v>
      </c>
      <c r="B1828" t="s">
        <v>10382</v>
      </c>
    </row>
    <row r="1829" spans="1:2">
      <c r="A1829" t="s">
        <v>10383</v>
      </c>
      <c r="B1829" t="s">
        <v>10376</v>
      </c>
    </row>
    <row r="1830" spans="1:2">
      <c r="A1830" t="s">
        <v>10384</v>
      </c>
      <c r="B1830" t="s">
        <v>10385</v>
      </c>
    </row>
    <row r="1831" spans="1:2">
      <c r="A1831" t="s">
        <v>10386</v>
      </c>
      <c r="B1831" t="s">
        <v>10387</v>
      </c>
    </row>
    <row r="1832" spans="1:2">
      <c r="A1832" t="s">
        <v>10388</v>
      </c>
      <c r="B1832" t="s">
        <v>10389</v>
      </c>
    </row>
    <row r="1833" spans="1:2">
      <c r="A1833" t="s">
        <v>10390</v>
      </c>
      <c r="B1833" t="s">
        <v>10391</v>
      </c>
    </row>
    <row r="1834" spans="1:2">
      <c r="A1834" t="s">
        <v>10392</v>
      </c>
      <c r="B1834" t="s">
        <v>10387</v>
      </c>
    </row>
    <row r="1835" spans="1:2">
      <c r="A1835" t="s">
        <v>10393</v>
      </c>
      <c r="B1835" t="s">
        <v>10394</v>
      </c>
    </row>
    <row r="1836" spans="1:2">
      <c r="A1836" t="s">
        <v>10395</v>
      </c>
      <c r="B1836" t="s">
        <v>10396</v>
      </c>
    </row>
    <row r="1837" spans="1:2">
      <c r="A1837" t="s">
        <v>10397</v>
      </c>
      <c r="B1837" t="s">
        <v>10396</v>
      </c>
    </row>
    <row r="1838" spans="1:2">
      <c r="A1838" t="s">
        <v>10398</v>
      </c>
      <c r="B1838" t="s">
        <v>10399</v>
      </c>
    </row>
    <row r="1839" spans="1:2">
      <c r="A1839" t="s">
        <v>10400</v>
      </c>
      <c r="B1839" t="s">
        <v>10401</v>
      </c>
    </row>
    <row r="1840" spans="1:2">
      <c r="A1840" t="s">
        <v>10402</v>
      </c>
      <c r="B1840" t="s">
        <v>10403</v>
      </c>
    </row>
    <row r="1841" spans="1:2">
      <c r="A1841" t="s">
        <v>10404</v>
      </c>
      <c r="B1841" t="s">
        <v>10405</v>
      </c>
    </row>
    <row r="1842" spans="1:2">
      <c r="A1842" t="s">
        <v>10406</v>
      </c>
      <c r="B1842" t="s">
        <v>10407</v>
      </c>
    </row>
    <row r="1843" spans="1:2">
      <c r="A1843" t="s">
        <v>10408</v>
      </c>
      <c r="B1843" t="s">
        <v>10409</v>
      </c>
    </row>
    <row r="1844" spans="1:2">
      <c r="A1844" t="s">
        <v>10410</v>
      </c>
      <c r="B1844" t="s">
        <v>10407</v>
      </c>
    </row>
    <row r="1845" spans="1:2">
      <c r="A1845" t="s">
        <v>10411</v>
      </c>
      <c r="B1845" t="s">
        <v>10412</v>
      </c>
    </row>
    <row r="1846" spans="1:2">
      <c r="A1846" t="s">
        <v>10413</v>
      </c>
      <c r="B1846" t="s">
        <v>10414</v>
      </c>
    </row>
    <row r="1847" spans="1:2">
      <c r="A1847" t="s">
        <v>10415</v>
      </c>
      <c r="B1847" t="s">
        <v>10416</v>
      </c>
    </row>
    <row r="1848" spans="1:2">
      <c r="A1848" t="s">
        <v>10417</v>
      </c>
      <c r="B1848" t="s">
        <v>10418</v>
      </c>
    </row>
    <row r="1849" spans="1:2">
      <c r="A1849" t="s">
        <v>10419</v>
      </c>
      <c r="B1849" t="s">
        <v>10420</v>
      </c>
    </row>
    <row r="1850" spans="1:2">
      <c r="A1850" t="s">
        <v>10421</v>
      </c>
      <c r="B1850" t="s">
        <v>10418</v>
      </c>
    </row>
    <row r="1851" spans="1:2">
      <c r="A1851" t="s">
        <v>10422</v>
      </c>
      <c r="B1851" t="s">
        <v>10423</v>
      </c>
    </row>
    <row r="1852" spans="1:2">
      <c r="A1852" t="s">
        <v>10424</v>
      </c>
      <c r="B1852" t="s">
        <v>10425</v>
      </c>
    </row>
    <row r="1853" spans="1:2">
      <c r="A1853" t="s">
        <v>10426</v>
      </c>
      <c r="B1853" t="s">
        <v>10427</v>
      </c>
    </row>
    <row r="1854" spans="1:2">
      <c r="A1854" t="s">
        <v>10428</v>
      </c>
      <c r="B1854" t="s">
        <v>10429</v>
      </c>
    </row>
    <row r="1855" spans="1:2">
      <c r="A1855" t="s">
        <v>10430</v>
      </c>
      <c r="B1855" t="s">
        <v>10431</v>
      </c>
    </row>
    <row r="1856" spans="1:2">
      <c r="A1856" t="s">
        <v>10432</v>
      </c>
      <c r="B1856" t="s">
        <v>10433</v>
      </c>
    </row>
    <row r="1857" spans="1:2">
      <c r="A1857" t="s">
        <v>10434</v>
      </c>
      <c r="B1857" t="s">
        <v>10425</v>
      </c>
    </row>
    <row r="1858" spans="1:2">
      <c r="A1858" t="s">
        <v>10435</v>
      </c>
      <c r="B1858" t="s">
        <v>10436</v>
      </c>
    </row>
    <row r="1859" spans="1:2">
      <c r="A1859" t="s">
        <v>10437</v>
      </c>
      <c r="B1859" t="s">
        <v>10438</v>
      </c>
    </row>
    <row r="1860" spans="1:2">
      <c r="A1860" t="s">
        <v>10437</v>
      </c>
      <c r="B1860" t="s">
        <v>10439</v>
      </c>
    </row>
    <row r="1861" spans="1:2">
      <c r="A1861" t="s">
        <v>10437</v>
      </c>
      <c r="B1861" t="s">
        <v>10440</v>
      </c>
    </row>
    <row r="1862" spans="1:2">
      <c r="A1862" t="s">
        <v>10441</v>
      </c>
      <c r="B1862" t="s">
        <v>10442</v>
      </c>
    </row>
    <row r="1863" spans="1:2">
      <c r="A1863" t="s">
        <v>10441</v>
      </c>
      <c r="B1863" t="s">
        <v>10443</v>
      </c>
    </row>
    <row r="1864" spans="1:2">
      <c r="A1864" t="s">
        <v>10441</v>
      </c>
      <c r="B1864" t="s">
        <v>10444</v>
      </c>
    </row>
    <row r="1865" spans="1:2">
      <c r="A1865" t="s">
        <v>10445</v>
      </c>
      <c r="B1865" t="s">
        <v>10446</v>
      </c>
    </row>
    <row r="1866" spans="1:2">
      <c r="A1866" t="s">
        <v>10445</v>
      </c>
      <c r="B1866" t="s">
        <v>10446</v>
      </c>
    </row>
    <row r="1867" spans="1:2">
      <c r="A1867" t="s">
        <v>10445</v>
      </c>
      <c r="B1867" t="s">
        <v>10446</v>
      </c>
    </row>
    <row r="1868" spans="1:2">
      <c r="A1868" t="s">
        <v>10447</v>
      </c>
      <c r="B1868" t="s">
        <v>7957</v>
      </c>
    </row>
    <row r="1869" spans="1:2">
      <c r="A1869" t="s">
        <v>10447</v>
      </c>
      <c r="B1869" t="s">
        <v>10448</v>
      </c>
    </row>
    <row r="1870" spans="1:2">
      <c r="A1870" t="s">
        <v>10447</v>
      </c>
      <c r="B1870" t="s">
        <v>10448</v>
      </c>
    </row>
    <row r="1871" spans="1:2">
      <c r="A1871" t="s">
        <v>10449</v>
      </c>
      <c r="B1871" t="s">
        <v>10450</v>
      </c>
    </row>
    <row r="1872" spans="1:2">
      <c r="A1872" t="s">
        <v>10449</v>
      </c>
      <c r="B1872" t="s">
        <v>10450</v>
      </c>
    </row>
    <row r="1873" spans="1:2">
      <c r="A1873" t="s">
        <v>10449</v>
      </c>
      <c r="B1873" t="s">
        <v>10450</v>
      </c>
    </row>
    <row r="1874" spans="1:2">
      <c r="A1874" t="s">
        <v>10451</v>
      </c>
      <c r="B1874" t="s">
        <v>10452</v>
      </c>
    </row>
    <row r="1875" spans="1:2">
      <c r="A1875" t="s">
        <v>10451</v>
      </c>
      <c r="B1875" t="s">
        <v>10453</v>
      </c>
    </row>
    <row r="1876" spans="1:2">
      <c r="A1876" t="s">
        <v>10451</v>
      </c>
      <c r="B1876" t="s">
        <v>10454</v>
      </c>
    </row>
    <row r="1877" spans="1:2">
      <c r="A1877" t="s">
        <v>10455</v>
      </c>
      <c r="B1877" t="s">
        <v>10456</v>
      </c>
    </row>
    <row r="1878" spans="1:2">
      <c r="A1878" t="s">
        <v>10455</v>
      </c>
      <c r="B1878" t="s">
        <v>10457</v>
      </c>
    </row>
    <row r="1879" spans="1:2">
      <c r="A1879" t="s">
        <v>10455</v>
      </c>
      <c r="B1879" t="s">
        <v>10458</v>
      </c>
    </row>
    <row r="1880" spans="1:2">
      <c r="A1880" t="s">
        <v>10459</v>
      </c>
      <c r="B1880" t="s">
        <v>10460</v>
      </c>
    </row>
    <row r="1881" spans="1:2">
      <c r="A1881" t="s">
        <v>10459</v>
      </c>
      <c r="B1881" t="s">
        <v>10461</v>
      </c>
    </row>
    <row r="1882" spans="1:2">
      <c r="A1882" t="s">
        <v>10459</v>
      </c>
      <c r="B1882" t="s">
        <v>10461</v>
      </c>
    </row>
    <row r="1883" spans="1:2">
      <c r="A1883" t="s">
        <v>10462</v>
      </c>
      <c r="B1883" t="s">
        <v>10463</v>
      </c>
    </row>
    <row r="1884" spans="1:2">
      <c r="A1884" t="s">
        <v>10462</v>
      </c>
      <c r="B1884" t="s">
        <v>10464</v>
      </c>
    </row>
    <row r="1885" spans="1:2">
      <c r="A1885" t="s">
        <v>10462</v>
      </c>
      <c r="B1885" t="s">
        <v>10465</v>
      </c>
    </row>
    <row r="1886" spans="1:2">
      <c r="A1886" t="s">
        <v>10466</v>
      </c>
      <c r="B1886" t="s">
        <v>10467</v>
      </c>
    </row>
    <row r="1887" spans="1:2">
      <c r="A1887" t="s">
        <v>10468</v>
      </c>
      <c r="B1887" t="s">
        <v>10469</v>
      </c>
    </row>
    <row r="1888" spans="1:2">
      <c r="A1888" t="s">
        <v>10470</v>
      </c>
      <c r="B1888" t="s">
        <v>10471</v>
      </c>
    </row>
    <row r="1889" spans="1:2">
      <c r="A1889" t="s">
        <v>10472</v>
      </c>
      <c r="B1889" t="s">
        <v>10473</v>
      </c>
    </row>
    <row r="1890" spans="1:2">
      <c r="A1890" t="s">
        <v>10474</v>
      </c>
      <c r="B1890" t="s">
        <v>10475</v>
      </c>
    </row>
    <row r="1891" spans="1:2">
      <c r="A1891" t="s">
        <v>10476</v>
      </c>
      <c r="B1891" t="s">
        <v>10477</v>
      </c>
    </row>
    <row r="1892" spans="1:2">
      <c r="A1892" t="s">
        <v>10478</v>
      </c>
      <c r="B1892" t="s">
        <v>10479</v>
      </c>
    </row>
    <row r="1893" spans="1:2">
      <c r="A1893" t="s">
        <v>10480</v>
      </c>
      <c r="B1893" t="s">
        <v>10481</v>
      </c>
    </row>
    <row r="1894" spans="1:2">
      <c r="A1894" t="s">
        <v>10482</v>
      </c>
      <c r="B1894" t="s">
        <v>10483</v>
      </c>
    </row>
    <row r="1895" spans="1:2">
      <c r="A1895" t="s">
        <v>10484</v>
      </c>
      <c r="B1895" t="s">
        <v>10485</v>
      </c>
    </row>
    <row r="1896" spans="1:2">
      <c r="A1896" t="s">
        <v>10486</v>
      </c>
      <c r="B1896" t="s">
        <v>10487</v>
      </c>
    </row>
    <row r="1897" spans="1:2">
      <c r="A1897" t="s">
        <v>10488</v>
      </c>
      <c r="B1897" t="s">
        <v>10489</v>
      </c>
    </row>
    <row r="1898" spans="1:2">
      <c r="A1898" t="s">
        <v>10490</v>
      </c>
      <c r="B1898" t="s">
        <v>10491</v>
      </c>
    </row>
    <row r="1899" spans="1:2">
      <c r="A1899" t="s">
        <v>10492</v>
      </c>
      <c r="B1899" t="s">
        <v>10493</v>
      </c>
    </row>
    <row r="1900" spans="1:2">
      <c r="A1900" t="s">
        <v>10494</v>
      </c>
      <c r="B1900" t="s">
        <v>10495</v>
      </c>
    </row>
    <row r="1901" spans="1:2">
      <c r="A1901" t="s">
        <v>10496</v>
      </c>
      <c r="B1901" t="s">
        <v>10497</v>
      </c>
    </row>
    <row r="1902" spans="1:2">
      <c r="A1902" t="s">
        <v>10498</v>
      </c>
      <c r="B1902" t="s">
        <v>10499</v>
      </c>
    </row>
    <row r="1903" spans="1:2">
      <c r="A1903" t="s">
        <v>10500</v>
      </c>
      <c r="B1903" t="s">
        <v>10501</v>
      </c>
    </row>
    <row r="1904" spans="1:2">
      <c r="A1904" t="s">
        <v>10502</v>
      </c>
      <c r="B1904" t="s">
        <v>10503</v>
      </c>
    </row>
    <row r="1905" spans="1:2">
      <c r="A1905" t="s">
        <v>10504</v>
      </c>
      <c r="B1905" t="s">
        <v>10505</v>
      </c>
    </row>
    <row r="1906" spans="1:2">
      <c r="A1906" t="s">
        <v>10506</v>
      </c>
      <c r="B1906" t="s">
        <v>10507</v>
      </c>
    </row>
    <row r="1907" spans="1:2">
      <c r="A1907" t="s">
        <v>10508</v>
      </c>
      <c r="B1907" t="s">
        <v>10509</v>
      </c>
    </row>
    <row r="1908" spans="1:2">
      <c r="A1908" t="s">
        <v>10510</v>
      </c>
      <c r="B1908" t="s">
        <v>10511</v>
      </c>
    </row>
    <row r="1909" spans="1:2">
      <c r="A1909" t="s">
        <v>10512</v>
      </c>
      <c r="B1909" t="s">
        <v>10513</v>
      </c>
    </row>
    <row r="1910" spans="1:2">
      <c r="A1910" t="s">
        <v>10514</v>
      </c>
      <c r="B1910" t="s">
        <v>10515</v>
      </c>
    </row>
    <row r="1911" spans="1:2">
      <c r="A1911" t="s">
        <v>10516</v>
      </c>
      <c r="B1911" t="s">
        <v>10517</v>
      </c>
    </row>
    <row r="1912" spans="1:2">
      <c r="A1912" t="s">
        <v>10518</v>
      </c>
      <c r="B1912" t="s">
        <v>10519</v>
      </c>
    </row>
    <row r="1913" spans="1:2">
      <c r="A1913" t="s">
        <v>10520</v>
      </c>
      <c r="B1913" t="s">
        <v>10521</v>
      </c>
    </row>
    <row r="1914" spans="1:2">
      <c r="A1914" t="s">
        <v>10522</v>
      </c>
      <c r="B1914" t="s">
        <v>10523</v>
      </c>
    </row>
    <row r="1915" spans="1:2">
      <c r="A1915" t="s">
        <v>10524</v>
      </c>
      <c r="B1915" t="s">
        <v>10525</v>
      </c>
    </row>
    <row r="1916" spans="1:2">
      <c r="A1916" t="s">
        <v>10526</v>
      </c>
      <c r="B1916" t="s">
        <v>10527</v>
      </c>
    </row>
    <row r="1917" spans="1:2">
      <c r="A1917" t="s">
        <v>10528</v>
      </c>
      <c r="B1917" t="s">
        <v>10529</v>
      </c>
    </row>
    <row r="1918" spans="1:2">
      <c r="A1918" t="s">
        <v>10530</v>
      </c>
      <c r="B1918" t="s">
        <v>10531</v>
      </c>
    </row>
    <row r="1919" spans="1:2">
      <c r="A1919" t="s">
        <v>10532</v>
      </c>
      <c r="B1919" t="s">
        <v>10533</v>
      </c>
    </row>
    <row r="1920" spans="1:2">
      <c r="A1920" t="s">
        <v>10534</v>
      </c>
      <c r="B1920" t="s">
        <v>10535</v>
      </c>
    </row>
    <row r="1921" spans="1:2">
      <c r="A1921" t="s">
        <v>10536</v>
      </c>
      <c r="B1921" t="s">
        <v>10537</v>
      </c>
    </row>
    <row r="1922" spans="1:2">
      <c r="A1922" t="s">
        <v>10538</v>
      </c>
      <c r="B1922" t="s">
        <v>10539</v>
      </c>
    </row>
    <row r="1923" spans="1:2">
      <c r="A1923" t="s">
        <v>10540</v>
      </c>
      <c r="B1923" t="s">
        <v>10541</v>
      </c>
    </row>
    <row r="1924" spans="1:2">
      <c r="A1924" t="s">
        <v>10542</v>
      </c>
      <c r="B1924" t="s">
        <v>10543</v>
      </c>
    </row>
    <row r="1925" spans="1:2">
      <c r="A1925" t="s">
        <v>10544</v>
      </c>
      <c r="B1925" t="s">
        <v>10545</v>
      </c>
    </row>
    <row r="1926" spans="1:2">
      <c r="A1926" t="s">
        <v>10546</v>
      </c>
      <c r="B1926" t="s">
        <v>10547</v>
      </c>
    </row>
    <row r="1927" spans="1:2">
      <c r="A1927" t="s">
        <v>10548</v>
      </c>
      <c r="B1927" t="s">
        <v>10549</v>
      </c>
    </row>
    <row r="1928" spans="1:2">
      <c r="A1928" t="s">
        <v>10550</v>
      </c>
      <c r="B1928" t="s">
        <v>10551</v>
      </c>
    </row>
    <row r="1929" spans="1:2">
      <c r="A1929" t="s">
        <v>10552</v>
      </c>
      <c r="B1929" t="s">
        <v>10553</v>
      </c>
    </row>
    <row r="1930" spans="1:2">
      <c r="A1930" t="s">
        <v>10554</v>
      </c>
      <c r="B1930" t="s">
        <v>10555</v>
      </c>
    </row>
    <row r="1931" spans="1:2">
      <c r="A1931" t="s">
        <v>10556</v>
      </c>
      <c r="B1931" t="s">
        <v>10557</v>
      </c>
    </row>
    <row r="1932" spans="1:2">
      <c r="A1932" t="s">
        <v>10558</v>
      </c>
      <c r="B1932" t="s">
        <v>10559</v>
      </c>
    </row>
    <row r="1933" spans="1:2">
      <c r="A1933" t="s">
        <v>10560</v>
      </c>
      <c r="B1933" t="s">
        <v>10561</v>
      </c>
    </row>
    <row r="1934" spans="1:2">
      <c r="A1934" t="s">
        <v>10562</v>
      </c>
      <c r="B1934" t="s">
        <v>10563</v>
      </c>
    </row>
    <row r="1935" spans="1:2">
      <c r="A1935" t="s">
        <v>10564</v>
      </c>
      <c r="B1935" t="s">
        <v>10565</v>
      </c>
    </row>
    <row r="1936" spans="1:2">
      <c r="A1936" t="s">
        <v>10566</v>
      </c>
      <c r="B1936" t="s">
        <v>10567</v>
      </c>
    </row>
    <row r="1937" spans="1:2">
      <c r="A1937" t="s">
        <v>10568</v>
      </c>
      <c r="B1937" t="s">
        <v>10569</v>
      </c>
    </row>
    <row r="1938" spans="1:2">
      <c r="A1938" t="s">
        <v>10570</v>
      </c>
      <c r="B1938" t="s">
        <v>10571</v>
      </c>
    </row>
    <row r="1939" spans="1:2">
      <c r="A1939" t="s">
        <v>10572</v>
      </c>
      <c r="B1939" t="s">
        <v>10573</v>
      </c>
    </row>
    <row r="1940" spans="1:2">
      <c r="A1940" t="s">
        <v>10574</v>
      </c>
      <c r="B1940" t="s">
        <v>10575</v>
      </c>
    </row>
    <row r="1941" spans="1:2">
      <c r="A1941" t="s">
        <v>10576</v>
      </c>
      <c r="B1941" t="s">
        <v>10577</v>
      </c>
    </row>
    <row r="1942" spans="1:2">
      <c r="A1942" t="s">
        <v>10578</v>
      </c>
      <c r="B1942" t="s">
        <v>10579</v>
      </c>
    </row>
    <row r="1943" spans="1:2">
      <c r="A1943" t="s">
        <v>10580</v>
      </c>
      <c r="B1943" t="s">
        <v>10581</v>
      </c>
    </row>
    <row r="1944" spans="1:2">
      <c r="A1944" t="s">
        <v>10582</v>
      </c>
      <c r="B1944" t="s">
        <v>10583</v>
      </c>
    </row>
    <row r="1945" spans="1:2">
      <c r="A1945" t="s">
        <v>10584</v>
      </c>
      <c r="B1945" t="s">
        <v>10585</v>
      </c>
    </row>
    <row r="1946" spans="1:2">
      <c r="A1946" t="s">
        <v>10586</v>
      </c>
      <c r="B1946" t="s">
        <v>10587</v>
      </c>
    </row>
    <row r="1947" spans="1:2">
      <c r="A1947" t="s">
        <v>10588</v>
      </c>
      <c r="B1947" t="s">
        <v>10589</v>
      </c>
    </row>
    <row r="1948" spans="1:2">
      <c r="A1948" t="s">
        <v>10590</v>
      </c>
      <c r="B1948" t="s">
        <v>10591</v>
      </c>
    </row>
    <row r="1949" spans="1:2">
      <c r="A1949" t="s">
        <v>10592</v>
      </c>
      <c r="B1949" t="s">
        <v>10593</v>
      </c>
    </row>
    <row r="1950" spans="1:2">
      <c r="A1950" t="s">
        <v>10594</v>
      </c>
      <c r="B1950" t="s">
        <v>10595</v>
      </c>
    </row>
    <row r="1951" spans="1:2">
      <c r="A1951" t="s">
        <v>10596</v>
      </c>
      <c r="B1951" t="s">
        <v>10597</v>
      </c>
    </row>
    <row r="1952" spans="1:2">
      <c r="A1952" t="s">
        <v>10598</v>
      </c>
      <c r="B1952" t="s">
        <v>10599</v>
      </c>
    </row>
    <row r="1953" spans="1:2">
      <c r="A1953" t="s">
        <v>10600</v>
      </c>
      <c r="B1953" t="s">
        <v>10601</v>
      </c>
    </row>
    <row r="1954" spans="1:2">
      <c r="A1954" t="s">
        <v>10602</v>
      </c>
      <c r="B1954" t="s">
        <v>10603</v>
      </c>
    </row>
    <row r="1955" spans="1:2">
      <c r="A1955" t="s">
        <v>10604</v>
      </c>
      <c r="B1955" t="s">
        <v>10605</v>
      </c>
    </row>
    <row r="1956" spans="1:2">
      <c r="A1956" t="s">
        <v>10606</v>
      </c>
      <c r="B1956" t="s">
        <v>7982</v>
      </c>
    </row>
    <row r="1957" spans="1:2">
      <c r="A1957" t="s">
        <v>10607</v>
      </c>
      <c r="B1957" t="s">
        <v>10608</v>
      </c>
    </row>
    <row r="1958" spans="1:2">
      <c r="A1958" t="s">
        <v>10609</v>
      </c>
      <c r="B1958" t="s">
        <v>10610</v>
      </c>
    </row>
    <row r="1959" spans="1:2">
      <c r="A1959" t="s">
        <v>10611</v>
      </c>
      <c r="B1959" t="s">
        <v>10612</v>
      </c>
    </row>
    <row r="1960" spans="1:2">
      <c r="A1960" t="s">
        <v>10613</v>
      </c>
      <c r="B1960" t="s">
        <v>10614</v>
      </c>
    </row>
    <row r="1961" spans="1:2">
      <c r="A1961" t="s">
        <v>10615</v>
      </c>
      <c r="B1961" t="s">
        <v>10616</v>
      </c>
    </row>
    <row r="1962" spans="1:2">
      <c r="A1962" t="s">
        <v>10617</v>
      </c>
      <c r="B1962" t="s">
        <v>10618</v>
      </c>
    </row>
    <row r="1963" spans="1:2">
      <c r="A1963" t="s">
        <v>10619</v>
      </c>
      <c r="B1963" t="s">
        <v>10620</v>
      </c>
    </row>
    <row r="1964" spans="1:2">
      <c r="A1964" t="s">
        <v>10621</v>
      </c>
      <c r="B1964" t="s">
        <v>10622</v>
      </c>
    </row>
    <row r="1965" spans="1:2">
      <c r="A1965" t="s">
        <v>10623</v>
      </c>
      <c r="B1965" t="s">
        <v>10624</v>
      </c>
    </row>
    <row r="1966" spans="1:2">
      <c r="A1966" t="s">
        <v>10625</v>
      </c>
      <c r="B1966" t="s">
        <v>10626</v>
      </c>
    </row>
    <row r="1967" spans="1:2">
      <c r="A1967" t="s">
        <v>10627</v>
      </c>
      <c r="B1967" t="s">
        <v>10628</v>
      </c>
    </row>
    <row r="1968" spans="1:2">
      <c r="A1968" t="s">
        <v>10629</v>
      </c>
      <c r="B1968" t="s">
        <v>10630</v>
      </c>
    </row>
    <row r="1969" spans="1:2">
      <c r="A1969" t="s">
        <v>10631</v>
      </c>
      <c r="B1969" t="s">
        <v>10632</v>
      </c>
    </row>
    <row r="1970" spans="1:2">
      <c r="A1970" t="s">
        <v>10633</v>
      </c>
      <c r="B1970" t="s">
        <v>10634</v>
      </c>
    </row>
    <row r="1971" spans="1:2">
      <c r="A1971" t="s">
        <v>10635</v>
      </c>
      <c r="B1971" t="s">
        <v>10636</v>
      </c>
    </row>
    <row r="1972" spans="1:2">
      <c r="A1972" t="s">
        <v>10637</v>
      </c>
      <c r="B1972" t="s">
        <v>10638</v>
      </c>
    </row>
    <row r="1973" spans="1:2">
      <c r="A1973" t="s">
        <v>10639</v>
      </c>
      <c r="B1973" t="s">
        <v>10640</v>
      </c>
    </row>
    <row r="1974" spans="1:2">
      <c r="A1974" t="s">
        <v>10641</v>
      </c>
      <c r="B1974" t="s">
        <v>10642</v>
      </c>
    </row>
    <row r="1975" spans="1:2">
      <c r="A1975" t="s">
        <v>10643</v>
      </c>
      <c r="B1975" t="s">
        <v>10644</v>
      </c>
    </row>
    <row r="1976" spans="1:2">
      <c r="A1976" t="s">
        <v>10645</v>
      </c>
      <c r="B1976" t="s">
        <v>10646</v>
      </c>
    </row>
    <row r="1977" spans="1:2">
      <c r="A1977" t="s">
        <v>10647</v>
      </c>
      <c r="B1977" t="s">
        <v>10648</v>
      </c>
    </row>
    <row r="1978" spans="1:2">
      <c r="A1978" t="s">
        <v>10649</v>
      </c>
      <c r="B1978" t="s">
        <v>10650</v>
      </c>
    </row>
    <row r="1979" spans="1:2">
      <c r="A1979" t="s">
        <v>10651</v>
      </c>
      <c r="B1979" t="s">
        <v>10652</v>
      </c>
    </row>
    <row r="1980" spans="1:2">
      <c r="A1980" t="s">
        <v>10653</v>
      </c>
      <c r="B1980" t="s">
        <v>10654</v>
      </c>
    </row>
    <row r="1981" spans="1:2">
      <c r="A1981" t="s">
        <v>10655</v>
      </c>
      <c r="B1981" t="s">
        <v>10656</v>
      </c>
    </row>
    <row r="1982" spans="1:2">
      <c r="A1982" t="s">
        <v>10657</v>
      </c>
      <c r="B1982" t="s">
        <v>10658</v>
      </c>
    </row>
    <row r="1983" spans="1:2">
      <c r="A1983" t="s">
        <v>10659</v>
      </c>
      <c r="B1983" t="s">
        <v>10660</v>
      </c>
    </row>
    <row r="1984" spans="1:2">
      <c r="A1984" t="s">
        <v>10659</v>
      </c>
      <c r="B1984" t="s">
        <v>10661</v>
      </c>
    </row>
    <row r="1985" spans="1:2">
      <c r="A1985" t="s">
        <v>10662</v>
      </c>
      <c r="B1985" t="s">
        <v>7747</v>
      </c>
    </row>
    <row r="1986" spans="1:2">
      <c r="A1986" t="s">
        <v>10662</v>
      </c>
      <c r="B1986" t="s">
        <v>10663</v>
      </c>
    </row>
    <row r="1987" spans="1:2">
      <c r="A1987" t="s">
        <v>10664</v>
      </c>
      <c r="B1987" t="s">
        <v>10665</v>
      </c>
    </row>
    <row r="1988" spans="1:2">
      <c r="A1988" t="s">
        <v>10664</v>
      </c>
      <c r="B1988" t="s">
        <v>10666</v>
      </c>
    </row>
    <row r="1989" spans="1:2">
      <c r="A1989" t="s">
        <v>10667</v>
      </c>
      <c r="B1989" t="s">
        <v>7805</v>
      </c>
    </row>
    <row r="1990" spans="1:2">
      <c r="A1990" t="s">
        <v>10667</v>
      </c>
      <c r="B1990" t="s">
        <v>10668</v>
      </c>
    </row>
    <row r="1991" spans="1:2">
      <c r="A1991" t="s">
        <v>10669</v>
      </c>
      <c r="B1991" t="s">
        <v>10670</v>
      </c>
    </row>
    <row r="1992" spans="1:2">
      <c r="A1992" t="s">
        <v>10669</v>
      </c>
      <c r="B1992" t="s">
        <v>10671</v>
      </c>
    </row>
    <row r="1993" spans="1:2">
      <c r="A1993" t="s">
        <v>10672</v>
      </c>
      <c r="B1993" t="s">
        <v>10673</v>
      </c>
    </row>
    <row r="1994" spans="1:2">
      <c r="A1994" t="s">
        <v>10672</v>
      </c>
      <c r="B1994" t="s">
        <v>10674</v>
      </c>
    </row>
    <row r="1995" spans="1:2">
      <c r="A1995" t="s">
        <v>10675</v>
      </c>
      <c r="B1995" t="s">
        <v>8508</v>
      </c>
    </row>
    <row r="1996" spans="1:2">
      <c r="A1996" t="s">
        <v>10675</v>
      </c>
      <c r="B1996" t="s">
        <v>10676</v>
      </c>
    </row>
    <row r="1997" spans="1:2">
      <c r="A1997" t="s">
        <v>10677</v>
      </c>
      <c r="B1997" t="s">
        <v>8511</v>
      </c>
    </row>
    <row r="1998" spans="1:2">
      <c r="A1998" t="s">
        <v>10677</v>
      </c>
      <c r="B1998" t="s">
        <v>10678</v>
      </c>
    </row>
    <row r="1999" spans="1:2">
      <c r="A1999" t="s">
        <v>10679</v>
      </c>
      <c r="B1999" t="s">
        <v>8514</v>
      </c>
    </row>
    <row r="2000" spans="1:2">
      <c r="A2000" t="s">
        <v>10679</v>
      </c>
      <c r="B2000" t="s">
        <v>10680</v>
      </c>
    </row>
    <row r="2001" spans="1:2">
      <c r="A2001" t="s">
        <v>10681</v>
      </c>
      <c r="B2001" t="s">
        <v>10682</v>
      </c>
    </row>
    <row r="2002" spans="1:2">
      <c r="A2002" t="s">
        <v>10681</v>
      </c>
      <c r="B2002" t="s">
        <v>10683</v>
      </c>
    </row>
    <row r="2003" spans="1:2">
      <c r="A2003" t="s">
        <v>10684</v>
      </c>
      <c r="B2003" t="s">
        <v>10685</v>
      </c>
    </row>
    <row r="2004" spans="1:2">
      <c r="A2004" t="s">
        <v>10686</v>
      </c>
      <c r="B2004" t="s">
        <v>10687</v>
      </c>
    </row>
    <row r="2005" spans="1:2">
      <c r="A2005" t="s">
        <v>10688</v>
      </c>
      <c r="B2005" t="s">
        <v>10689</v>
      </c>
    </row>
    <row r="2006" spans="1:2">
      <c r="A2006" t="s">
        <v>10690</v>
      </c>
      <c r="B2006" t="s">
        <v>10691</v>
      </c>
    </row>
    <row r="2007" spans="1:2">
      <c r="A2007" t="s">
        <v>10692</v>
      </c>
      <c r="B2007" t="s">
        <v>10693</v>
      </c>
    </row>
    <row r="2008" spans="1:2">
      <c r="A2008" t="s">
        <v>10694</v>
      </c>
      <c r="B2008" t="s">
        <v>10695</v>
      </c>
    </row>
    <row r="2009" spans="1:2">
      <c r="A2009" t="s">
        <v>10696</v>
      </c>
      <c r="B2009" t="s">
        <v>10697</v>
      </c>
    </row>
    <row r="2010" spans="1:2">
      <c r="A2010" t="s">
        <v>10698</v>
      </c>
      <c r="B2010" t="s">
        <v>10699</v>
      </c>
    </row>
    <row r="2011" spans="1:2">
      <c r="A2011" t="s">
        <v>10700</v>
      </c>
      <c r="B2011" t="s">
        <v>10701</v>
      </c>
    </row>
    <row r="2012" spans="1:2">
      <c r="A2012" t="s">
        <v>10702</v>
      </c>
      <c r="B2012" t="s">
        <v>10703</v>
      </c>
    </row>
    <row r="2013" spans="1:2">
      <c r="A2013" t="s">
        <v>10704</v>
      </c>
      <c r="B2013" t="s">
        <v>10705</v>
      </c>
    </row>
    <row r="2014" spans="1:2">
      <c r="A2014" t="s">
        <v>10706</v>
      </c>
      <c r="B2014" t="s">
        <v>10707</v>
      </c>
    </row>
    <row r="2015" spans="1:2">
      <c r="A2015" t="s">
        <v>10708</v>
      </c>
      <c r="B2015" t="s">
        <v>10709</v>
      </c>
    </row>
    <row r="2016" spans="1:2">
      <c r="A2016" t="s">
        <v>10710</v>
      </c>
      <c r="B2016" t="s">
        <v>10711</v>
      </c>
    </row>
    <row r="2017" spans="1:2">
      <c r="A2017" t="s">
        <v>10712</v>
      </c>
      <c r="B2017" t="s">
        <v>10713</v>
      </c>
    </row>
    <row r="2018" spans="1:2">
      <c r="A2018" t="s">
        <v>10714</v>
      </c>
      <c r="B2018" t="s">
        <v>10715</v>
      </c>
    </row>
    <row r="2019" spans="1:2">
      <c r="A2019" t="s">
        <v>10716</v>
      </c>
      <c r="B2019" t="s">
        <v>10717</v>
      </c>
    </row>
    <row r="2020" spans="1:2">
      <c r="A2020" t="s">
        <v>10718</v>
      </c>
      <c r="B2020" t="s">
        <v>10719</v>
      </c>
    </row>
    <row r="2021" spans="1:2">
      <c r="A2021" t="s">
        <v>10720</v>
      </c>
      <c r="B2021" t="s">
        <v>10721</v>
      </c>
    </row>
    <row r="2022" spans="1:2">
      <c r="A2022" t="s">
        <v>10722</v>
      </c>
      <c r="B2022" t="s">
        <v>10723</v>
      </c>
    </row>
    <row r="2023" spans="1:2">
      <c r="A2023" t="s">
        <v>10724</v>
      </c>
      <c r="B2023" t="s">
        <v>10725</v>
      </c>
    </row>
    <row r="2024" spans="1:2">
      <c r="A2024" t="s">
        <v>10726</v>
      </c>
      <c r="B2024" t="s">
        <v>10727</v>
      </c>
    </row>
    <row r="2025" spans="1:2">
      <c r="A2025" t="s">
        <v>10728</v>
      </c>
      <c r="B2025" t="s">
        <v>10729</v>
      </c>
    </row>
    <row r="2026" spans="1:2">
      <c r="A2026" t="s">
        <v>10730</v>
      </c>
      <c r="B2026" t="s">
        <v>10731</v>
      </c>
    </row>
    <row r="2027" spans="1:2">
      <c r="A2027" t="s">
        <v>10732</v>
      </c>
      <c r="B2027" t="s">
        <v>10733</v>
      </c>
    </row>
    <row r="2028" spans="1:2">
      <c r="A2028" t="s">
        <v>10734</v>
      </c>
      <c r="B2028" t="s">
        <v>10735</v>
      </c>
    </row>
    <row r="2029" spans="1:2">
      <c r="A2029" t="s">
        <v>10736</v>
      </c>
      <c r="B2029" t="s">
        <v>10737</v>
      </c>
    </row>
    <row r="2030" spans="1:2">
      <c r="A2030" t="s">
        <v>10738</v>
      </c>
      <c r="B2030" t="s">
        <v>10739</v>
      </c>
    </row>
    <row r="2031" spans="1:2">
      <c r="A2031" t="s">
        <v>10740</v>
      </c>
      <c r="B2031" t="s">
        <v>10741</v>
      </c>
    </row>
    <row r="2032" spans="1:2">
      <c r="A2032" t="s">
        <v>10742</v>
      </c>
      <c r="B2032" t="s">
        <v>10743</v>
      </c>
    </row>
    <row r="2033" spans="1:2">
      <c r="A2033" t="s">
        <v>10744</v>
      </c>
      <c r="B2033" t="s">
        <v>10745</v>
      </c>
    </row>
    <row r="2034" spans="1:2">
      <c r="A2034" t="s">
        <v>10746</v>
      </c>
      <c r="B2034" t="s">
        <v>10747</v>
      </c>
    </row>
    <row r="2035" spans="1:2">
      <c r="A2035" t="s">
        <v>10748</v>
      </c>
      <c r="B2035" t="s">
        <v>10749</v>
      </c>
    </row>
    <row r="2036" spans="1:2">
      <c r="A2036" t="s">
        <v>10750</v>
      </c>
      <c r="B2036" t="s">
        <v>10751</v>
      </c>
    </row>
    <row r="2037" spans="1:2">
      <c r="A2037" t="s">
        <v>10752</v>
      </c>
      <c r="B2037" t="s">
        <v>10753</v>
      </c>
    </row>
    <row r="2038" spans="1:2">
      <c r="A2038" t="s">
        <v>10754</v>
      </c>
      <c r="B2038" t="s">
        <v>10755</v>
      </c>
    </row>
    <row r="2039" spans="1:2">
      <c r="A2039" t="s">
        <v>10756</v>
      </c>
      <c r="B2039" t="s">
        <v>10757</v>
      </c>
    </row>
    <row r="2040" spans="1:2">
      <c r="A2040" t="s">
        <v>10758</v>
      </c>
      <c r="B2040" t="s">
        <v>10759</v>
      </c>
    </row>
    <row r="2041" spans="1:2">
      <c r="A2041" t="s">
        <v>10760</v>
      </c>
      <c r="B2041" t="s">
        <v>10761</v>
      </c>
    </row>
    <row r="2042" spans="1:2">
      <c r="A2042" t="s">
        <v>10762</v>
      </c>
      <c r="B2042" t="s">
        <v>10763</v>
      </c>
    </row>
    <row r="2043" spans="1:2">
      <c r="A2043" t="s">
        <v>10764</v>
      </c>
      <c r="B2043" t="s">
        <v>10719</v>
      </c>
    </row>
    <row r="2044" spans="1:2">
      <c r="A2044" t="s">
        <v>10765</v>
      </c>
      <c r="B2044" t="s">
        <v>10766</v>
      </c>
    </row>
    <row r="2045" spans="1:2">
      <c r="A2045" t="s">
        <v>10767</v>
      </c>
      <c r="B2045" t="s">
        <v>10768</v>
      </c>
    </row>
    <row r="2046" spans="1:2">
      <c r="A2046" t="s">
        <v>10769</v>
      </c>
      <c r="B2046" t="s">
        <v>10770</v>
      </c>
    </row>
    <row r="2047" spans="1:2">
      <c r="A2047" t="s">
        <v>10771</v>
      </c>
      <c r="B2047" t="s">
        <v>10772</v>
      </c>
    </row>
    <row r="2048" spans="1:2">
      <c r="A2048" t="s">
        <v>10773</v>
      </c>
      <c r="B2048" t="s">
        <v>2537</v>
      </c>
    </row>
    <row r="2049" spans="1:2">
      <c r="A2049" t="s">
        <v>10774</v>
      </c>
      <c r="B2049" t="s">
        <v>10775</v>
      </c>
    </row>
    <row r="2050" spans="1:2">
      <c r="A2050" t="s">
        <v>10776</v>
      </c>
      <c r="B2050" t="s">
        <v>10777</v>
      </c>
    </row>
    <row r="2051" spans="1:2">
      <c r="A2051" t="s">
        <v>10778</v>
      </c>
      <c r="B2051" t="s">
        <v>10779</v>
      </c>
    </row>
    <row r="2052" spans="1:2">
      <c r="A2052" t="s">
        <v>10780</v>
      </c>
      <c r="B2052" t="s">
        <v>2556</v>
      </c>
    </row>
    <row r="2053" spans="1:2">
      <c r="A2053" t="s">
        <v>10781</v>
      </c>
      <c r="B2053" t="s">
        <v>10782</v>
      </c>
    </row>
    <row r="2054" spans="1:2">
      <c r="A2054" t="s">
        <v>10783</v>
      </c>
      <c r="B2054" t="s">
        <v>10784</v>
      </c>
    </row>
    <row r="2055" spans="1:2">
      <c r="A2055" t="s">
        <v>10785</v>
      </c>
      <c r="B2055" t="s">
        <v>10786</v>
      </c>
    </row>
    <row r="2056" spans="1:2">
      <c r="A2056" t="s">
        <v>10787</v>
      </c>
      <c r="B2056" t="s">
        <v>10788</v>
      </c>
    </row>
    <row r="2057" spans="1:2">
      <c r="A2057" t="s">
        <v>10789</v>
      </c>
      <c r="B2057" t="s">
        <v>10790</v>
      </c>
    </row>
    <row r="2058" spans="1:2">
      <c r="A2058" t="s">
        <v>10791</v>
      </c>
      <c r="B2058" t="s">
        <v>10792</v>
      </c>
    </row>
    <row r="2059" spans="1:2">
      <c r="A2059" t="s">
        <v>10793</v>
      </c>
      <c r="B2059" t="s">
        <v>10794</v>
      </c>
    </row>
    <row r="2060" spans="1:2">
      <c r="A2060" t="s">
        <v>10795</v>
      </c>
      <c r="B2060" t="s">
        <v>10794</v>
      </c>
    </row>
    <row r="2061" spans="1:2">
      <c r="A2061" t="s">
        <v>10796</v>
      </c>
      <c r="B2061" t="s">
        <v>10797</v>
      </c>
    </row>
    <row r="2062" spans="1:2">
      <c r="A2062" t="s">
        <v>10798</v>
      </c>
      <c r="B2062" t="s">
        <v>10799</v>
      </c>
    </row>
    <row r="2063" spans="1:2">
      <c r="A2063" t="s">
        <v>10800</v>
      </c>
      <c r="B2063" t="s">
        <v>10801</v>
      </c>
    </row>
    <row r="2064" spans="1:2">
      <c r="A2064" t="s">
        <v>10802</v>
      </c>
      <c r="B2064" t="s">
        <v>10803</v>
      </c>
    </row>
    <row r="2065" spans="1:2">
      <c r="A2065" t="s">
        <v>10804</v>
      </c>
      <c r="B2065" t="s">
        <v>10805</v>
      </c>
    </row>
    <row r="2066" spans="1:2">
      <c r="A2066" t="s">
        <v>10806</v>
      </c>
      <c r="B2066" t="s">
        <v>10807</v>
      </c>
    </row>
    <row r="2067" spans="1:2">
      <c r="A2067" t="s">
        <v>10808</v>
      </c>
      <c r="B2067" t="s">
        <v>10807</v>
      </c>
    </row>
    <row r="2068" spans="1:2">
      <c r="A2068" t="s">
        <v>10809</v>
      </c>
      <c r="B2068" t="s">
        <v>10810</v>
      </c>
    </row>
    <row r="2069" spans="1:2">
      <c r="A2069" t="s">
        <v>10811</v>
      </c>
      <c r="B2069" t="s">
        <v>10812</v>
      </c>
    </row>
    <row r="2070" spans="1:2">
      <c r="A2070" t="s">
        <v>10813</v>
      </c>
      <c r="B2070" t="s">
        <v>10814</v>
      </c>
    </row>
    <row r="2071" spans="1:2">
      <c r="A2071" t="s">
        <v>10815</v>
      </c>
      <c r="B2071" t="s">
        <v>10816</v>
      </c>
    </row>
    <row r="2072" spans="1:2">
      <c r="A2072" t="s">
        <v>10817</v>
      </c>
      <c r="B2072" t="s">
        <v>10818</v>
      </c>
    </row>
    <row r="2073" spans="1:2">
      <c r="A2073" t="s">
        <v>10819</v>
      </c>
      <c r="B2073" t="s">
        <v>10820</v>
      </c>
    </row>
    <row r="2074" spans="1:2">
      <c r="A2074" t="s">
        <v>10821</v>
      </c>
      <c r="B2074" t="s">
        <v>10822</v>
      </c>
    </row>
    <row r="2075" spans="1:2">
      <c r="A2075" t="s">
        <v>10823</v>
      </c>
      <c r="B2075" t="s">
        <v>10824</v>
      </c>
    </row>
    <row r="2076" spans="1:2">
      <c r="A2076" t="s">
        <v>10825</v>
      </c>
      <c r="B2076" t="s">
        <v>10826</v>
      </c>
    </row>
    <row r="2077" spans="1:2">
      <c r="A2077" t="s">
        <v>10827</v>
      </c>
      <c r="B2077" t="s">
        <v>10828</v>
      </c>
    </row>
    <row r="2078" spans="1:2">
      <c r="A2078" t="s">
        <v>10829</v>
      </c>
      <c r="B2078" t="s">
        <v>833</v>
      </c>
    </row>
    <row r="2079" spans="1:2">
      <c r="A2079" t="s">
        <v>10830</v>
      </c>
      <c r="B2079" t="s">
        <v>10831</v>
      </c>
    </row>
    <row r="2080" spans="1:2">
      <c r="A2080" t="s">
        <v>10832</v>
      </c>
      <c r="B2080" t="s">
        <v>10833</v>
      </c>
    </row>
    <row r="2081" spans="1:2">
      <c r="A2081" t="s">
        <v>10834</v>
      </c>
      <c r="B2081" t="s">
        <v>1310</v>
      </c>
    </row>
    <row r="2082" spans="1:2">
      <c r="A2082" t="s">
        <v>10835</v>
      </c>
      <c r="B2082" t="s">
        <v>10836</v>
      </c>
    </row>
    <row r="2083" spans="1:2">
      <c r="A2083" t="s">
        <v>10837</v>
      </c>
      <c r="B2083" t="s">
        <v>2485</v>
      </c>
    </row>
    <row r="2084" spans="1:2">
      <c r="A2084" t="s">
        <v>10838</v>
      </c>
      <c r="B2084" t="s">
        <v>10839</v>
      </c>
    </row>
    <row r="2085" spans="1:2">
      <c r="A2085" t="s">
        <v>10840</v>
      </c>
      <c r="B2085" t="s">
        <v>10841</v>
      </c>
    </row>
    <row r="2086" spans="1:2">
      <c r="A2086" t="s">
        <v>10842</v>
      </c>
      <c r="B2086" t="s">
        <v>10843</v>
      </c>
    </row>
    <row r="2087" spans="1:2">
      <c r="A2087" t="s">
        <v>10844</v>
      </c>
      <c r="B2087" t="s">
        <v>10845</v>
      </c>
    </row>
    <row r="2088" spans="1:2">
      <c r="A2088" t="s">
        <v>10844</v>
      </c>
      <c r="B2088" t="s">
        <v>10846</v>
      </c>
    </row>
    <row r="2089" spans="1:2">
      <c r="A2089" t="s">
        <v>10847</v>
      </c>
      <c r="B2089" t="s">
        <v>10848</v>
      </c>
    </row>
    <row r="2090" spans="1:2">
      <c r="A2090" t="s">
        <v>10847</v>
      </c>
      <c r="B2090" t="s">
        <v>10849</v>
      </c>
    </row>
    <row r="2091" spans="1:2">
      <c r="A2091" t="s">
        <v>10850</v>
      </c>
      <c r="B2091" t="s">
        <v>10851</v>
      </c>
    </row>
    <row r="2092" spans="1:2">
      <c r="A2092" t="s">
        <v>10850</v>
      </c>
      <c r="B2092" t="s">
        <v>10852</v>
      </c>
    </row>
    <row r="2093" spans="1:2">
      <c r="A2093" t="s">
        <v>10853</v>
      </c>
      <c r="B2093" t="s">
        <v>10854</v>
      </c>
    </row>
    <row r="2094" spans="1:2">
      <c r="A2094" t="s">
        <v>10853</v>
      </c>
      <c r="B2094" t="s">
        <v>10855</v>
      </c>
    </row>
    <row r="2095" spans="1:2">
      <c r="A2095" t="s">
        <v>10856</v>
      </c>
      <c r="B2095" t="s">
        <v>10857</v>
      </c>
    </row>
    <row r="2096" spans="1:2">
      <c r="A2096" t="s">
        <v>10856</v>
      </c>
      <c r="B2096" t="s">
        <v>10858</v>
      </c>
    </row>
    <row r="2097" spans="1:2">
      <c r="A2097" t="s">
        <v>10859</v>
      </c>
      <c r="B2097" t="s">
        <v>10860</v>
      </c>
    </row>
    <row r="2098" spans="1:2">
      <c r="A2098" t="s">
        <v>10859</v>
      </c>
      <c r="B2098" t="s">
        <v>10861</v>
      </c>
    </row>
    <row r="2099" spans="1:2">
      <c r="A2099" t="s">
        <v>10862</v>
      </c>
      <c r="B2099" t="s">
        <v>10863</v>
      </c>
    </row>
    <row r="2100" spans="1:2">
      <c r="A2100" t="s">
        <v>10862</v>
      </c>
      <c r="B2100" t="s">
        <v>10864</v>
      </c>
    </row>
    <row r="2101" spans="1:2">
      <c r="A2101" t="s">
        <v>10865</v>
      </c>
      <c r="B2101" t="s">
        <v>10866</v>
      </c>
    </row>
    <row r="2102" spans="1:2">
      <c r="A2102" t="s">
        <v>10865</v>
      </c>
      <c r="B2102" t="s">
        <v>10867</v>
      </c>
    </row>
    <row r="2103" spans="1:2">
      <c r="A2103" t="s">
        <v>10868</v>
      </c>
      <c r="B2103" t="s">
        <v>10869</v>
      </c>
    </row>
    <row r="2104" spans="1:2">
      <c r="A2104" t="s">
        <v>10868</v>
      </c>
      <c r="B2104" t="s">
        <v>10870</v>
      </c>
    </row>
    <row r="2105" spans="1:2">
      <c r="A2105" t="s">
        <v>10871</v>
      </c>
      <c r="B2105" t="s">
        <v>10872</v>
      </c>
    </row>
    <row r="2106" spans="1:2">
      <c r="A2106" t="s">
        <v>10871</v>
      </c>
      <c r="B2106" t="s">
        <v>10873</v>
      </c>
    </row>
    <row r="2107" spans="1:2">
      <c r="A2107" t="s">
        <v>10874</v>
      </c>
      <c r="B2107" t="s">
        <v>10875</v>
      </c>
    </row>
    <row r="2108" spans="1:2">
      <c r="A2108" t="s">
        <v>10874</v>
      </c>
      <c r="B2108" t="s">
        <v>10876</v>
      </c>
    </row>
    <row r="2109" spans="1:2">
      <c r="A2109" t="s">
        <v>10877</v>
      </c>
      <c r="B2109" t="s">
        <v>10878</v>
      </c>
    </row>
    <row r="2110" spans="1:2">
      <c r="A2110" t="s">
        <v>10877</v>
      </c>
      <c r="B2110" t="s">
        <v>10879</v>
      </c>
    </row>
    <row r="2111" spans="1:2">
      <c r="A2111" t="s">
        <v>10880</v>
      </c>
      <c r="B2111" t="s">
        <v>10881</v>
      </c>
    </row>
    <row r="2112" spans="1:2">
      <c r="A2112" t="s">
        <v>10880</v>
      </c>
      <c r="B2112" t="s">
        <v>10882</v>
      </c>
    </row>
    <row r="2113" spans="1:2">
      <c r="A2113" t="s">
        <v>10883</v>
      </c>
      <c r="B2113" t="s">
        <v>10884</v>
      </c>
    </row>
    <row r="2114" spans="1:2">
      <c r="A2114" t="s">
        <v>10883</v>
      </c>
      <c r="B2114" t="s">
        <v>10884</v>
      </c>
    </row>
    <row r="2115" spans="1:2">
      <c r="A2115" t="s">
        <v>10885</v>
      </c>
      <c r="B2115" t="s">
        <v>10886</v>
      </c>
    </row>
    <row r="2116" spans="1:2">
      <c r="A2116" t="s">
        <v>10885</v>
      </c>
      <c r="B2116" t="s">
        <v>10887</v>
      </c>
    </row>
    <row r="2117" spans="1:2">
      <c r="A2117" t="s">
        <v>10888</v>
      </c>
      <c r="B2117" t="s">
        <v>10889</v>
      </c>
    </row>
    <row r="2118" spans="1:2">
      <c r="A2118" t="s">
        <v>10888</v>
      </c>
      <c r="B2118" t="s">
        <v>10890</v>
      </c>
    </row>
    <row r="2119" spans="1:2">
      <c r="A2119" t="s">
        <v>10891</v>
      </c>
      <c r="B2119" t="s">
        <v>10892</v>
      </c>
    </row>
    <row r="2120" spans="1:2">
      <c r="A2120" t="s">
        <v>10891</v>
      </c>
      <c r="B2120" t="s">
        <v>10893</v>
      </c>
    </row>
    <row r="2121" spans="1:2">
      <c r="A2121" t="s">
        <v>10894</v>
      </c>
      <c r="B2121" t="s">
        <v>10895</v>
      </c>
    </row>
    <row r="2122" spans="1:2">
      <c r="A2122" t="s">
        <v>10894</v>
      </c>
      <c r="B2122" t="s">
        <v>10896</v>
      </c>
    </row>
    <row r="2123" spans="1:2">
      <c r="A2123" t="s">
        <v>10897</v>
      </c>
      <c r="B2123" t="s">
        <v>10898</v>
      </c>
    </row>
    <row r="2124" spans="1:2">
      <c r="A2124" t="s">
        <v>10897</v>
      </c>
      <c r="B2124" t="s">
        <v>10899</v>
      </c>
    </row>
    <row r="2125" spans="1:2">
      <c r="A2125" t="s">
        <v>10900</v>
      </c>
      <c r="B2125" t="s">
        <v>10901</v>
      </c>
    </row>
    <row r="2126" spans="1:2">
      <c r="A2126" t="s">
        <v>10900</v>
      </c>
      <c r="B2126" t="s">
        <v>10902</v>
      </c>
    </row>
    <row r="2127" spans="1:2">
      <c r="A2127" t="s">
        <v>10903</v>
      </c>
      <c r="B2127" t="s">
        <v>10904</v>
      </c>
    </row>
    <row r="2128" spans="1:2">
      <c r="A2128" t="s">
        <v>10903</v>
      </c>
      <c r="B2128" t="s">
        <v>10905</v>
      </c>
    </row>
    <row r="2129" spans="1:2">
      <c r="A2129" t="s">
        <v>10906</v>
      </c>
      <c r="B2129" t="s">
        <v>10907</v>
      </c>
    </row>
    <row r="2130" spans="1:2">
      <c r="A2130" t="s">
        <v>10906</v>
      </c>
      <c r="B2130" t="s">
        <v>10908</v>
      </c>
    </row>
    <row r="2131" spans="1:2">
      <c r="A2131" t="s">
        <v>10909</v>
      </c>
      <c r="B2131" t="s">
        <v>10910</v>
      </c>
    </row>
    <row r="2132" spans="1:2">
      <c r="A2132" t="s">
        <v>10909</v>
      </c>
      <c r="B2132" t="s">
        <v>10911</v>
      </c>
    </row>
    <row r="2133" spans="1:2">
      <c r="A2133" t="s">
        <v>10912</v>
      </c>
      <c r="B2133" t="s">
        <v>10913</v>
      </c>
    </row>
    <row r="2134" spans="1:2">
      <c r="A2134" t="s">
        <v>10912</v>
      </c>
      <c r="B2134" t="s">
        <v>10914</v>
      </c>
    </row>
    <row r="2135" spans="1:2">
      <c r="A2135" t="s">
        <v>10915</v>
      </c>
      <c r="B2135" t="s">
        <v>10916</v>
      </c>
    </row>
    <row r="2136" spans="1:2">
      <c r="A2136" t="s">
        <v>10915</v>
      </c>
      <c r="B2136" t="s">
        <v>10917</v>
      </c>
    </row>
    <row r="2137" spans="1:2">
      <c r="A2137" t="s">
        <v>10918</v>
      </c>
      <c r="B2137" t="s">
        <v>10919</v>
      </c>
    </row>
    <row r="2138" spans="1:2">
      <c r="A2138" t="s">
        <v>10918</v>
      </c>
      <c r="B2138" t="s">
        <v>10920</v>
      </c>
    </row>
    <row r="2139" spans="1:2">
      <c r="A2139" t="s">
        <v>10921</v>
      </c>
      <c r="B2139" t="s">
        <v>10922</v>
      </c>
    </row>
    <row r="2140" spans="1:2">
      <c r="A2140" t="s">
        <v>10921</v>
      </c>
      <c r="B2140" t="s">
        <v>10923</v>
      </c>
    </row>
    <row r="2141" spans="1:2">
      <c r="A2141" t="s">
        <v>10924</v>
      </c>
      <c r="B2141" t="s">
        <v>10925</v>
      </c>
    </row>
    <row r="2142" spans="1:2">
      <c r="A2142" t="s">
        <v>10924</v>
      </c>
      <c r="B2142" t="s">
        <v>10926</v>
      </c>
    </row>
    <row r="2143" spans="1:2">
      <c r="A2143" t="s">
        <v>10927</v>
      </c>
      <c r="B2143" t="s">
        <v>10928</v>
      </c>
    </row>
    <row r="2144" spans="1:2">
      <c r="A2144" t="s">
        <v>10927</v>
      </c>
      <c r="B2144" t="s">
        <v>10929</v>
      </c>
    </row>
    <row r="2145" spans="1:2">
      <c r="A2145" t="s">
        <v>10930</v>
      </c>
      <c r="B2145" t="s">
        <v>10931</v>
      </c>
    </row>
    <row r="2146" spans="1:2">
      <c r="A2146" t="s">
        <v>10930</v>
      </c>
      <c r="B2146" t="s">
        <v>10932</v>
      </c>
    </row>
    <row r="2147" spans="1:2">
      <c r="A2147" t="s">
        <v>10933</v>
      </c>
      <c r="B2147" t="s">
        <v>9304</v>
      </c>
    </row>
    <row r="2148" spans="1:2">
      <c r="A2148" t="s">
        <v>10933</v>
      </c>
      <c r="B2148" t="s">
        <v>10934</v>
      </c>
    </row>
    <row r="2149" spans="1:2">
      <c r="A2149" t="s">
        <v>10935</v>
      </c>
      <c r="B2149" t="s">
        <v>10936</v>
      </c>
    </row>
    <row r="2150" spans="1:2">
      <c r="A2150" t="s">
        <v>10935</v>
      </c>
      <c r="B2150" t="s">
        <v>10937</v>
      </c>
    </row>
    <row r="2151" spans="1:2">
      <c r="A2151" t="s">
        <v>10938</v>
      </c>
      <c r="B2151" t="s">
        <v>10939</v>
      </c>
    </row>
    <row r="2152" spans="1:2">
      <c r="A2152" t="s">
        <v>10938</v>
      </c>
      <c r="B2152" t="s">
        <v>10940</v>
      </c>
    </row>
    <row r="2153" spans="1:2">
      <c r="A2153" t="s">
        <v>10941</v>
      </c>
      <c r="B2153" t="s">
        <v>9310</v>
      </c>
    </row>
    <row r="2154" spans="1:2">
      <c r="A2154" t="s">
        <v>10941</v>
      </c>
      <c r="B2154" t="s">
        <v>10942</v>
      </c>
    </row>
    <row r="2155" spans="1:2">
      <c r="A2155" t="s">
        <v>10943</v>
      </c>
      <c r="B2155" t="s">
        <v>10944</v>
      </c>
    </row>
    <row r="2156" spans="1:2">
      <c r="A2156" t="s">
        <v>10943</v>
      </c>
      <c r="B2156" t="s">
        <v>10945</v>
      </c>
    </row>
    <row r="2157" spans="1:2">
      <c r="A2157" t="s">
        <v>10946</v>
      </c>
      <c r="B2157" t="s">
        <v>10947</v>
      </c>
    </row>
    <row r="2158" spans="1:2">
      <c r="A2158" t="s">
        <v>10946</v>
      </c>
      <c r="B2158" t="s">
        <v>10948</v>
      </c>
    </row>
    <row r="2159" spans="1:2">
      <c r="A2159" t="s">
        <v>10949</v>
      </c>
      <c r="B2159" t="s">
        <v>10950</v>
      </c>
    </row>
    <row r="2160" spans="1:2">
      <c r="A2160" t="s">
        <v>10951</v>
      </c>
      <c r="B2160" t="s">
        <v>10952</v>
      </c>
    </row>
    <row r="2161" spans="1:2">
      <c r="A2161" t="s">
        <v>10953</v>
      </c>
      <c r="B2161" t="s">
        <v>10954</v>
      </c>
    </row>
    <row r="2162" spans="1:2">
      <c r="A2162" t="s">
        <v>10955</v>
      </c>
      <c r="B2162" t="s">
        <v>1934</v>
      </c>
    </row>
    <row r="2163" spans="1:2">
      <c r="A2163" t="s">
        <v>10956</v>
      </c>
      <c r="B2163" t="s">
        <v>10957</v>
      </c>
    </row>
    <row r="2164" spans="1:2">
      <c r="A2164" t="s">
        <v>10958</v>
      </c>
      <c r="B2164" t="s">
        <v>10959</v>
      </c>
    </row>
    <row r="2165" spans="1:2">
      <c r="A2165" t="s">
        <v>10960</v>
      </c>
      <c r="B2165" t="s">
        <v>10961</v>
      </c>
    </row>
    <row r="2166" spans="1:2">
      <c r="A2166" t="s">
        <v>10962</v>
      </c>
      <c r="B2166" t="s">
        <v>10963</v>
      </c>
    </row>
    <row r="2167" spans="1:2">
      <c r="A2167" t="s">
        <v>10964</v>
      </c>
      <c r="B2167" t="s">
        <v>10965</v>
      </c>
    </row>
    <row r="2168" spans="1:2">
      <c r="A2168" t="s">
        <v>10966</v>
      </c>
      <c r="B2168" t="s">
        <v>10967</v>
      </c>
    </row>
    <row r="2169" spans="1:2">
      <c r="A2169" t="s">
        <v>10968</v>
      </c>
      <c r="B2169" t="s">
        <v>10969</v>
      </c>
    </row>
    <row r="2170" spans="1:2">
      <c r="A2170" t="s">
        <v>10970</v>
      </c>
      <c r="B2170" t="s">
        <v>10971</v>
      </c>
    </row>
    <row r="2171" spans="1:2">
      <c r="A2171" t="s">
        <v>10972</v>
      </c>
      <c r="B2171" t="s">
        <v>10973</v>
      </c>
    </row>
    <row r="2172" spans="1:2">
      <c r="A2172" t="s">
        <v>10974</v>
      </c>
      <c r="B2172" t="s">
        <v>1468</v>
      </c>
    </row>
    <row r="2173" spans="1:2">
      <c r="A2173" t="s">
        <v>10975</v>
      </c>
      <c r="B2173" t="s">
        <v>10976</v>
      </c>
    </row>
    <row r="2174" spans="1:2">
      <c r="A2174" t="s">
        <v>10977</v>
      </c>
      <c r="B2174" t="s">
        <v>1746</v>
      </c>
    </row>
    <row r="2175" spans="1:2">
      <c r="A2175" t="s">
        <v>10978</v>
      </c>
      <c r="B2175" t="s">
        <v>2229</v>
      </c>
    </row>
    <row r="2176" spans="1:2">
      <c r="A2176" t="s">
        <v>10979</v>
      </c>
      <c r="B2176" t="s">
        <v>3189</v>
      </c>
    </row>
    <row r="2177" spans="1:2">
      <c r="A2177" t="s">
        <v>10980</v>
      </c>
      <c r="B2177" t="s">
        <v>10981</v>
      </c>
    </row>
    <row r="2178" spans="1:2">
      <c r="A2178" t="s">
        <v>10982</v>
      </c>
      <c r="B2178" t="s">
        <v>1846</v>
      </c>
    </row>
    <row r="2179" spans="1:2">
      <c r="A2179" t="s">
        <v>10983</v>
      </c>
      <c r="B2179" t="s">
        <v>1339</v>
      </c>
    </row>
    <row r="2180" spans="1:2">
      <c r="A2180" t="s">
        <v>10984</v>
      </c>
      <c r="B2180" t="s">
        <v>453</v>
      </c>
    </row>
    <row r="2181" spans="1:2">
      <c r="A2181" t="s">
        <v>10985</v>
      </c>
      <c r="B2181" t="s">
        <v>10986</v>
      </c>
    </row>
    <row r="2182" spans="1:2">
      <c r="A2182" t="s">
        <v>10987</v>
      </c>
      <c r="B2182" t="s">
        <v>10988</v>
      </c>
    </row>
    <row r="2183" spans="1:2">
      <c r="A2183" t="s">
        <v>10989</v>
      </c>
      <c r="B2183" t="s">
        <v>10990</v>
      </c>
    </row>
    <row r="2184" spans="1:2">
      <c r="A2184" t="s">
        <v>10991</v>
      </c>
      <c r="B2184" t="s">
        <v>10992</v>
      </c>
    </row>
    <row r="2185" spans="1:2">
      <c r="A2185" t="s">
        <v>10993</v>
      </c>
      <c r="B2185" t="s">
        <v>10994</v>
      </c>
    </row>
    <row r="2186" spans="1:2">
      <c r="A2186" t="s">
        <v>10995</v>
      </c>
      <c r="B2186" t="s">
        <v>10996</v>
      </c>
    </row>
    <row r="2187" spans="1:2">
      <c r="A2187" t="s">
        <v>10997</v>
      </c>
      <c r="B2187" t="s">
        <v>10998</v>
      </c>
    </row>
    <row r="2188" spans="1:2">
      <c r="A2188" t="s">
        <v>10999</v>
      </c>
      <c r="B2188" t="s">
        <v>11000</v>
      </c>
    </row>
    <row r="2189" spans="1:2">
      <c r="A2189" t="s">
        <v>11001</v>
      </c>
      <c r="B2189" t="s">
        <v>11002</v>
      </c>
    </row>
    <row r="2190" spans="1:2">
      <c r="A2190" t="s">
        <v>11003</v>
      </c>
      <c r="B2190" t="s">
        <v>11004</v>
      </c>
    </row>
    <row r="2191" spans="1:2">
      <c r="A2191" t="s">
        <v>11005</v>
      </c>
      <c r="B2191" t="s">
        <v>228</v>
      </c>
    </row>
    <row r="2192" spans="1:2">
      <c r="A2192" t="s">
        <v>11006</v>
      </c>
      <c r="B2192" t="s">
        <v>11007</v>
      </c>
    </row>
    <row r="2193" spans="1:2">
      <c r="A2193" t="s">
        <v>11008</v>
      </c>
      <c r="B2193" t="s">
        <v>11009</v>
      </c>
    </row>
    <row r="2194" spans="1:2">
      <c r="A2194" t="s">
        <v>11010</v>
      </c>
      <c r="B2194" t="s">
        <v>580</v>
      </c>
    </row>
    <row r="2195" spans="1:2">
      <c r="A2195" t="s">
        <v>11011</v>
      </c>
      <c r="B2195" t="s">
        <v>11012</v>
      </c>
    </row>
    <row r="2196" spans="1:2">
      <c r="A2196" t="s">
        <v>11013</v>
      </c>
      <c r="B2196" t="s">
        <v>11014</v>
      </c>
    </row>
    <row r="2197" spans="1:2">
      <c r="A2197" t="s">
        <v>11015</v>
      </c>
      <c r="B2197" t="s">
        <v>11016</v>
      </c>
    </row>
    <row r="2198" spans="1:2">
      <c r="A2198" t="s">
        <v>11015</v>
      </c>
      <c r="B2198" t="s">
        <v>11017</v>
      </c>
    </row>
    <row r="2199" spans="1:2">
      <c r="A2199" t="s">
        <v>11018</v>
      </c>
      <c r="B2199" t="s">
        <v>11019</v>
      </c>
    </row>
    <row r="2200" spans="1:2">
      <c r="A2200" t="s">
        <v>11020</v>
      </c>
      <c r="B2200" t="s">
        <v>11021</v>
      </c>
    </row>
    <row r="2201" spans="1:2">
      <c r="A2201" t="s">
        <v>11022</v>
      </c>
      <c r="B2201" t="s">
        <v>11023</v>
      </c>
    </row>
    <row r="2202" spans="1:2">
      <c r="A2202" t="s">
        <v>11024</v>
      </c>
      <c r="B2202" t="s">
        <v>11025</v>
      </c>
    </row>
    <row r="2203" spans="1:2">
      <c r="A2203" t="s">
        <v>11024</v>
      </c>
      <c r="B2203" t="s">
        <v>11026</v>
      </c>
    </row>
    <row r="2204" spans="1:2">
      <c r="A2204" t="s">
        <v>11027</v>
      </c>
      <c r="B2204" t="s">
        <v>11028</v>
      </c>
    </row>
    <row r="2205" spans="1:2">
      <c r="A2205" t="s">
        <v>11029</v>
      </c>
      <c r="B2205" t="s">
        <v>11030</v>
      </c>
    </row>
    <row r="2206" spans="1:2">
      <c r="A2206" t="s">
        <v>11031</v>
      </c>
      <c r="B2206" t="s">
        <v>11032</v>
      </c>
    </row>
    <row r="2207" spans="1:2">
      <c r="A2207" t="s">
        <v>11033</v>
      </c>
      <c r="B2207" t="s">
        <v>11034</v>
      </c>
    </row>
    <row r="2208" spans="1:2">
      <c r="A2208" t="s">
        <v>11035</v>
      </c>
      <c r="B2208" t="s">
        <v>11036</v>
      </c>
    </row>
    <row r="2209" spans="1:2">
      <c r="A2209" t="s">
        <v>11037</v>
      </c>
      <c r="B2209" t="s">
        <v>11038</v>
      </c>
    </row>
    <row r="2210" spans="1:2">
      <c r="A2210" t="s">
        <v>11039</v>
      </c>
      <c r="B2210" t="s">
        <v>11040</v>
      </c>
    </row>
    <row r="2211" spans="1:2">
      <c r="A2211" t="s">
        <v>11041</v>
      </c>
      <c r="B2211" t="s">
        <v>11042</v>
      </c>
    </row>
    <row r="2212" spans="1:2">
      <c r="A2212" t="s">
        <v>11043</v>
      </c>
      <c r="B2212" t="s">
        <v>11044</v>
      </c>
    </row>
    <row r="2213" spans="1:2">
      <c r="A2213" t="s">
        <v>11045</v>
      </c>
      <c r="B2213" t="s">
        <v>11046</v>
      </c>
    </row>
    <row r="2214" spans="1:2">
      <c r="A2214" t="s">
        <v>11047</v>
      </c>
      <c r="B2214" t="s">
        <v>11048</v>
      </c>
    </row>
    <row r="2215" spans="1:2">
      <c r="A2215" t="s">
        <v>11047</v>
      </c>
      <c r="B2215" t="s">
        <v>11049</v>
      </c>
    </row>
    <row r="2216" spans="1:2">
      <c r="A2216" t="s">
        <v>11050</v>
      </c>
      <c r="B2216" t="s">
        <v>11051</v>
      </c>
    </row>
    <row r="2217" spans="1:2">
      <c r="A2217" t="s">
        <v>11052</v>
      </c>
      <c r="B2217" t="s">
        <v>11053</v>
      </c>
    </row>
    <row r="2218" spans="1:2">
      <c r="A2218" t="s">
        <v>11054</v>
      </c>
      <c r="B2218" t="s">
        <v>11055</v>
      </c>
    </row>
    <row r="2219" spans="1:2">
      <c r="A2219" t="s">
        <v>11056</v>
      </c>
      <c r="B2219" t="s">
        <v>11057</v>
      </c>
    </row>
    <row r="2220" spans="1:2">
      <c r="A2220" t="s">
        <v>11058</v>
      </c>
      <c r="B2220" t="s">
        <v>11059</v>
      </c>
    </row>
    <row r="2221" spans="1:2">
      <c r="A2221" t="s">
        <v>11060</v>
      </c>
      <c r="B2221" t="s">
        <v>11061</v>
      </c>
    </row>
    <row r="2222" spans="1:2">
      <c r="A2222" t="s">
        <v>11062</v>
      </c>
      <c r="B2222" t="s">
        <v>11063</v>
      </c>
    </row>
    <row r="2223" spans="1:2">
      <c r="A2223" t="s">
        <v>11064</v>
      </c>
      <c r="B2223" t="s">
        <v>11065</v>
      </c>
    </row>
    <row r="2224" spans="1:2">
      <c r="A2224" t="s">
        <v>11066</v>
      </c>
      <c r="B2224" t="s">
        <v>11067</v>
      </c>
    </row>
    <row r="2225" spans="1:2">
      <c r="A2225" t="s">
        <v>11068</v>
      </c>
      <c r="B2225" t="s">
        <v>11069</v>
      </c>
    </row>
    <row r="2226" spans="1:2">
      <c r="A2226" t="s">
        <v>11070</v>
      </c>
      <c r="B2226" t="s">
        <v>11071</v>
      </c>
    </row>
    <row r="2227" spans="1:2">
      <c r="A2227" t="s">
        <v>11072</v>
      </c>
      <c r="B2227" t="s">
        <v>11073</v>
      </c>
    </row>
    <row r="2228" spans="1:2">
      <c r="A2228" t="s">
        <v>11074</v>
      </c>
      <c r="B2228" t="s">
        <v>11075</v>
      </c>
    </row>
    <row r="2229" spans="1:2">
      <c r="A2229" t="s">
        <v>11076</v>
      </c>
      <c r="B2229" t="s">
        <v>11077</v>
      </c>
    </row>
    <row r="2230" spans="1:2">
      <c r="A2230" t="s">
        <v>11078</v>
      </c>
      <c r="B2230" t="s">
        <v>11079</v>
      </c>
    </row>
    <row r="2231" spans="1:2">
      <c r="A2231" t="s">
        <v>11080</v>
      </c>
      <c r="B2231" t="s">
        <v>11081</v>
      </c>
    </row>
    <row r="2232" spans="1:2">
      <c r="A2232" t="s">
        <v>11082</v>
      </c>
      <c r="B2232" t="s">
        <v>11083</v>
      </c>
    </row>
    <row r="2233" spans="1:2">
      <c r="A2233" t="s">
        <v>11084</v>
      </c>
      <c r="B2233" t="s">
        <v>11085</v>
      </c>
    </row>
    <row r="2234" spans="1:2">
      <c r="A2234" t="s">
        <v>11086</v>
      </c>
      <c r="B2234" t="s">
        <v>11087</v>
      </c>
    </row>
    <row r="2235" spans="1:2">
      <c r="A2235" t="s">
        <v>11088</v>
      </c>
      <c r="B2235" t="s">
        <v>11089</v>
      </c>
    </row>
    <row r="2236" spans="1:2">
      <c r="A2236" t="s">
        <v>11090</v>
      </c>
      <c r="B2236" t="s">
        <v>11091</v>
      </c>
    </row>
    <row r="2237" spans="1:2">
      <c r="A2237" t="s">
        <v>11092</v>
      </c>
      <c r="B2237" t="s">
        <v>11093</v>
      </c>
    </row>
    <row r="2238" spans="1:2">
      <c r="A2238" t="s">
        <v>11094</v>
      </c>
      <c r="B2238" t="s">
        <v>11095</v>
      </c>
    </row>
    <row r="2239" spans="1:2">
      <c r="A2239" t="s">
        <v>11096</v>
      </c>
      <c r="B2239" t="s">
        <v>11097</v>
      </c>
    </row>
    <row r="2240" spans="1:2">
      <c r="A2240" t="s">
        <v>11098</v>
      </c>
      <c r="B2240" t="s">
        <v>11099</v>
      </c>
    </row>
    <row r="2241" spans="1:2">
      <c r="A2241" t="s">
        <v>11100</v>
      </c>
      <c r="B2241" t="s">
        <v>11101</v>
      </c>
    </row>
    <row r="2242" spans="1:2">
      <c r="A2242" t="s">
        <v>11102</v>
      </c>
      <c r="B2242" t="s">
        <v>11103</v>
      </c>
    </row>
    <row r="2243" spans="1:2">
      <c r="A2243" t="s">
        <v>11104</v>
      </c>
      <c r="B2243" t="s">
        <v>11105</v>
      </c>
    </row>
    <row r="2244" spans="1:2">
      <c r="A2244" t="s">
        <v>11106</v>
      </c>
      <c r="B2244" t="s">
        <v>11107</v>
      </c>
    </row>
    <row r="2245" spans="1:2">
      <c r="A2245" t="s">
        <v>11108</v>
      </c>
      <c r="B2245" t="s">
        <v>11109</v>
      </c>
    </row>
    <row r="2246" spans="1:2">
      <c r="A2246" t="s">
        <v>11110</v>
      </c>
      <c r="B2246" t="s">
        <v>11111</v>
      </c>
    </row>
    <row r="2247" spans="1:2">
      <c r="A2247" t="s">
        <v>11112</v>
      </c>
      <c r="B2247" t="s">
        <v>11113</v>
      </c>
    </row>
    <row r="2248" spans="1:2">
      <c r="A2248" t="s">
        <v>11114</v>
      </c>
      <c r="B2248" t="s">
        <v>11115</v>
      </c>
    </row>
    <row r="2249" spans="1:2">
      <c r="A2249" t="s">
        <v>11116</v>
      </c>
      <c r="B2249" t="s">
        <v>11117</v>
      </c>
    </row>
    <row r="2250" spans="1:2">
      <c r="A2250" t="s">
        <v>11118</v>
      </c>
      <c r="B2250" t="s">
        <v>11119</v>
      </c>
    </row>
    <row r="2251" spans="1:2">
      <c r="A2251" t="s">
        <v>11120</v>
      </c>
      <c r="B2251" t="s">
        <v>11121</v>
      </c>
    </row>
    <row r="2252" spans="1:2">
      <c r="A2252" t="s">
        <v>11122</v>
      </c>
      <c r="B2252" t="s">
        <v>11123</v>
      </c>
    </row>
    <row r="2253" spans="1:2">
      <c r="A2253" t="s">
        <v>11124</v>
      </c>
      <c r="B2253" t="s">
        <v>11125</v>
      </c>
    </row>
    <row r="2254" spans="1:2">
      <c r="A2254" t="s">
        <v>11126</v>
      </c>
      <c r="B2254" t="s">
        <v>11127</v>
      </c>
    </row>
    <row r="2255" spans="1:2">
      <c r="A2255" t="s">
        <v>11128</v>
      </c>
      <c r="B2255" t="s">
        <v>11129</v>
      </c>
    </row>
    <row r="2256" spans="1:2">
      <c r="A2256" t="s">
        <v>11130</v>
      </c>
      <c r="B2256" t="s">
        <v>11131</v>
      </c>
    </row>
    <row r="2257" spans="1:2">
      <c r="A2257" t="s">
        <v>11132</v>
      </c>
      <c r="B2257" t="s">
        <v>11133</v>
      </c>
    </row>
    <row r="2258" spans="1:2">
      <c r="A2258" t="s">
        <v>11134</v>
      </c>
      <c r="B2258" t="s">
        <v>11135</v>
      </c>
    </row>
    <row r="2259" spans="1:2">
      <c r="A2259" t="s">
        <v>11136</v>
      </c>
      <c r="B2259" t="s">
        <v>11137</v>
      </c>
    </row>
    <row r="2260" spans="1:2">
      <c r="A2260" t="s">
        <v>11138</v>
      </c>
      <c r="B2260" t="s">
        <v>11139</v>
      </c>
    </row>
    <row r="2261" spans="1:2">
      <c r="A2261" t="s">
        <v>11140</v>
      </c>
      <c r="B2261" t="s">
        <v>11141</v>
      </c>
    </row>
    <row r="2262" spans="1:2">
      <c r="A2262" t="s">
        <v>11142</v>
      </c>
      <c r="B2262" t="s">
        <v>11143</v>
      </c>
    </row>
    <row r="2263" spans="1:2">
      <c r="A2263" t="s">
        <v>11144</v>
      </c>
      <c r="B2263" t="s">
        <v>11145</v>
      </c>
    </row>
    <row r="2264" spans="1:2">
      <c r="A2264" t="s">
        <v>11146</v>
      </c>
      <c r="B2264" t="s">
        <v>11147</v>
      </c>
    </row>
    <row r="2265" spans="1:2">
      <c r="A2265" t="s">
        <v>11148</v>
      </c>
      <c r="B2265" t="s">
        <v>465</v>
      </c>
    </row>
    <row r="2266" spans="1:2">
      <c r="A2266" t="s">
        <v>11149</v>
      </c>
      <c r="B2266" t="s">
        <v>11150</v>
      </c>
    </row>
    <row r="2267" spans="1:2">
      <c r="A2267" t="s">
        <v>11151</v>
      </c>
      <c r="B2267" t="s">
        <v>11152</v>
      </c>
    </row>
    <row r="2268" spans="1:2">
      <c r="A2268" t="s">
        <v>11153</v>
      </c>
      <c r="B2268" t="s">
        <v>11154</v>
      </c>
    </row>
    <row r="2269" spans="1:2">
      <c r="A2269" t="s">
        <v>11155</v>
      </c>
      <c r="B2269" t="s">
        <v>11156</v>
      </c>
    </row>
    <row r="2270" spans="1:2">
      <c r="A2270" t="s">
        <v>11157</v>
      </c>
      <c r="B2270" t="s">
        <v>11158</v>
      </c>
    </row>
    <row r="2271" spans="1:2">
      <c r="A2271" t="s">
        <v>11159</v>
      </c>
      <c r="B2271" t="s">
        <v>11160</v>
      </c>
    </row>
    <row r="2272" spans="1:2">
      <c r="A2272" t="s">
        <v>11161</v>
      </c>
      <c r="B2272" t="s">
        <v>11162</v>
      </c>
    </row>
    <row r="2273" spans="1:2">
      <c r="A2273" t="s">
        <v>11163</v>
      </c>
      <c r="B2273" t="s">
        <v>11164</v>
      </c>
    </row>
    <row r="2274" spans="1:2">
      <c r="A2274" t="s">
        <v>11165</v>
      </c>
      <c r="B2274" t="s">
        <v>11166</v>
      </c>
    </row>
    <row r="2275" spans="1:2">
      <c r="A2275" t="s">
        <v>11167</v>
      </c>
      <c r="B2275" t="s">
        <v>11168</v>
      </c>
    </row>
    <row r="2276" spans="1:2">
      <c r="A2276" t="s">
        <v>11169</v>
      </c>
      <c r="B2276" t="s">
        <v>11170</v>
      </c>
    </row>
    <row r="2277" spans="1:2">
      <c r="A2277" t="s">
        <v>11171</v>
      </c>
      <c r="B2277" t="s">
        <v>11172</v>
      </c>
    </row>
    <row r="2278" spans="1:2">
      <c r="A2278" t="s">
        <v>11173</v>
      </c>
      <c r="B2278" t="s">
        <v>11174</v>
      </c>
    </row>
    <row r="2279" spans="1:2">
      <c r="A2279" t="s">
        <v>11175</v>
      </c>
      <c r="B2279" t="s">
        <v>11176</v>
      </c>
    </row>
    <row r="2280" spans="1:2">
      <c r="A2280" t="s">
        <v>11177</v>
      </c>
      <c r="B2280" t="s">
        <v>11178</v>
      </c>
    </row>
    <row r="2281" spans="1:2">
      <c r="A2281" t="s">
        <v>11179</v>
      </c>
      <c r="B2281" t="s">
        <v>11180</v>
      </c>
    </row>
    <row r="2282" spans="1:2">
      <c r="A2282" t="s">
        <v>11181</v>
      </c>
      <c r="B2282" t="s">
        <v>11182</v>
      </c>
    </row>
    <row r="2283" spans="1:2">
      <c r="A2283" t="s">
        <v>11183</v>
      </c>
      <c r="B2283" t="s">
        <v>11184</v>
      </c>
    </row>
    <row r="2284" spans="1:2">
      <c r="A2284" t="s">
        <v>11185</v>
      </c>
      <c r="B2284" t="s">
        <v>11186</v>
      </c>
    </row>
    <row r="2285" spans="1:2">
      <c r="A2285" t="s">
        <v>11187</v>
      </c>
      <c r="B2285" t="s">
        <v>11188</v>
      </c>
    </row>
    <row r="2286" spans="1:2">
      <c r="A2286" t="s">
        <v>11189</v>
      </c>
      <c r="B2286" t="s">
        <v>11190</v>
      </c>
    </row>
    <row r="2287" spans="1:2">
      <c r="A2287" t="s">
        <v>11191</v>
      </c>
      <c r="B2287" t="s">
        <v>11192</v>
      </c>
    </row>
    <row r="2288" spans="1:2">
      <c r="A2288" t="s">
        <v>11193</v>
      </c>
      <c r="B2288" t="s">
        <v>11194</v>
      </c>
    </row>
    <row r="2289" spans="1:2">
      <c r="A2289" t="s">
        <v>11195</v>
      </c>
      <c r="B2289" t="s">
        <v>11196</v>
      </c>
    </row>
    <row r="2290" spans="1:2">
      <c r="A2290" t="s">
        <v>11197</v>
      </c>
      <c r="B2290" t="s">
        <v>11198</v>
      </c>
    </row>
    <row r="2291" spans="1:2">
      <c r="A2291" t="s">
        <v>11199</v>
      </c>
      <c r="B2291" t="s">
        <v>11200</v>
      </c>
    </row>
    <row r="2292" spans="1:2">
      <c r="A2292" t="s">
        <v>11201</v>
      </c>
      <c r="B2292" t="s">
        <v>11202</v>
      </c>
    </row>
    <row r="2293" spans="1:2">
      <c r="A2293" t="s">
        <v>11203</v>
      </c>
      <c r="B2293" t="s">
        <v>11204</v>
      </c>
    </row>
    <row r="2294" spans="1:2">
      <c r="A2294" t="s">
        <v>11205</v>
      </c>
      <c r="B2294" t="s">
        <v>11206</v>
      </c>
    </row>
    <row r="2295" spans="1:2">
      <c r="A2295" t="s">
        <v>11207</v>
      </c>
      <c r="B2295" t="s">
        <v>11208</v>
      </c>
    </row>
    <row r="2296" spans="1:2">
      <c r="A2296" t="s">
        <v>11209</v>
      </c>
      <c r="B2296" t="s">
        <v>11210</v>
      </c>
    </row>
    <row r="2297" spans="1:2">
      <c r="A2297" t="s">
        <v>11211</v>
      </c>
      <c r="B2297" t="s">
        <v>11212</v>
      </c>
    </row>
    <row r="2298" spans="1:2">
      <c r="A2298" t="s">
        <v>11213</v>
      </c>
      <c r="B2298" t="s">
        <v>11214</v>
      </c>
    </row>
    <row r="2299" spans="1:2">
      <c r="A2299" t="s">
        <v>11215</v>
      </c>
      <c r="B2299" t="s">
        <v>11216</v>
      </c>
    </row>
    <row r="2300" spans="1:2">
      <c r="A2300" t="s">
        <v>11217</v>
      </c>
      <c r="B2300" t="s">
        <v>11218</v>
      </c>
    </row>
    <row r="2301" spans="1:2">
      <c r="A2301" t="s">
        <v>11219</v>
      </c>
      <c r="B2301" t="s">
        <v>502</v>
      </c>
    </row>
    <row r="2302" spans="1:2">
      <c r="A2302" t="s">
        <v>11220</v>
      </c>
      <c r="B2302" t="s">
        <v>501</v>
      </c>
    </row>
    <row r="2303" spans="1:2">
      <c r="A2303" t="s">
        <v>11221</v>
      </c>
      <c r="B2303" t="s">
        <v>11222</v>
      </c>
    </row>
    <row r="2304" spans="1:2">
      <c r="A2304" t="s">
        <v>11223</v>
      </c>
      <c r="B2304" t="s">
        <v>11224</v>
      </c>
    </row>
    <row r="2305" spans="1:2">
      <c r="A2305" t="s">
        <v>11225</v>
      </c>
      <c r="B2305" t="s">
        <v>11226</v>
      </c>
    </row>
    <row r="2306" spans="1:2">
      <c r="A2306" t="s">
        <v>11227</v>
      </c>
      <c r="B2306" t="s">
        <v>11228</v>
      </c>
    </row>
    <row r="2307" spans="1:2">
      <c r="A2307" t="s">
        <v>11229</v>
      </c>
      <c r="B2307" t="s">
        <v>11230</v>
      </c>
    </row>
    <row r="2308" spans="1:2">
      <c r="A2308" t="s">
        <v>11231</v>
      </c>
      <c r="B2308" t="s">
        <v>11232</v>
      </c>
    </row>
    <row r="2309" spans="1:2">
      <c r="A2309" t="s">
        <v>11233</v>
      </c>
      <c r="B2309" t="s">
        <v>11234</v>
      </c>
    </row>
    <row r="2310" spans="1:2">
      <c r="A2310" t="s">
        <v>11235</v>
      </c>
      <c r="B2310" t="s">
        <v>11236</v>
      </c>
    </row>
    <row r="2311" spans="1:2">
      <c r="A2311" t="s">
        <v>11237</v>
      </c>
      <c r="B2311" t="s">
        <v>11238</v>
      </c>
    </row>
    <row r="2312" spans="1:2">
      <c r="A2312" t="s">
        <v>11239</v>
      </c>
      <c r="B2312" t="s">
        <v>11240</v>
      </c>
    </row>
    <row r="2313" spans="1:2">
      <c r="A2313" t="s">
        <v>11241</v>
      </c>
      <c r="B2313" t="s">
        <v>11242</v>
      </c>
    </row>
    <row r="2314" spans="1:2">
      <c r="A2314" t="s">
        <v>11243</v>
      </c>
      <c r="B2314" t="s">
        <v>11244</v>
      </c>
    </row>
    <row r="2315" spans="1:2">
      <c r="A2315" t="s">
        <v>11245</v>
      </c>
      <c r="B2315" t="s">
        <v>11246</v>
      </c>
    </row>
    <row r="2316" spans="1:2">
      <c r="A2316" t="s">
        <v>11247</v>
      </c>
      <c r="B2316" t="s">
        <v>11248</v>
      </c>
    </row>
    <row r="2317" spans="1:2">
      <c r="A2317" t="s">
        <v>11249</v>
      </c>
      <c r="B2317" t="s">
        <v>11250</v>
      </c>
    </row>
    <row r="2318" spans="1:2">
      <c r="A2318" t="s">
        <v>11251</v>
      </c>
      <c r="B2318" t="s">
        <v>11252</v>
      </c>
    </row>
    <row r="2319" spans="1:2">
      <c r="A2319" t="s">
        <v>11253</v>
      </c>
      <c r="B2319" t="s">
        <v>11254</v>
      </c>
    </row>
    <row r="2320" spans="1:2">
      <c r="A2320" t="s">
        <v>11255</v>
      </c>
      <c r="B2320" t="s">
        <v>11256</v>
      </c>
    </row>
    <row r="2321" spans="1:2">
      <c r="A2321" t="s">
        <v>11257</v>
      </c>
      <c r="B2321" t="s">
        <v>11258</v>
      </c>
    </row>
    <row r="2322" spans="1:2">
      <c r="A2322" t="s">
        <v>11259</v>
      </c>
      <c r="B2322" t="s">
        <v>11260</v>
      </c>
    </row>
    <row r="2323" spans="1:2">
      <c r="A2323" t="s">
        <v>11261</v>
      </c>
      <c r="B2323" t="s">
        <v>11262</v>
      </c>
    </row>
    <row r="2324" spans="1:2">
      <c r="A2324" t="s">
        <v>11263</v>
      </c>
      <c r="B2324" t="s">
        <v>11264</v>
      </c>
    </row>
    <row r="2325" spans="1:2">
      <c r="A2325" t="s">
        <v>11265</v>
      </c>
      <c r="B2325" t="s">
        <v>11266</v>
      </c>
    </row>
    <row r="2326" spans="1:2">
      <c r="A2326" t="s">
        <v>11267</v>
      </c>
      <c r="B2326" t="s">
        <v>11268</v>
      </c>
    </row>
    <row r="2327" spans="1:2">
      <c r="A2327" t="s">
        <v>11269</v>
      </c>
      <c r="B2327" t="s">
        <v>11270</v>
      </c>
    </row>
    <row r="2328" spans="1:2">
      <c r="A2328" t="s">
        <v>11271</v>
      </c>
      <c r="B2328" t="s">
        <v>11272</v>
      </c>
    </row>
    <row r="2329" spans="1:2">
      <c r="A2329" t="s">
        <v>11273</v>
      </c>
      <c r="B2329" t="s">
        <v>11274</v>
      </c>
    </row>
    <row r="2330" spans="1:2">
      <c r="A2330" t="s">
        <v>11275</v>
      </c>
      <c r="B2330" t="s">
        <v>11276</v>
      </c>
    </row>
    <row r="2331" spans="1:2">
      <c r="A2331" t="s">
        <v>11277</v>
      </c>
      <c r="B2331" t="s">
        <v>11278</v>
      </c>
    </row>
    <row r="2332" spans="1:2">
      <c r="A2332" t="s">
        <v>11279</v>
      </c>
      <c r="B2332" t="s">
        <v>11280</v>
      </c>
    </row>
    <row r="2333" spans="1:2">
      <c r="A2333" t="s">
        <v>11281</v>
      </c>
      <c r="B2333" t="s">
        <v>11282</v>
      </c>
    </row>
    <row r="2334" spans="1:2">
      <c r="A2334" t="s">
        <v>11283</v>
      </c>
      <c r="B2334" t="s">
        <v>11284</v>
      </c>
    </row>
    <row r="2335" spans="1:2">
      <c r="A2335" t="s">
        <v>11285</v>
      </c>
      <c r="B2335" t="s">
        <v>11286</v>
      </c>
    </row>
    <row r="2336" spans="1:2">
      <c r="A2336" t="s">
        <v>11287</v>
      </c>
      <c r="B2336" t="s">
        <v>11288</v>
      </c>
    </row>
    <row r="2337" spans="1:2">
      <c r="A2337" t="s">
        <v>11289</v>
      </c>
      <c r="B2337" t="s">
        <v>11290</v>
      </c>
    </row>
    <row r="2338" spans="1:2">
      <c r="A2338" t="s">
        <v>11291</v>
      </c>
      <c r="B2338" t="s">
        <v>11292</v>
      </c>
    </row>
    <row r="2339" spans="1:2">
      <c r="A2339" t="s">
        <v>11293</v>
      </c>
      <c r="B2339" t="s">
        <v>11294</v>
      </c>
    </row>
    <row r="2340" spans="1:2">
      <c r="A2340" t="s">
        <v>11295</v>
      </c>
      <c r="B2340" t="s">
        <v>11296</v>
      </c>
    </row>
    <row r="2341" spans="1:2">
      <c r="A2341" t="s">
        <v>11297</v>
      </c>
      <c r="B2341" t="s">
        <v>11298</v>
      </c>
    </row>
    <row r="2342" spans="1:2">
      <c r="A2342" t="s">
        <v>11299</v>
      </c>
      <c r="B2342" t="s">
        <v>11300</v>
      </c>
    </row>
    <row r="2343" spans="1:2">
      <c r="A2343" t="s">
        <v>11301</v>
      </c>
      <c r="B2343" t="s">
        <v>11302</v>
      </c>
    </row>
    <row r="2344" spans="1:2">
      <c r="A2344" t="s">
        <v>11303</v>
      </c>
      <c r="B2344" t="s">
        <v>11304</v>
      </c>
    </row>
    <row r="2345" spans="1:2">
      <c r="A2345" t="s">
        <v>11305</v>
      </c>
      <c r="B2345" t="s">
        <v>11306</v>
      </c>
    </row>
    <row r="2346" spans="1:2">
      <c r="A2346" t="s">
        <v>11307</v>
      </c>
      <c r="B2346" t="s">
        <v>11308</v>
      </c>
    </row>
    <row r="2347" spans="1:2">
      <c r="A2347" t="s">
        <v>11309</v>
      </c>
      <c r="B2347" t="s">
        <v>11310</v>
      </c>
    </row>
    <row r="2348" spans="1:2">
      <c r="A2348" t="s">
        <v>11311</v>
      </c>
      <c r="B2348" t="s">
        <v>11312</v>
      </c>
    </row>
    <row r="2349" spans="1:2">
      <c r="A2349" t="s">
        <v>11313</v>
      </c>
      <c r="B2349" t="s">
        <v>11314</v>
      </c>
    </row>
    <row r="2350" spans="1:2">
      <c r="A2350" t="s">
        <v>11315</v>
      </c>
      <c r="B2350" t="s">
        <v>11316</v>
      </c>
    </row>
    <row r="2351" spans="1:2">
      <c r="A2351" t="s">
        <v>11317</v>
      </c>
      <c r="B2351" t="s">
        <v>11318</v>
      </c>
    </row>
    <row r="2352" spans="1:2">
      <c r="A2352" t="s">
        <v>11319</v>
      </c>
      <c r="B2352" t="s">
        <v>11320</v>
      </c>
    </row>
    <row r="2353" spans="1:2">
      <c r="A2353" t="s">
        <v>11321</v>
      </c>
      <c r="B2353" t="s">
        <v>11322</v>
      </c>
    </row>
    <row r="2354" spans="1:2">
      <c r="A2354" t="s">
        <v>11323</v>
      </c>
      <c r="B2354" t="s">
        <v>11324</v>
      </c>
    </row>
    <row r="2355" spans="1:2">
      <c r="A2355" t="s">
        <v>11325</v>
      </c>
      <c r="B2355" t="s">
        <v>11326</v>
      </c>
    </row>
    <row r="2356" spans="1:2">
      <c r="A2356" t="s">
        <v>11327</v>
      </c>
      <c r="B2356" t="s">
        <v>11328</v>
      </c>
    </row>
    <row r="2357" spans="1:2">
      <c r="A2357" t="s">
        <v>11329</v>
      </c>
      <c r="B2357" t="s">
        <v>11330</v>
      </c>
    </row>
    <row r="2358" spans="1:2">
      <c r="A2358" t="s">
        <v>11329</v>
      </c>
      <c r="B2358" t="s">
        <v>11331</v>
      </c>
    </row>
    <row r="2359" spans="1:2">
      <c r="A2359" t="s">
        <v>11332</v>
      </c>
      <c r="B2359" t="s">
        <v>11333</v>
      </c>
    </row>
    <row r="2360" spans="1:2">
      <c r="A2360" t="s">
        <v>11332</v>
      </c>
      <c r="B2360" t="s">
        <v>11334</v>
      </c>
    </row>
    <row r="2361" spans="1:2">
      <c r="A2361" t="s">
        <v>11335</v>
      </c>
      <c r="B2361" t="s">
        <v>11336</v>
      </c>
    </row>
    <row r="2362" spans="1:2">
      <c r="A2362" t="s">
        <v>11335</v>
      </c>
      <c r="B2362" t="s">
        <v>11337</v>
      </c>
    </row>
    <row r="2363" spans="1:2">
      <c r="A2363" t="s">
        <v>11338</v>
      </c>
      <c r="B2363" t="s">
        <v>11339</v>
      </c>
    </row>
    <row r="2364" spans="1:2">
      <c r="A2364" t="s">
        <v>11340</v>
      </c>
      <c r="B2364" t="s">
        <v>11341</v>
      </c>
    </row>
    <row r="2365" spans="1:2">
      <c r="A2365" t="s">
        <v>11342</v>
      </c>
      <c r="B2365" t="s">
        <v>11343</v>
      </c>
    </row>
    <row r="2366" spans="1:2">
      <c r="A2366" t="s">
        <v>11344</v>
      </c>
      <c r="B2366" t="s">
        <v>11345</v>
      </c>
    </row>
    <row r="2367" spans="1:2">
      <c r="A2367" t="s">
        <v>11346</v>
      </c>
      <c r="B2367" t="s">
        <v>11347</v>
      </c>
    </row>
    <row r="2368" spans="1:2">
      <c r="A2368" t="s">
        <v>11348</v>
      </c>
      <c r="B2368" t="s">
        <v>11349</v>
      </c>
    </row>
    <row r="2369" spans="1:2">
      <c r="A2369" t="s">
        <v>11350</v>
      </c>
      <c r="B2369" t="s">
        <v>11351</v>
      </c>
    </row>
    <row r="2370" spans="1:2">
      <c r="A2370" t="s">
        <v>11352</v>
      </c>
      <c r="B2370" t="s">
        <v>11353</v>
      </c>
    </row>
    <row r="2371" spans="1:2">
      <c r="A2371" t="s">
        <v>11354</v>
      </c>
      <c r="B2371" t="s">
        <v>11355</v>
      </c>
    </row>
    <row r="2372" spans="1:2">
      <c r="A2372" t="s">
        <v>11356</v>
      </c>
      <c r="B2372" t="s">
        <v>11357</v>
      </c>
    </row>
    <row r="2373" spans="1:2">
      <c r="A2373" t="s">
        <v>11358</v>
      </c>
      <c r="B2373" t="s">
        <v>11359</v>
      </c>
    </row>
    <row r="2374" spans="1:2">
      <c r="A2374" t="s">
        <v>11360</v>
      </c>
      <c r="B2374" t="s">
        <v>11361</v>
      </c>
    </row>
    <row r="2375" spans="1:2">
      <c r="A2375" t="s">
        <v>11362</v>
      </c>
      <c r="B2375" t="s">
        <v>11363</v>
      </c>
    </row>
    <row r="2376" spans="1:2">
      <c r="A2376" t="s">
        <v>11364</v>
      </c>
      <c r="B2376" t="s">
        <v>11365</v>
      </c>
    </row>
    <row r="2377" spans="1:2">
      <c r="A2377" t="s">
        <v>11366</v>
      </c>
      <c r="B2377" t="s">
        <v>11367</v>
      </c>
    </row>
    <row r="2378" spans="1:2">
      <c r="A2378" t="s">
        <v>11368</v>
      </c>
      <c r="B2378" t="s">
        <v>11369</v>
      </c>
    </row>
    <row r="2379" spans="1:2">
      <c r="A2379" t="s">
        <v>11370</v>
      </c>
      <c r="B2379" t="s">
        <v>11371</v>
      </c>
    </row>
    <row r="2380" spans="1:2">
      <c r="A2380" t="s">
        <v>11372</v>
      </c>
      <c r="B2380" t="s">
        <v>11373</v>
      </c>
    </row>
    <row r="2381" spans="1:2">
      <c r="A2381" t="s">
        <v>11374</v>
      </c>
      <c r="B2381" t="s">
        <v>11375</v>
      </c>
    </row>
    <row r="2382" spans="1:2">
      <c r="A2382" t="s">
        <v>11376</v>
      </c>
      <c r="B2382" t="s">
        <v>7549</v>
      </c>
    </row>
    <row r="2383" spans="1:2">
      <c r="A2383" t="s">
        <v>11377</v>
      </c>
      <c r="B2383" t="s">
        <v>7563</v>
      </c>
    </row>
    <row r="2384" spans="1:2">
      <c r="A2384" t="s">
        <v>11378</v>
      </c>
      <c r="B2384" t="s">
        <v>11379</v>
      </c>
    </row>
    <row r="2385" spans="1:2">
      <c r="A2385" t="s">
        <v>11380</v>
      </c>
      <c r="B2385" t="s">
        <v>7222</v>
      </c>
    </row>
    <row r="2386" spans="1:2">
      <c r="A2386" t="s">
        <v>11381</v>
      </c>
      <c r="B2386" t="s">
        <v>11382</v>
      </c>
    </row>
    <row r="2387" spans="1:2">
      <c r="A2387" t="s">
        <v>11383</v>
      </c>
      <c r="B2387" t="s">
        <v>11384</v>
      </c>
    </row>
    <row r="2388" spans="1:2">
      <c r="A2388" t="s">
        <v>11385</v>
      </c>
      <c r="B2388" t="s">
        <v>7552</v>
      </c>
    </row>
    <row r="2389" spans="1:2">
      <c r="A2389" t="s">
        <v>11386</v>
      </c>
      <c r="B2389" t="s">
        <v>11387</v>
      </c>
    </row>
    <row r="2390" spans="1:2">
      <c r="A2390" t="s">
        <v>11388</v>
      </c>
      <c r="B2390" t="s">
        <v>11389</v>
      </c>
    </row>
    <row r="2391" spans="1:2">
      <c r="A2391" t="s">
        <v>11390</v>
      </c>
      <c r="B2391" t="s">
        <v>11391</v>
      </c>
    </row>
    <row r="2392" spans="1:2">
      <c r="A2392" t="s">
        <v>11392</v>
      </c>
      <c r="B2392" t="s">
        <v>10175</v>
      </c>
    </row>
    <row r="2393" spans="1:2">
      <c r="A2393" t="s">
        <v>11393</v>
      </c>
      <c r="B2393" t="s">
        <v>11394</v>
      </c>
    </row>
    <row r="2394" spans="1:2">
      <c r="A2394" t="s">
        <v>11395</v>
      </c>
      <c r="B2394" t="s">
        <v>11396</v>
      </c>
    </row>
    <row r="2395" spans="1:2">
      <c r="A2395" t="s">
        <v>11397</v>
      </c>
      <c r="B2395" t="s">
        <v>11398</v>
      </c>
    </row>
    <row r="2396" spans="1:2">
      <c r="A2396" t="s">
        <v>11399</v>
      </c>
      <c r="B2396" t="s">
        <v>11400</v>
      </c>
    </row>
    <row r="2397" spans="1:2">
      <c r="A2397" t="s">
        <v>11401</v>
      </c>
      <c r="B2397" t="s">
        <v>11402</v>
      </c>
    </row>
    <row r="2398" spans="1:2">
      <c r="A2398" t="s">
        <v>11403</v>
      </c>
      <c r="B2398" t="s">
        <v>11404</v>
      </c>
    </row>
    <row r="2399" spans="1:2">
      <c r="A2399" t="s">
        <v>11405</v>
      </c>
      <c r="B2399" t="s">
        <v>11406</v>
      </c>
    </row>
    <row r="2400" spans="1:2">
      <c r="A2400" t="s">
        <v>11407</v>
      </c>
      <c r="B2400" t="s">
        <v>11408</v>
      </c>
    </row>
    <row r="2401" spans="1:2">
      <c r="A2401" t="s">
        <v>11409</v>
      </c>
      <c r="B2401" t="s">
        <v>11410</v>
      </c>
    </row>
    <row r="2402" spans="1:2">
      <c r="A2402" t="s">
        <v>11411</v>
      </c>
      <c r="B2402" t="s">
        <v>11412</v>
      </c>
    </row>
    <row r="2403" spans="1:2">
      <c r="A2403" t="s">
        <v>11413</v>
      </c>
      <c r="B2403" t="s">
        <v>11414</v>
      </c>
    </row>
    <row r="2404" spans="1:2">
      <c r="A2404" t="s">
        <v>11415</v>
      </c>
      <c r="B2404" t="s">
        <v>11416</v>
      </c>
    </row>
    <row r="2405" spans="1:2">
      <c r="A2405" t="s">
        <v>11417</v>
      </c>
      <c r="B2405" t="s">
        <v>11418</v>
      </c>
    </row>
    <row r="2406" spans="1:2">
      <c r="A2406" t="s">
        <v>11419</v>
      </c>
      <c r="B2406" t="s">
        <v>11420</v>
      </c>
    </row>
    <row r="2407" spans="1:2">
      <c r="A2407" t="s">
        <v>11421</v>
      </c>
      <c r="B2407" t="s">
        <v>11422</v>
      </c>
    </row>
    <row r="2408" spans="1:2">
      <c r="A2408" t="s">
        <v>11421</v>
      </c>
      <c r="B2408" t="s">
        <v>11423</v>
      </c>
    </row>
    <row r="2409" spans="1:2">
      <c r="A2409" t="s">
        <v>11424</v>
      </c>
      <c r="B2409" t="s">
        <v>11425</v>
      </c>
    </row>
    <row r="2410" spans="1:2">
      <c r="A2410" t="s">
        <v>11426</v>
      </c>
      <c r="B2410" t="s">
        <v>11427</v>
      </c>
    </row>
    <row r="2411" spans="1:2">
      <c r="A2411" t="s">
        <v>11428</v>
      </c>
      <c r="B2411" t="s">
        <v>11429</v>
      </c>
    </row>
    <row r="2412" spans="1:2">
      <c r="A2412" t="s">
        <v>11430</v>
      </c>
      <c r="B2412" t="s">
        <v>235</v>
      </c>
    </row>
    <row r="2413" spans="1:2">
      <c r="A2413" t="s">
        <v>11431</v>
      </c>
      <c r="B2413" t="s">
        <v>11432</v>
      </c>
    </row>
    <row r="2414" spans="1:2">
      <c r="A2414" t="s">
        <v>11433</v>
      </c>
      <c r="B2414" t="s">
        <v>158</v>
      </c>
    </row>
    <row r="2415" spans="1:2">
      <c r="A2415" t="s">
        <v>11433</v>
      </c>
      <c r="B2415" t="s">
        <v>11434</v>
      </c>
    </row>
    <row r="2416" spans="1:2">
      <c r="A2416" t="s">
        <v>11435</v>
      </c>
      <c r="B2416" t="s">
        <v>1215</v>
      </c>
    </row>
    <row r="2417" spans="1:2">
      <c r="A2417" t="s">
        <v>11436</v>
      </c>
      <c r="B2417" t="s">
        <v>11437</v>
      </c>
    </row>
    <row r="2418" spans="1:2">
      <c r="A2418" t="s">
        <v>11436</v>
      </c>
      <c r="B2418" t="s">
        <v>11438</v>
      </c>
    </row>
    <row r="2419" spans="1:2">
      <c r="A2419" t="s">
        <v>11439</v>
      </c>
      <c r="B2419" t="s">
        <v>11440</v>
      </c>
    </row>
    <row r="2420" spans="1:2">
      <c r="A2420" t="s">
        <v>11441</v>
      </c>
      <c r="B2420" t="s">
        <v>265</v>
      </c>
    </row>
    <row r="2421" spans="1:2">
      <c r="A2421" t="s">
        <v>11442</v>
      </c>
      <c r="B2421" t="s">
        <v>674</v>
      </c>
    </row>
    <row r="2422" spans="1:2">
      <c r="A2422" t="s">
        <v>11442</v>
      </c>
      <c r="B2422" t="s">
        <v>11443</v>
      </c>
    </row>
    <row r="2423" spans="1:2">
      <c r="A2423" t="s">
        <v>11444</v>
      </c>
      <c r="B2423" t="s">
        <v>277</v>
      </c>
    </row>
    <row r="2424" spans="1:2">
      <c r="A2424" t="s">
        <v>11444</v>
      </c>
      <c r="B2424" t="s">
        <v>11445</v>
      </c>
    </row>
    <row r="2425" spans="1:2">
      <c r="A2425" t="s">
        <v>11446</v>
      </c>
      <c r="B2425" t="s">
        <v>811</v>
      </c>
    </row>
    <row r="2426" spans="1:2">
      <c r="A2426" t="s">
        <v>11447</v>
      </c>
      <c r="B2426" t="s">
        <v>11448</v>
      </c>
    </row>
    <row r="2427" spans="1:2">
      <c r="A2427" t="s">
        <v>11449</v>
      </c>
      <c r="B2427" t="s">
        <v>968</v>
      </c>
    </row>
    <row r="2428" spans="1:2">
      <c r="A2428" t="s">
        <v>11450</v>
      </c>
      <c r="B2428" t="s">
        <v>11451</v>
      </c>
    </row>
    <row r="2429" spans="1:2">
      <c r="A2429" t="s">
        <v>11450</v>
      </c>
      <c r="B2429" t="s">
        <v>11452</v>
      </c>
    </row>
    <row r="2430" spans="1:2">
      <c r="A2430" t="s">
        <v>11453</v>
      </c>
      <c r="B2430" t="s">
        <v>11454</v>
      </c>
    </row>
    <row r="2431" spans="1:2">
      <c r="A2431" t="s">
        <v>11453</v>
      </c>
      <c r="B2431" t="s">
        <v>11455</v>
      </c>
    </row>
    <row r="2432" spans="1:2">
      <c r="A2432" t="s">
        <v>11456</v>
      </c>
      <c r="B2432" t="s">
        <v>11457</v>
      </c>
    </row>
    <row r="2433" spans="1:2">
      <c r="A2433" t="s">
        <v>11456</v>
      </c>
      <c r="B2433" t="s">
        <v>11458</v>
      </c>
    </row>
    <row r="2434" spans="1:2">
      <c r="A2434" t="s">
        <v>11459</v>
      </c>
      <c r="B2434" t="s">
        <v>11460</v>
      </c>
    </row>
    <row r="2435" spans="1:2">
      <c r="A2435" t="s">
        <v>11461</v>
      </c>
      <c r="B2435" t="s">
        <v>11462</v>
      </c>
    </row>
    <row r="2436" spans="1:2">
      <c r="A2436" t="s">
        <v>11461</v>
      </c>
      <c r="B2436" t="s">
        <v>11463</v>
      </c>
    </row>
    <row r="2437" spans="1:2">
      <c r="A2437" t="s">
        <v>11464</v>
      </c>
      <c r="B2437" t="s">
        <v>11465</v>
      </c>
    </row>
    <row r="2438" spans="1:2">
      <c r="A2438" t="s">
        <v>11464</v>
      </c>
      <c r="B2438" t="s">
        <v>11466</v>
      </c>
    </row>
    <row r="2439" spans="1:2">
      <c r="A2439" t="s">
        <v>11467</v>
      </c>
      <c r="B2439" t="s">
        <v>11468</v>
      </c>
    </row>
    <row r="2440" spans="1:2">
      <c r="A2440" t="s">
        <v>11467</v>
      </c>
      <c r="B2440" t="s">
        <v>11469</v>
      </c>
    </row>
    <row r="2441" spans="1:2">
      <c r="A2441" t="s">
        <v>11470</v>
      </c>
      <c r="B2441" t="s">
        <v>11471</v>
      </c>
    </row>
    <row r="2442" spans="1:2">
      <c r="A2442" t="s">
        <v>11472</v>
      </c>
      <c r="B2442" t="s">
        <v>11473</v>
      </c>
    </row>
    <row r="2443" spans="1:2">
      <c r="A2443" t="s">
        <v>11472</v>
      </c>
      <c r="B2443" t="s">
        <v>11474</v>
      </c>
    </row>
    <row r="2444" spans="1:2">
      <c r="A2444" t="s">
        <v>11475</v>
      </c>
      <c r="B2444" t="s">
        <v>11476</v>
      </c>
    </row>
    <row r="2445" spans="1:2">
      <c r="A2445" t="s">
        <v>11475</v>
      </c>
      <c r="B2445" t="s">
        <v>11477</v>
      </c>
    </row>
    <row r="2446" spans="1:2">
      <c r="A2446" t="s">
        <v>11478</v>
      </c>
      <c r="B2446" t="s">
        <v>1949</v>
      </c>
    </row>
    <row r="2447" spans="1:2">
      <c r="A2447" t="s">
        <v>11478</v>
      </c>
      <c r="B2447" t="s">
        <v>11479</v>
      </c>
    </row>
    <row r="2448" spans="1:2">
      <c r="A2448" t="s">
        <v>11480</v>
      </c>
      <c r="B2448" t="s">
        <v>285</v>
      </c>
    </row>
    <row r="2449" spans="1:2">
      <c r="A2449" t="s">
        <v>11480</v>
      </c>
      <c r="B2449" t="s">
        <v>11481</v>
      </c>
    </row>
    <row r="2450" spans="1:2">
      <c r="A2450" t="s">
        <v>11482</v>
      </c>
      <c r="B2450" t="s">
        <v>747</v>
      </c>
    </row>
    <row r="2451" spans="1:2">
      <c r="A2451" t="s">
        <v>11483</v>
      </c>
      <c r="B2451" t="s">
        <v>11484</v>
      </c>
    </row>
    <row r="2452" spans="1:2">
      <c r="A2452" t="s">
        <v>11485</v>
      </c>
      <c r="B2452" t="s">
        <v>11486</v>
      </c>
    </row>
    <row r="2453" spans="1:2">
      <c r="A2453" t="s">
        <v>11487</v>
      </c>
      <c r="B2453" t="s">
        <v>11488</v>
      </c>
    </row>
    <row r="2454" spans="1:2">
      <c r="A2454" t="s">
        <v>11487</v>
      </c>
      <c r="B2454" t="s">
        <v>11489</v>
      </c>
    </row>
    <row r="2455" spans="1:2">
      <c r="A2455" t="s">
        <v>11490</v>
      </c>
      <c r="B2455" t="s">
        <v>246</v>
      </c>
    </row>
    <row r="2456" spans="1:2">
      <c r="A2456" t="s">
        <v>11491</v>
      </c>
      <c r="B2456" t="s">
        <v>3007</v>
      </c>
    </row>
    <row r="2457" spans="1:2">
      <c r="A2457" t="s">
        <v>11491</v>
      </c>
      <c r="B2457" t="s">
        <v>11492</v>
      </c>
    </row>
    <row r="2458" spans="1:2">
      <c r="A2458" t="s">
        <v>11493</v>
      </c>
      <c r="B2458" t="s">
        <v>11494</v>
      </c>
    </row>
    <row r="2459" spans="1:2">
      <c r="A2459" t="s">
        <v>11493</v>
      </c>
      <c r="B2459" t="s">
        <v>11495</v>
      </c>
    </row>
    <row r="2460" spans="1:2">
      <c r="A2460" t="s">
        <v>11496</v>
      </c>
      <c r="B2460" t="s">
        <v>11497</v>
      </c>
    </row>
    <row r="2461" spans="1:2">
      <c r="A2461" t="s">
        <v>11496</v>
      </c>
      <c r="B2461" t="s">
        <v>11498</v>
      </c>
    </row>
    <row r="2462" spans="1:2">
      <c r="A2462" t="s">
        <v>11499</v>
      </c>
      <c r="B2462" t="s">
        <v>2550</v>
      </c>
    </row>
    <row r="2463" spans="1:2">
      <c r="A2463" t="s">
        <v>11500</v>
      </c>
      <c r="B2463" t="s">
        <v>888</v>
      </c>
    </row>
    <row r="2464" spans="1:2">
      <c r="A2464" t="s">
        <v>11501</v>
      </c>
      <c r="B2464" t="s">
        <v>2255</v>
      </c>
    </row>
    <row r="2465" spans="1:2">
      <c r="A2465" t="s">
        <v>11501</v>
      </c>
      <c r="B2465" t="s">
        <v>11502</v>
      </c>
    </row>
    <row r="2466" spans="1:2">
      <c r="A2466" t="s">
        <v>11503</v>
      </c>
      <c r="B2466" t="s">
        <v>1586</v>
      </c>
    </row>
    <row r="2467" spans="1:2">
      <c r="A2467" t="s">
        <v>11503</v>
      </c>
      <c r="B2467" t="s">
        <v>11504</v>
      </c>
    </row>
    <row r="2468" spans="1:2">
      <c r="A2468" t="s">
        <v>11505</v>
      </c>
      <c r="B2468" t="s">
        <v>11506</v>
      </c>
    </row>
    <row r="2469" spans="1:2">
      <c r="A2469" t="s">
        <v>11507</v>
      </c>
      <c r="B2469" t="s">
        <v>11508</v>
      </c>
    </row>
    <row r="2470" spans="1:2">
      <c r="A2470" t="s">
        <v>11509</v>
      </c>
      <c r="B2470" t="s">
        <v>11510</v>
      </c>
    </row>
    <row r="2471" spans="1:2">
      <c r="A2471" t="s">
        <v>11511</v>
      </c>
      <c r="B2471" t="s">
        <v>11512</v>
      </c>
    </row>
    <row r="2472" spans="1:2">
      <c r="A2472" t="s">
        <v>11511</v>
      </c>
      <c r="B2472" t="s">
        <v>1354</v>
      </c>
    </row>
    <row r="2473" spans="1:2">
      <c r="A2473" t="s">
        <v>11513</v>
      </c>
      <c r="B2473" t="s">
        <v>11514</v>
      </c>
    </row>
    <row r="2474" spans="1:2">
      <c r="A2474" t="s">
        <v>11515</v>
      </c>
      <c r="B2474" t="s">
        <v>11516</v>
      </c>
    </row>
    <row r="2475" spans="1:2">
      <c r="A2475" t="s">
        <v>11515</v>
      </c>
      <c r="B2475" t="s">
        <v>11517</v>
      </c>
    </row>
    <row r="2476" spans="1:2">
      <c r="A2476" t="s">
        <v>11518</v>
      </c>
      <c r="B2476" t="s">
        <v>11519</v>
      </c>
    </row>
    <row r="2477" spans="1:2">
      <c r="A2477" t="s">
        <v>11520</v>
      </c>
      <c r="B2477" t="s">
        <v>11521</v>
      </c>
    </row>
    <row r="2478" spans="1:2">
      <c r="A2478" t="s">
        <v>11522</v>
      </c>
      <c r="B2478" t="s">
        <v>11523</v>
      </c>
    </row>
    <row r="2479" spans="1:2">
      <c r="A2479" t="s">
        <v>11524</v>
      </c>
      <c r="B2479" t="s">
        <v>11525</v>
      </c>
    </row>
    <row r="2480" spans="1:2">
      <c r="A2480" t="s">
        <v>11526</v>
      </c>
      <c r="B2480" t="s">
        <v>11527</v>
      </c>
    </row>
    <row r="2481" spans="1:2">
      <c r="A2481" t="s">
        <v>11528</v>
      </c>
      <c r="B2481" t="s">
        <v>11529</v>
      </c>
    </row>
    <row r="2482" spans="1:2">
      <c r="A2482" t="s">
        <v>11530</v>
      </c>
      <c r="B2482" t="s">
        <v>11531</v>
      </c>
    </row>
    <row r="2483" spans="1:2">
      <c r="A2483" t="s">
        <v>11532</v>
      </c>
      <c r="B2483" t="s">
        <v>11533</v>
      </c>
    </row>
    <row r="2484" spans="1:2">
      <c r="A2484" t="s">
        <v>11534</v>
      </c>
      <c r="B2484" t="s">
        <v>11535</v>
      </c>
    </row>
    <row r="2485" spans="1:2">
      <c r="A2485" t="s">
        <v>11536</v>
      </c>
      <c r="B2485" t="s">
        <v>11537</v>
      </c>
    </row>
    <row r="2486" spans="1:2">
      <c r="A2486" t="s">
        <v>11538</v>
      </c>
      <c r="B2486" t="s">
        <v>11539</v>
      </c>
    </row>
    <row r="2487" spans="1:2">
      <c r="A2487" t="s">
        <v>11540</v>
      </c>
      <c r="B2487" t="s">
        <v>11541</v>
      </c>
    </row>
    <row r="2488" spans="1:2">
      <c r="A2488" t="s">
        <v>11542</v>
      </c>
      <c r="B2488" t="s">
        <v>11543</v>
      </c>
    </row>
    <row r="2489" spans="1:2">
      <c r="A2489" t="s">
        <v>11544</v>
      </c>
      <c r="B2489" t="s">
        <v>11545</v>
      </c>
    </row>
    <row r="2490" spans="1:2">
      <c r="A2490" t="s">
        <v>11546</v>
      </c>
      <c r="B2490" t="s">
        <v>11547</v>
      </c>
    </row>
    <row r="2491" spans="1:2">
      <c r="A2491" t="s">
        <v>11548</v>
      </c>
      <c r="B2491" t="s">
        <v>11549</v>
      </c>
    </row>
    <row r="2492" spans="1:2">
      <c r="A2492" t="s">
        <v>11550</v>
      </c>
      <c r="B2492" t="s">
        <v>11551</v>
      </c>
    </row>
    <row r="2493" spans="1:2">
      <c r="A2493" t="s">
        <v>11552</v>
      </c>
      <c r="B2493" t="s">
        <v>11553</v>
      </c>
    </row>
    <row r="2494" spans="1:2">
      <c r="A2494" t="s">
        <v>11554</v>
      </c>
      <c r="B2494" t="s">
        <v>11555</v>
      </c>
    </row>
    <row r="2495" spans="1:2">
      <c r="A2495" t="s">
        <v>11556</v>
      </c>
      <c r="B2495" t="s">
        <v>11557</v>
      </c>
    </row>
    <row r="2496" spans="1:2">
      <c r="A2496" t="s">
        <v>11558</v>
      </c>
      <c r="B2496" t="s">
        <v>11559</v>
      </c>
    </row>
    <row r="2497" spans="1:2">
      <c r="A2497" t="s">
        <v>11560</v>
      </c>
      <c r="B2497" t="s">
        <v>11561</v>
      </c>
    </row>
    <row r="2498" spans="1:2">
      <c r="A2498" t="s">
        <v>11562</v>
      </c>
      <c r="B2498" t="s">
        <v>11563</v>
      </c>
    </row>
    <row r="2499" spans="1:2">
      <c r="A2499" t="s">
        <v>11564</v>
      </c>
      <c r="B2499" t="s">
        <v>11565</v>
      </c>
    </row>
    <row r="2500" spans="1:2">
      <c r="A2500" t="s">
        <v>11566</v>
      </c>
      <c r="B2500" t="s">
        <v>11567</v>
      </c>
    </row>
    <row r="2501" spans="1:2">
      <c r="A2501" t="s">
        <v>11568</v>
      </c>
      <c r="B2501" t="s">
        <v>11569</v>
      </c>
    </row>
    <row r="2502" spans="1:2">
      <c r="A2502" t="s">
        <v>11570</v>
      </c>
      <c r="B2502" t="s">
        <v>11571</v>
      </c>
    </row>
    <row r="2503" spans="1:2">
      <c r="A2503" t="s">
        <v>11572</v>
      </c>
      <c r="B2503" t="s">
        <v>11573</v>
      </c>
    </row>
    <row r="2504" spans="1:2">
      <c r="A2504" t="s">
        <v>11574</v>
      </c>
      <c r="B2504" t="s">
        <v>11575</v>
      </c>
    </row>
    <row r="2505" spans="1:2">
      <c r="A2505" t="s">
        <v>11576</v>
      </c>
      <c r="B2505" t="s">
        <v>11577</v>
      </c>
    </row>
    <row r="2506" spans="1:2">
      <c r="A2506" t="s">
        <v>11578</v>
      </c>
      <c r="B2506" t="s">
        <v>11579</v>
      </c>
    </row>
    <row r="2507" spans="1:2">
      <c r="A2507" t="s">
        <v>11580</v>
      </c>
      <c r="B2507" t="s">
        <v>11581</v>
      </c>
    </row>
    <row r="2508" spans="1:2">
      <c r="A2508" t="s">
        <v>11582</v>
      </c>
      <c r="B2508" t="s">
        <v>11583</v>
      </c>
    </row>
    <row r="2509" spans="1:2">
      <c r="A2509" t="s">
        <v>11584</v>
      </c>
      <c r="B2509" t="s">
        <v>11585</v>
      </c>
    </row>
    <row r="2510" spans="1:2">
      <c r="A2510" t="s">
        <v>11586</v>
      </c>
      <c r="B2510" t="s">
        <v>11587</v>
      </c>
    </row>
    <row r="2511" spans="1:2">
      <c r="A2511" t="s">
        <v>11588</v>
      </c>
      <c r="B2511" t="s">
        <v>11589</v>
      </c>
    </row>
    <row r="2512" spans="1:2">
      <c r="A2512" t="s">
        <v>11590</v>
      </c>
      <c r="B2512" t="s">
        <v>11591</v>
      </c>
    </row>
    <row r="2513" spans="1:2">
      <c r="A2513" t="s">
        <v>11592</v>
      </c>
      <c r="B2513" t="s">
        <v>11593</v>
      </c>
    </row>
    <row r="2514" spans="1:2">
      <c r="A2514" t="s">
        <v>11594</v>
      </c>
      <c r="B2514" t="s">
        <v>11595</v>
      </c>
    </row>
    <row r="2515" spans="1:2">
      <c r="A2515" t="s">
        <v>11596</v>
      </c>
      <c r="B2515" t="s">
        <v>11597</v>
      </c>
    </row>
    <row r="2516" spans="1:2">
      <c r="A2516" t="s">
        <v>11598</v>
      </c>
      <c r="B2516" t="s">
        <v>11599</v>
      </c>
    </row>
    <row r="2517" spans="1:2">
      <c r="A2517" t="s">
        <v>11600</v>
      </c>
      <c r="B2517" t="s">
        <v>11601</v>
      </c>
    </row>
    <row r="2518" spans="1:2">
      <c r="A2518" t="s">
        <v>11602</v>
      </c>
      <c r="B2518" t="s">
        <v>11603</v>
      </c>
    </row>
    <row r="2519" spans="1:2">
      <c r="A2519" t="s">
        <v>11604</v>
      </c>
      <c r="B2519" t="s">
        <v>11605</v>
      </c>
    </row>
    <row r="2520" spans="1:2">
      <c r="A2520" t="s">
        <v>11606</v>
      </c>
      <c r="B2520" t="s">
        <v>11607</v>
      </c>
    </row>
    <row r="2521" spans="1:2">
      <c r="A2521" t="s">
        <v>11608</v>
      </c>
      <c r="B2521" t="s">
        <v>11609</v>
      </c>
    </row>
    <row r="2522" spans="1:2">
      <c r="A2522" t="s">
        <v>11610</v>
      </c>
      <c r="B2522" t="s">
        <v>11611</v>
      </c>
    </row>
    <row r="2523" spans="1:2">
      <c r="A2523" t="s">
        <v>11612</v>
      </c>
      <c r="B2523" t="s">
        <v>11613</v>
      </c>
    </row>
    <row r="2524" spans="1:2">
      <c r="A2524" t="s">
        <v>11614</v>
      </c>
      <c r="B2524" t="s">
        <v>2632</v>
      </c>
    </row>
    <row r="2525" spans="1:2">
      <c r="A2525" t="s">
        <v>11614</v>
      </c>
      <c r="B2525" t="s">
        <v>11615</v>
      </c>
    </row>
    <row r="2526" spans="1:2">
      <c r="A2526" t="s">
        <v>11614</v>
      </c>
      <c r="B2526" t="s">
        <v>11616</v>
      </c>
    </row>
    <row r="2527" spans="1:2">
      <c r="A2527" t="s">
        <v>11617</v>
      </c>
      <c r="B2527" t="s">
        <v>11618</v>
      </c>
    </row>
    <row r="2528" spans="1:2">
      <c r="A2528" t="s">
        <v>11617</v>
      </c>
      <c r="B2528" t="s">
        <v>11619</v>
      </c>
    </row>
    <row r="2529" spans="1:2">
      <c r="A2529" t="s">
        <v>11617</v>
      </c>
      <c r="B2529" t="s">
        <v>11620</v>
      </c>
    </row>
    <row r="2530" spans="1:2">
      <c r="A2530" t="s">
        <v>11621</v>
      </c>
      <c r="B2530" t="s">
        <v>11622</v>
      </c>
    </row>
    <row r="2531" spans="1:2">
      <c r="A2531" t="s">
        <v>11621</v>
      </c>
      <c r="B2531" t="s">
        <v>11623</v>
      </c>
    </row>
    <row r="2532" spans="1:2">
      <c r="A2532" t="s">
        <v>11621</v>
      </c>
      <c r="B2532" t="s">
        <v>11624</v>
      </c>
    </row>
    <row r="2533" spans="1:2">
      <c r="A2533" t="s">
        <v>11625</v>
      </c>
      <c r="B2533" t="s">
        <v>3131</v>
      </c>
    </row>
    <row r="2534" spans="1:2">
      <c r="A2534" t="s">
        <v>11625</v>
      </c>
      <c r="B2534" t="s">
        <v>11626</v>
      </c>
    </row>
    <row r="2535" spans="1:2">
      <c r="A2535" t="s">
        <v>11625</v>
      </c>
      <c r="B2535" t="s">
        <v>11627</v>
      </c>
    </row>
    <row r="2536" spans="1:2">
      <c r="A2536" t="s">
        <v>11628</v>
      </c>
      <c r="B2536" t="s">
        <v>11629</v>
      </c>
    </row>
    <row r="2537" spans="1:2">
      <c r="A2537" t="s">
        <v>11628</v>
      </c>
      <c r="B2537" t="s">
        <v>11630</v>
      </c>
    </row>
    <row r="2538" spans="1:2">
      <c r="A2538" t="s">
        <v>11628</v>
      </c>
      <c r="B2538" t="s">
        <v>11631</v>
      </c>
    </row>
    <row r="2539" spans="1:2">
      <c r="A2539" t="s">
        <v>11632</v>
      </c>
      <c r="B2539" t="s">
        <v>11633</v>
      </c>
    </row>
    <row r="2540" spans="1:2">
      <c r="A2540" t="s">
        <v>11632</v>
      </c>
      <c r="B2540" t="s">
        <v>11634</v>
      </c>
    </row>
    <row r="2541" spans="1:2">
      <c r="A2541" t="s">
        <v>11632</v>
      </c>
      <c r="B2541" t="s">
        <v>11635</v>
      </c>
    </row>
    <row r="2542" spans="1:2">
      <c r="A2542" t="s">
        <v>11636</v>
      </c>
      <c r="B2542" t="s">
        <v>11618</v>
      </c>
    </row>
    <row r="2543" spans="1:2">
      <c r="A2543" t="s">
        <v>11636</v>
      </c>
      <c r="B2543" t="s">
        <v>11637</v>
      </c>
    </row>
    <row r="2544" spans="1:2">
      <c r="A2544" t="s">
        <v>11636</v>
      </c>
      <c r="B2544" t="s">
        <v>11638</v>
      </c>
    </row>
    <row r="2545" spans="1:2">
      <c r="A2545" t="s">
        <v>11639</v>
      </c>
      <c r="B2545" t="s">
        <v>11640</v>
      </c>
    </row>
    <row r="2546" spans="1:2">
      <c r="A2546" t="s">
        <v>11639</v>
      </c>
      <c r="B2546" t="s">
        <v>11641</v>
      </c>
    </row>
    <row r="2547" spans="1:2">
      <c r="A2547" t="s">
        <v>11639</v>
      </c>
      <c r="B2547" t="s">
        <v>11642</v>
      </c>
    </row>
    <row r="2548" spans="1:2">
      <c r="A2548" t="s">
        <v>11643</v>
      </c>
      <c r="B2548" t="s">
        <v>11644</v>
      </c>
    </row>
    <row r="2549" spans="1:2">
      <c r="A2549" t="s">
        <v>11643</v>
      </c>
      <c r="B2549" t="s">
        <v>11645</v>
      </c>
    </row>
    <row r="2550" spans="1:2">
      <c r="A2550" t="s">
        <v>11643</v>
      </c>
      <c r="B2550" t="s">
        <v>11646</v>
      </c>
    </row>
    <row r="2551" spans="1:2">
      <c r="A2551" t="s">
        <v>11647</v>
      </c>
      <c r="B2551" t="s">
        <v>11648</v>
      </c>
    </row>
    <row r="2552" spans="1:2">
      <c r="A2552" t="s">
        <v>11647</v>
      </c>
      <c r="B2552" t="s">
        <v>11649</v>
      </c>
    </row>
    <row r="2553" spans="1:2">
      <c r="A2553" t="s">
        <v>11650</v>
      </c>
      <c r="B2553" t="s">
        <v>11651</v>
      </c>
    </row>
    <row r="2554" spans="1:2">
      <c r="A2554" t="s">
        <v>11650</v>
      </c>
      <c r="B2554" t="s">
        <v>11652</v>
      </c>
    </row>
    <row r="2555" spans="1:2">
      <c r="A2555" t="s">
        <v>11653</v>
      </c>
      <c r="B2555" t="s">
        <v>11654</v>
      </c>
    </row>
    <row r="2556" spans="1:2">
      <c r="A2556" t="s">
        <v>11653</v>
      </c>
      <c r="B2556" t="s">
        <v>11655</v>
      </c>
    </row>
    <row r="2557" spans="1:2">
      <c r="A2557" t="s">
        <v>11656</v>
      </c>
      <c r="B2557" t="s">
        <v>11657</v>
      </c>
    </row>
    <row r="2558" spans="1:2">
      <c r="A2558" t="s">
        <v>11656</v>
      </c>
      <c r="B2558" t="s">
        <v>11658</v>
      </c>
    </row>
    <row r="2559" spans="1:2">
      <c r="A2559" t="s">
        <v>11659</v>
      </c>
      <c r="B2559" t="s">
        <v>11660</v>
      </c>
    </row>
    <row r="2560" spans="1:2">
      <c r="A2560" t="s">
        <v>11659</v>
      </c>
      <c r="B2560" t="s">
        <v>11661</v>
      </c>
    </row>
    <row r="2561" spans="1:2">
      <c r="A2561" t="s">
        <v>11662</v>
      </c>
      <c r="B2561" t="s">
        <v>11663</v>
      </c>
    </row>
    <row r="2562" spans="1:2">
      <c r="A2562" t="s">
        <v>11662</v>
      </c>
      <c r="B2562" t="s">
        <v>11664</v>
      </c>
    </row>
    <row r="2563" spans="1:2">
      <c r="A2563" t="s">
        <v>11665</v>
      </c>
      <c r="B2563" t="s">
        <v>11666</v>
      </c>
    </row>
    <row r="2564" spans="1:2">
      <c r="A2564" t="s">
        <v>11665</v>
      </c>
      <c r="B2564" t="s">
        <v>11667</v>
      </c>
    </row>
    <row r="2565" spans="1:2">
      <c r="A2565" t="s">
        <v>11668</v>
      </c>
      <c r="B2565" t="s">
        <v>11669</v>
      </c>
    </row>
    <row r="2566" spans="1:2">
      <c r="A2566" t="s">
        <v>11668</v>
      </c>
      <c r="B2566" t="s">
        <v>11670</v>
      </c>
    </row>
    <row r="2567" spans="1:2">
      <c r="A2567" t="s">
        <v>11671</v>
      </c>
      <c r="B2567" t="s">
        <v>11672</v>
      </c>
    </row>
    <row r="2568" spans="1:2">
      <c r="A2568" t="s">
        <v>11671</v>
      </c>
      <c r="B2568" t="s">
        <v>11673</v>
      </c>
    </row>
    <row r="2569" spans="1:2">
      <c r="A2569" t="s">
        <v>11674</v>
      </c>
      <c r="B2569" t="s">
        <v>11675</v>
      </c>
    </row>
    <row r="2570" spans="1:2">
      <c r="A2570" t="s">
        <v>11674</v>
      </c>
      <c r="B2570" t="s">
        <v>11676</v>
      </c>
    </row>
    <row r="2571" spans="1:2">
      <c r="A2571" t="s">
        <v>11677</v>
      </c>
      <c r="B2571" t="s">
        <v>11678</v>
      </c>
    </row>
    <row r="2572" spans="1:2">
      <c r="A2572" t="s">
        <v>11677</v>
      </c>
      <c r="B2572" t="s">
        <v>11679</v>
      </c>
    </row>
    <row r="2573" spans="1:2">
      <c r="A2573" t="s">
        <v>11680</v>
      </c>
      <c r="B2573" t="s">
        <v>11681</v>
      </c>
    </row>
    <row r="2574" spans="1:2">
      <c r="A2574" t="s">
        <v>11680</v>
      </c>
      <c r="B2574" t="s">
        <v>11682</v>
      </c>
    </row>
    <row r="2575" spans="1:2">
      <c r="A2575" t="s">
        <v>11683</v>
      </c>
      <c r="B2575" t="s">
        <v>11684</v>
      </c>
    </row>
    <row r="2576" spans="1:2">
      <c r="A2576" t="s">
        <v>11683</v>
      </c>
      <c r="B2576" t="s">
        <v>11685</v>
      </c>
    </row>
    <row r="2577" spans="1:2">
      <c r="A2577" t="s">
        <v>11686</v>
      </c>
      <c r="B2577" t="s">
        <v>11687</v>
      </c>
    </row>
    <row r="2578" spans="1:2">
      <c r="A2578" t="s">
        <v>11686</v>
      </c>
      <c r="B2578" t="s">
        <v>11688</v>
      </c>
    </row>
    <row r="2579" spans="1:2">
      <c r="A2579" t="s">
        <v>11689</v>
      </c>
      <c r="B2579" t="s">
        <v>11690</v>
      </c>
    </row>
    <row r="2580" spans="1:2">
      <c r="A2580" t="s">
        <v>11689</v>
      </c>
      <c r="B2580" t="s">
        <v>11691</v>
      </c>
    </row>
    <row r="2581" spans="1:2">
      <c r="A2581" t="s">
        <v>11692</v>
      </c>
      <c r="B2581" t="s">
        <v>11693</v>
      </c>
    </row>
    <row r="2582" spans="1:2">
      <c r="A2582" t="s">
        <v>11692</v>
      </c>
      <c r="B2582" t="s">
        <v>11694</v>
      </c>
    </row>
    <row r="2583" spans="1:2">
      <c r="A2583" t="s">
        <v>11695</v>
      </c>
      <c r="B2583" t="s">
        <v>11696</v>
      </c>
    </row>
    <row r="2584" spans="1:2">
      <c r="A2584" t="s">
        <v>11695</v>
      </c>
      <c r="B2584" t="s">
        <v>11697</v>
      </c>
    </row>
    <row r="2585" spans="1:2">
      <c r="A2585" t="s">
        <v>11698</v>
      </c>
      <c r="B2585" t="s">
        <v>11699</v>
      </c>
    </row>
    <row r="2586" spans="1:2">
      <c r="A2586" t="s">
        <v>11698</v>
      </c>
      <c r="B2586" t="s">
        <v>11700</v>
      </c>
    </row>
    <row r="2587" spans="1:2">
      <c r="A2587" t="s">
        <v>11701</v>
      </c>
      <c r="B2587" t="s">
        <v>11702</v>
      </c>
    </row>
    <row r="2588" spans="1:2">
      <c r="A2588" t="s">
        <v>11701</v>
      </c>
      <c r="B2588" t="s">
        <v>11703</v>
      </c>
    </row>
    <row r="2589" spans="1:2">
      <c r="A2589" t="s">
        <v>11704</v>
      </c>
      <c r="B2589" t="s">
        <v>11705</v>
      </c>
    </row>
    <row r="2590" spans="1:2">
      <c r="A2590" t="s">
        <v>11704</v>
      </c>
      <c r="B2590" t="s">
        <v>11706</v>
      </c>
    </row>
    <row r="2591" spans="1:2">
      <c r="A2591" t="s">
        <v>11707</v>
      </c>
      <c r="B2591" t="s">
        <v>11708</v>
      </c>
    </row>
    <row r="2592" spans="1:2">
      <c r="A2592" t="s">
        <v>11707</v>
      </c>
      <c r="B2592" t="s">
        <v>11709</v>
      </c>
    </row>
    <row r="2593" spans="1:2">
      <c r="A2593" t="s">
        <v>11710</v>
      </c>
      <c r="B2593" t="s">
        <v>11711</v>
      </c>
    </row>
    <row r="2594" spans="1:2">
      <c r="A2594" t="s">
        <v>11710</v>
      </c>
      <c r="B2594" t="s">
        <v>11712</v>
      </c>
    </row>
    <row r="2595" spans="1:2">
      <c r="A2595" t="s">
        <v>11713</v>
      </c>
      <c r="B2595" t="s">
        <v>11714</v>
      </c>
    </row>
    <row r="2596" spans="1:2">
      <c r="A2596" t="s">
        <v>11713</v>
      </c>
      <c r="B2596" t="s">
        <v>11715</v>
      </c>
    </row>
    <row r="2597" spans="1:2">
      <c r="A2597" t="s">
        <v>11716</v>
      </c>
      <c r="B2597" t="s">
        <v>11717</v>
      </c>
    </row>
    <row r="2598" spans="1:2">
      <c r="A2598" t="s">
        <v>11716</v>
      </c>
      <c r="B2598" t="s">
        <v>11718</v>
      </c>
    </row>
    <row r="2599" spans="1:2">
      <c r="A2599" t="s">
        <v>11719</v>
      </c>
      <c r="B2599" t="s">
        <v>11720</v>
      </c>
    </row>
    <row r="2600" spans="1:2">
      <c r="A2600" t="s">
        <v>11719</v>
      </c>
      <c r="B2600" t="s">
        <v>11721</v>
      </c>
    </row>
    <row r="2601" spans="1:2">
      <c r="A2601" t="s">
        <v>11722</v>
      </c>
      <c r="B2601" t="s">
        <v>11723</v>
      </c>
    </row>
    <row r="2602" spans="1:2">
      <c r="A2602" t="s">
        <v>11724</v>
      </c>
      <c r="B2602" t="s">
        <v>11725</v>
      </c>
    </row>
    <row r="2603" spans="1:2">
      <c r="A2603" t="s">
        <v>11726</v>
      </c>
      <c r="B2603" t="s">
        <v>11727</v>
      </c>
    </row>
    <row r="2604" spans="1:2">
      <c r="A2604" t="s">
        <v>11728</v>
      </c>
      <c r="B2604" t="s">
        <v>11729</v>
      </c>
    </row>
    <row r="2605" spans="1:2">
      <c r="A2605" t="s">
        <v>11728</v>
      </c>
      <c r="B2605" t="s">
        <v>11730</v>
      </c>
    </row>
    <row r="2606" spans="1:2">
      <c r="A2606" t="s">
        <v>11728</v>
      </c>
      <c r="B2606" t="s">
        <v>11731</v>
      </c>
    </row>
    <row r="2607" spans="1:2">
      <c r="A2607" t="s">
        <v>11728</v>
      </c>
      <c r="B2607" t="s">
        <v>11732</v>
      </c>
    </row>
    <row r="2608" spans="1:2">
      <c r="A2608" t="s">
        <v>11733</v>
      </c>
      <c r="B2608" t="s">
        <v>11734</v>
      </c>
    </row>
    <row r="2609" spans="1:2">
      <c r="A2609" t="s">
        <v>11733</v>
      </c>
      <c r="B2609" t="s">
        <v>11735</v>
      </c>
    </row>
    <row r="2610" spans="1:2">
      <c r="A2610" t="s">
        <v>11733</v>
      </c>
      <c r="B2610" t="s">
        <v>11736</v>
      </c>
    </row>
    <row r="2611" spans="1:2">
      <c r="A2611" t="s">
        <v>11733</v>
      </c>
      <c r="B2611" t="s">
        <v>11737</v>
      </c>
    </row>
    <row r="2612" spans="1:2">
      <c r="A2612" t="s">
        <v>11738</v>
      </c>
      <c r="B2612" t="s">
        <v>11739</v>
      </c>
    </row>
    <row r="2613" spans="1:2">
      <c r="A2613" t="s">
        <v>11738</v>
      </c>
      <c r="B2613" t="s">
        <v>11740</v>
      </c>
    </row>
    <row r="2614" spans="1:2">
      <c r="A2614" t="s">
        <v>11738</v>
      </c>
      <c r="B2614" t="s">
        <v>11741</v>
      </c>
    </row>
    <row r="2615" spans="1:2">
      <c r="A2615" t="s">
        <v>11738</v>
      </c>
      <c r="B2615" t="s">
        <v>11742</v>
      </c>
    </row>
    <row r="2616" spans="1:2">
      <c r="A2616" t="s">
        <v>11743</v>
      </c>
      <c r="B2616" t="s">
        <v>11744</v>
      </c>
    </row>
    <row r="2617" spans="1:2">
      <c r="A2617" t="s">
        <v>11745</v>
      </c>
      <c r="B2617" t="s">
        <v>11746</v>
      </c>
    </row>
    <row r="2618" spans="1:2">
      <c r="A2618" t="s">
        <v>11747</v>
      </c>
      <c r="B2618" t="s">
        <v>11748</v>
      </c>
    </row>
    <row r="2619" spans="1:2">
      <c r="A2619" t="s">
        <v>11749</v>
      </c>
      <c r="B2619" t="s">
        <v>11750</v>
      </c>
    </row>
    <row r="2620" spans="1:2">
      <c r="A2620" t="s">
        <v>11751</v>
      </c>
      <c r="B2620" t="s">
        <v>11752</v>
      </c>
    </row>
    <row r="2621" spans="1:2">
      <c r="A2621" t="s">
        <v>11753</v>
      </c>
      <c r="B2621" t="s">
        <v>11754</v>
      </c>
    </row>
    <row r="2622" spans="1:2">
      <c r="A2622" t="s">
        <v>11755</v>
      </c>
      <c r="B2622" t="s">
        <v>11756</v>
      </c>
    </row>
    <row r="2623" spans="1:2">
      <c r="A2623" t="s">
        <v>11757</v>
      </c>
      <c r="B2623" t="s">
        <v>11758</v>
      </c>
    </row>
    <row r="2624" spans="1:2">
      <c r="A2624" t="s">
        <v>11759</v>
      </c>
      <c r="B2624" t="s">
        <v>11760</v>
      </c>
    </row>
    <row r="2625" spans="1:2">
      <c r="A2625" t="s">
        <v>11761</v>
      </c>
      <c r="B2625" t="s">
        <v>11762</v>
      </c>
    </row>
    <row r="2626" spans="1:2">
      <c r="A2626" t="s">
        <v>11763</v>
      </c>
      <c r="B2626" t="s">
        <v>11764</v>
      </c>
    </row>
    <row r="2627" spans="1:2">
      <c r="A2627" t="s">
        <v>11765</v>
      </c>
      <c r="B2627" t="s">
        <v>11766</v>
      </c>
    </row>
    <row r="2628" spans="1:2">
      <c r="A2628" t="s">
        <v>11767</v>
      </c>
      <c r="B2628" t="s">
        <v>11768</v>
      </c>
    </row>
    <row r="2629" spans="1:2">
      <c r="A2629" t="s">
        <v>11769</v>
      </c>
      <c r="B2629" t="s">
        <v>11770</v>
      </c>
    </row>
    <row r="2630" spans="1:2">
      <c r="A2630" t="s">
        <v>11771</v>
      </c>
      <c r="B2630" t="s">
        <v>11772</v>
      </c>
    </row>
    <row r="2631" spans="1:2">
      <c r="A2631" t="s">
        <v>11773</v>
      </c>
      <c r="B2631" t="s">
        <v>11774</v>
      </c>
    </row>
    <row r="2632" spans="1:2">
      <c r="A2632" t="s">
        <v>11775</v>
      </c>
      <c r="B2632" t="s">
        <v>11776</v>
      </c>
    </row>
    <row r="2633" spans="1:2">
      <c r="A2633" t="s">
        <v>11775</v>
      </c>
      <c r="B2633" t="s">
        <v>11777</v>
      </c>
    </row>
    <row r="2634" spans="1:2">
      <c r="A2634" t="s">
        <v>11778</v>
      </c>
      <c r="B2634" t="s">
        <v>11779</v>
      </c>
    </row>
    <row r="2635" spans="1:2">
      <c r="A2635" t="s">
        <v>11778</v>
      </c>
      <c r="B2635" t="s">
        <v>11780</v>
      </c>
    </row>
    <row r="2636" spans="1:2">
      <c r="A2636" t="s">
        <v>11781</v>
      </c>
      <c r="B2636" t="s">
        <v>11782</v>
      </c>
    </row>
    <row r="2637" spans="1:2">
      <c r="A2637" t="s">
        <v>11781</v>
      </c>
      <c r="B2637" t="s">
        <v>11783</v>
      </c>
    </row>
    <row r="2638" spans="1:2">
      <c r="A2638" t="s">
        <v>11784</v>
      </c>
      <c r="B2638" t="s">
        <v>11785</v>
      </c>
    </row>
    <row r="2639" spans="1:2">
      <c r="A2639" t="s">
        <v>11784</v>
      </c>
      <c r="B2639" t="s">
        <v>11786</v>
      </c>
    </row>
    <row r="2640" spans="1:2">
      <c r="A2640" t="s">
        <v>11787</v>
      </c>
      <c r="B2640" t="s">
        <v>11788</v>
      </c>
    </row>
    <row r="2641" spans="1:2">
      <c r="A2641" t="s">
        <v>11787</v>
      </c>
      <c r="B2641" t="s">
        <v>11789</v>
      </c>
    </row>
    <row r="2642" spans="1:2">
      <c r="A2642" t="s">
        <v>11790</v>
      </c>
      <c r="B2642" t="s">
        <v>11791</v>
      </c>
    </row>
    <row r="2643" spans="1:2">
      <c r="A2643" t="s">
        <v>11790</v>
      </c>
      <c r="B2643" t="s">
        <v>11792</v>
      </c>
    </row>
    <row r="2644" spans="1:2">
      <c r="A2644" t="s">
        <v>11793</v>
      </c>
      <c r="B2644" t="s">
        <v>11794</v>
      </c>
    </row>
    <row r="2645" spans="1:2">
      <c r="A2645" t="s">
        <v>11793</v>
      </c>
      <c r="B2645" t="s">
        <v>11795</v>
      </c>
    </row>
    <row r="2646" spans="1:2">
      <c r="A2646" t="s">
        <v>11796</v>
      </c>
      <c r="B2646" t="s">
        <v>11797</v>
      </c>
    </row>
    <row r="2647" spans="1:2">
      <c r="A2647" t="s">
        <v>11796</v>
      </c>
      <c r="B2647" t="s">
        <v>11798</v>
      </c>
    </row>
    <row r="2648" spans="1:2">
      <c r="A2648" t="s">
        <v>11799</v>
      </c>
      <c r="B2648" t="s">
        <v>11800</v>
      </c>
    </row>
    <row r="2649" spans="1:2">
      <c r="A2649" t="s">
        <v>11799</v>
      </c>
      <c r="B2649" t="s">
        <v>11801</v>
      </c>
    </row>
    <row r="2650" spans="1:2">
      <c r="A2650" t="s">
        <v>11802</v>
      </c>
      <c r="B2650" t="s">
        <v>11803</v>
      </c>
    </row>
    <row r="2651" spans="1:2">
      <c r="A2651" t="s">
        <v>11802</v>
      </c>
      <c r="B2651" t="s">
        <v>11804</v>
      </c>
    </row>
    <row r="2652" spans="1:2">
      <c r="A2652" t="s">
        <v>11805</v>
      </c>
      <c r="B2652" t="s">
        <v>11806</v>
      </c>
    </row>
    <row r="2653" spans="1:2">
      <c r="A2653" t="s">
        <v>11805</v>
      </c>
      <c r="B2653" t="s">
        <v>11807</v>
      </c>
    </row>
    <row r="2654" spans="1:2">
      <c r="A2654" t="s">
        <v>11808</v>
      </c>
      <c r="B2654" t="s">
        <v>11809</v>
      </c>
    </row>
    <row r="2655" spans="1:2">
      <c r="A2655" t="s">
        <v>11808</v>
      </c>
      <c r="B2655" t="s">
        <v>11810</v>
      </c>
    </row>
    <row r="2656" spans="1:2">
      <c r="A2656" t="s">
        <v>11811</v>
      </c>
      <c r="B2656" t="s">
        <v>3118</v>
      </c>
    </row>
    <row r="2657" spans="1:2">
      <c r="A2657" t="s">
        <v>11812</v>
      </c>
      <c r="B2657" t="s">
        <v>11813</v>
      </c>
    </row>
    <row r="2658" spans="1:2">
      <c r="A2658" t="s">
        <v>11814</v>
      </c>
      <c r="B2658" t="s">
        <v>11815</v>
      </c>
    </row>
    <row r="2659" spans="1:2">
      <c r="A2659" t="s">
        <v>11816</v>
      </c>
      <c r="B2659" t="s">
        <v>542</v>
      </c>
    </row>
    <row r="2660" spans="1:2">
      <c r="A2660" t="s">
        <v>11817</v>
      </c>
      <c r="B2660" t="s">
        <v>11818</v>
      </c>
    </row>
    <row r="2661" spans="1:2">
      <c r="A2661" t="s">
        <v>11819</v>
      </c>
      <c r="B2661" t="s">
        <v>11820</v>
      </c>
    </row>
    <row r="2662" spans="1:2">
      <c r="A2662" t="s">
        <v>11821</v>
      </c>
      <c r="B2662" t="s">
        <v>3171</v>
      </c>
    </row>
    <row r="2663" spans="1:2">
      <c r="A2663" t="s">
        <v>11822</v>
      </c>
      <c r="B2663" t="s">
        <v>258</v>
      </c>
    </row>
    <row r="2664" spans="1:2">
      <c r="A2664" t="s">
        <v>11823</v>
      </c>
      <c r="B2664" t="s">
        <v>11824</v>
      </c>
    </row>
    <row r="2665" spans="1:2">
      <c r="A2665" t="s">
        <v>11825</v>
      </c>
      <c r="B2665" t="s">
        <v>912</v>
      </c>
    </row>
    <row r="2666" spans="1:2">
      <c r="A2666" t="s">
        <v>11826</v>
      </c>
      <c r="B2666" t="s">
        <v>899</v>
      </c>
    </row>
    <row r="2667" spans="1:2">
      <c r="A2667" t="s">
        <v>11827</v>
      </c>
      <c r="B2667" t="s">
        <v>1770</v>
      </c>
    </row>
    <row r="2668" spans="1:2">
      <c r="A2668" t="s">
        <v>11828</v>
      </c>
      <c r="B2668" t="s">
        <v>11829</v>
      </c>
    </row>
    <row r="2669" spans="1:2">
      <c r="A2669" t="s">
        <v>11830</v>
      </c>
      <c r="B2669" t="s">
        <v>1441</v>
      </c>
    </row>
    <row r="2670" spans="1:2">
      <c r="A2670" t="s">
        <v>11831</v>
      </c>
      <c r="B2670" t="s">
        <v>2950</v>
      </c>
    </row>
    <row r="2671" spans="1:2">
      <c r="A2671" t="s">
        <v>11832</v>
      </c>
      <c r="B2671" t="s">
        <v>11833</v>
      </c>
    </row>
    <row r="2672" spans="1:2">
      <c r="A2672" t="s">
        <v>11834</v>
      </c>
      <c r="B2672" t="s">
        <v>11835</v>
      </c>
    </row>
    <row r="2673" spans="1:2">
      <c r="A2673" t="s">
        <v>11836</v>
      </c>
      <c r="B2673" t="s">
        <v>11837</v>
      </c>
    </row>
    <row r="2674" spans="1:2">
      <c r="A2674" t="s">
        <v>11838</v>
      </c>
      <c r="B2674" t="s">
        <v>11839</v>
      </c>
    </row>
    <row r="2675" spans="1:2">
      <c r="A2675" t="s">
        <v>11840</v>
      </c>
      <c r="B2675" t="s">
        <v>11841</v>
      </c>
    </row>
    <row r="2676" spans="1:2">
      <c r="A2676" t="s">
        <v>11842</v>
      </c>
      <c r="B2676" t="s">
        <v>11843</v>
      </c>
    </row>
    <row r="2677" spans="1:2">
      <c r="A2677" t="s">
        <v>11844</v>
      </c>
      <c r="B2677" t="s">
        <v>7899</v>
      </c>
    </row>
    <row r="2678" spans="1:2">
      <c r="A2678" t="s">
        <v>11845</v>
      </c>
      <c r="B2678" t="s">
        <v>11846</v>
      </c>
    </row>
    <row r="2679" spans="1:2">
      <c r="A2679" t="s">
        <v>11847</v>
      </c>
      <c r="B2679" t="s">
        <v>11848</v>
      </c>
    </row>
    <row r="2680" spans="1:2">
      <c r="A2680" t="s">
        <v>11847</v>
      </c>
      <c r="B2680" t="s">
        <v>11849</v>
      </c>
    </row>
    <row r="2681" spans="1:2">
      <c r="A2681" t="s">
        <v>11847</v>
      </c>
      <c r="B2681" t="s">
        <v>11850</v>
      </c>
    </row>
    <row r="2682" spans="1:2">
      <c r="A2682" t="s">
        <v>11851</v>
      </c>
      <c r="B2682" t="s">
        <v>11852</v>
      </c>
    </row>
    <row r="2683" spans="1:2">
      <c r="A2683" t="s">
        <v>11851</v>
      </c>
      <c r="B2683" t="s">
        <v>11853</v>
      </c>
    </row>
    <row r="2684" spans="1:2">
      <c r="A2684" t="s">
        <v>11851</v>
      </c>
      <c r="B2684" t="s">
        <v>11854</v>
      </c>
    </row>
    <row r="2685" spans="1:2">
      <c r="A2685" t="s">
        <v>11855</v>
      </c>
      <c r="B2685" t="s">
        <v>11856</v>
      </c>
    </row>
    <row r="2686" spans="1:2">
      <c r="A2686" t="s">
        <v>11855</v>
      </c>
      <c r="B2686" t="s">
        <v>11857</v>
      </c>
    </row>
    <row r="2687" spans="1:2">
      <c r="A2687" t="s">
        <v>11855</v>
      </c>
      <c r="B2687" t="s">
        <v>11858</v>
      </c>
    </row>
    <row r="2688" spans="1:2">
      <c r="A2688" t="s">
        <v>11859</v>
      </c>
      <c r="B2688" t="s">
        <v>11860</v>
      </c>
    </row>
    <row r="2689" spans="1:2">
      <c r="A2689" t="s">
        <v>11859</v>
      </c>
      <c r="B2689" t="s">
        <v>11861</v>
      </c>
    </row>
    <row r="2690" spans="1:2">
      <c r="A2690" t="s">
        <v>11859</v>
      </c>
      <c r="B2690" t="s">
        <v>11862</v>
      </c>
    </row>
    <row r="2691" spans="1:2">
      <c r="A2691" t="s">
        <v>11863</v>
      </c>
      <c r="B2691" t="s">
        <v>363</v>
      </c>
    </row>
    <row r="2692" spans="1:2">
      <c r="A2692" t="s">
        <v>11863</v>
      </c>
      <c r="B2692" t="s">
        <v>11864</v>
      </c>
    </row>
    <row r="2693" spans="1:2">
      <c r="A2693" t="s">
        <v>11863</v>
      </c>
      <c r="B2693" t="s">
        <v>11865</v>
      </c>
    </row>
    <row r="2694" spans="1:2">
      <c r="A2694" t="s">
        <v>11866</v>
      </c>
      <c r="B2694" t="s">
        <v>11867</v>
      </c>
    </row>
    <row r="2695" spans="1:2">
      <c r="A2695" t="s">
        <v>11866</v>
      </c>
      <c r="B2695" t="s">
        <v>11868</v>
      </c>
    </row>
    <row r="2696" spans="1:2">
      <c r="A2696" t="s">
        <v>11866</v>
      </c>
      <c r="B2696" t="s">
        <v>11869</v>
      </c>
    </row>
    <row r="2697" spans="1:2">
      <c r="A2697" t="s">
        <v>11870</v>
      </c>
      <c r="B2697" t="s">
        <v>11871</v>
      </c>
    </row>
    <row r="2698" spans="1:2">
      <c r="A2698" t="s">
        <v>11870</v>
      </c>
      <c r="B2698" t="s">
        <v>11872</v>
      </c>
    </row>
    <row r="2699" spans="1:2">
      <c r="A2699" t="s">
        <v>11870</v>
      </c>
      <c r="B2699" t="s">
        <v>11873</v>
      </c>
    </row>
    <row r="2700" spans="1:2">
      <c r="A2700" t="s">
        <v>11874</v>
      </c>
      <c r="B2700" t="s">
        <v>11875</v>
      </c>
    </row>
    <row r="2701" spans="1:2">
      <c r="A2701" t="s">
        <v>11874</v>
      </c>
      <c r="B2701" t="s">
        <v>11876</v>
      </c>
    </row>
    <row r="2702" spans="1:2">
      <c r="A2702" t="s">
        <v>11874</v>
      </c>
      <c r="B2702" t="s">
        <v>11877</v>
      </c>
    </row>
    <row r="2703" spans="1:2">
      <c r="A2703" t="s">
        <v>11878</v>
      </c>
      <c r="B2703" t="s">
        <v>11879</v>
      </c>
    </row>
    <row r="2704" spans="1:2">
      <c r="A2704" t="s">
        <v>11878</v>
      </c>
      <c r="B2704" t="s">
        <v>11880</v>
      </c>
    </row>
    <row r="2705" spans="1:2">
      <c r="A2705" t="s">
        <v>11878</v>
      </c>
      <c r="B2705" t="s">
        <v>11881</v>
      </c>
    </row>
    <row r="2706" spans="1:2">
      <c r="A2706" t="s">
        <v>11882</v>
      </c>
      <c r="B2706" t="s">
        <v>11883</v>
      </c>
    </row>
    <row r="2707" spans="1:2">
      <c r="A2707" t="s">
        <v>11882</v>
      </c>
      <c r="B2707" t="s">
        <v>11884</v>
      </c>
    </row>
    <row r="2708" spans="1:2">
      <c r="A2708" t="s">
        <v>11882</v>
      </c>
      <c r="B2708" t="s">
        <v>11885</v>
      </c>
    </row>
    <row r="2709" spans="1:2">
      <c r="A2709" t="s">
        <v>11886</v>
      </c>
      <c r="B2709" t="s">
        <v>11887</v>
      </c>
    </row>
    <row r="2710" spans="1:2">
      <c r="A2710" t="s">
        <v>11886</v>
      </c>
      <c r="B2710" t="s">
        <v>11888</v>
      </c>
    </row>
    <row r="2711" spans="1:2">
      <c r="A2711" t="s">
        <v>11886</v>
      </c>
      <c r="B2711" t="s">
        <v>11889</v>
      </c>
    </row>
    <row r="2712" spans="1:2">
      <c r="A2712" t="s">
        <v>11890</v>
      </c>
      <c r="B2712" t="s">
        <v>11891</v>
      </c>
    </row>
    <row r="2713" spans="1:2">
      <c r="A2713" t="s">
        <v>11890</v>
      </c>
      <c r="B2713" t="s">
        <v>11892</v>
      </c>
    </row>
    <row r="2714" spans="1:2">
      <c r="A2714" t="s">
        <v>11890</v>
      </c>
      <c r="B2714" t="s">
        <v>11893</v>
      </c>
    </row>
    <row r="2715" spans="1:2">
      <c r="A2715" t="s">
        <v>11894</v>
      </c>
      <c r="B2715" t="s">
        <v>11895</v>
      </c>
    </row>
    <row r="2716" spans="1:2">
      <c r="A2716" t="s">
        <v>11894</v>
      </c>
      <c r="B2716" t="s">
        <v>11896</v>
      </c>
    </row>
    <row r="2717" spans="1:2">
      <c r="A2717" t="s">
        <v>11894</v>
      </c>
      <c r="B2717" t="s">
        <v>11897</v>
      </c>
    </row>
    <row r="2718" spans="1:2">
      <c r="A2718" t="s">
        <v>11898</v>
      </c>
      <c r="B2718" t="s">
        <v>11899</v>
      </c>
    </row>
    <row r="2719" spans="1:2">
      <c r="A2719" t="s">
        <v>11898</v>
      </c>
      <c r="B2719" t="s">
        <v>11900</v>
      </c>
    </row>
    <row r="2720" spans="1:2">
      <c r="A2720" t="s">
        <v>11898</v>
      </c>
      <c r="B2720" t="s">
        <v>11901</v>
      </c>
    </row>
    <row r="2721" spans="1:2">
      <c r="A2721" t="s">
        <v>11902</v>
      </c>
      <c r="B2721" t="s">
        <v>2073</v>
      </c>
    </row>
    <row r="2722" spans="1:2">
      <c r="A2722" t="s">
        <v>11902</v>
      </c>
      <c r="B2722" t="s">
        <v>2073</v>
      </c>
    </row>
    <row r="2723" spans="1:2">
      <c r="A2723" t="s">
        <v>11902</v>
      </c>
      <c r="B2723" t="s">
        <v>2073</v>
      </c>
    </row>
    <row r="2724" spans="1:2">
      <c r="A2724" t="s">
        <v>11903</v>
      </c>
      <c r="B2724" t="s">
        <v>2072</v>
      </c>
    </row>
    <row r="2725" spans="1:2">
      <c r="A2725" t="s">
        <v>11903</v>
      </c>
      <c r="B2725" t="s">
        <v>2072</v>
      </c>
    </row>
    <row r="2726" spans="1:2">
      <c r="A2726" t="s">
        <v>11903</v>
      </c>
      <c r="B2726" t="s">
        <v>2072</v>
      </c>
    </row>
    <row r="2727" spans="1:2">
      <c r="A2727" t="s">
        <v>11904</v>
      </c>
      <c r="B2727" t="s">
        <v>11905</v>
      </c>
    </row>
    <row r="2728" spans="1:2">
      <c r="A2728" t="s">
        <v>11904</v>
      </c>
      <c r="B2728" t="s">
        <v>11906</v>
      </c>
    </row>
    <row r="2729" spans="1:2">
      <c r="A2729" t="s">
        <v>11904</v>
      </c>
      <c r="B2729" t="s">
        <v>11907</v>
      </c>
    </row>
    <row r="2730" spans="1:2">
      <c r="A2730" t="s">
        <v>11908</v>
      </c>
      <c r="B2730" t="s">
        <v>11909</v>
      </c>
    </row>
    <row r="2731" spans="1:2">
      <c r="A2731" t="s">
        <v>11908</v>
      </c>
      <c r="B2731" t="s">
        <v>11910</v>
      </c>
    </row>
    <row r="2732" spans="1:2">
      <c r="A2732" t="s">
        <v>11908</v>
      </c>
      <c r="B2732" t="s">
        <v>11909</v>
      </c>
    </row>
    <row r="2733" spans="1:2">
      <c r="A2733" t="s">
        <v>11911</v>
      </c>
      <c r="B2733" t="s">
        <v>11912</v>
      </c>
    </row>
    <row r="2734" spans="1:2">
      <c r="A2734" t="s">
        <v>11913</v>
      </c>
      <c r="B2734" t="s">
        <v>11914</v>
      </c>
    </row>
    <row r="2735" spans="1:2">
      <c r="A2735" t="s">
        <v>11915</v>
      </c>
      <c r="B2735" t="s">
        <v>11916</v>
      </c>
    </row>
    <row r="2736" spans="1:2">
      <c r="A2736" t="s">
        <v>11917</v>
      </c>
      <c r="B2736" t="s">
        <v>11918</v>
      </c>
    </row>
    <row r="2737" spans="1:2">
      <c r="A2737" t="s">
        <v>11919</v>
      </c>
      <c r="B2737" t="s">
        <v>11920</v>
      </c>
    </row>
    <row r="2738" spans="1:2">
      <c r="A2738" t="s">
        <v>11921</v>
      </c>
      <c r="B2738" t="s">
        <v>11922</v>
      </c>
    </row>
    <row r="2739" spans="1:2">
      <c r="A2739" t="s">
        <v>11923</v>
      </c>
      <c r="B2739" t="s">
        <v>11924</v>
      </c>
    </row>
    <row r="2740" spans="1:2">
      <c r="A2740" t="s">
        <v>11925</v>
      </c>
      <c r="B2740" t="s">
        <v>11926</v>
      </c>
    </row>
    <row r="2741" spans="1:2">
      <c r="A2741" t="s">
        <v>11927</v>
      </c>
      <c r="B2741" t="s">
        <v>11928</v>
      </c>
    </row>
    <row r="2742" spans="1:2">
      <c r="A2742" t="s">
        <v>11929</v>
      </c>
      <c r="B2742" t="s">
        <v>11930</v>
      </c>
    </row>
    <row r="2743" spans="1:2">
      <c r="A2743" t="s">
        <v>11931</v>
      </c>
      <c r="B2743" t="s">
        <v>11932</v>
      </c>
    </row>
    <row r="2744" spans="1:2">
      <c r="A2744" t="s">
        <v>11933</v>
      </c>
      <c r="B2744" t="s">
        <v>11934</v>
      </c>
    </row>
    <row r="2745" spans="1:2">
      <c r="A2745" t="s">
        <v>11935</v>
      </c>
      <c r="B2745" t="s">
        <v>11936</v>
      </c>
    </row>
    <row r="2746" spans="1:2">
      <c r="A2746" t="s">
        <v>11937</v>
      </c>
      <c r="B2746" t="s">
        <v>11912</v>
      </c>
    </row>
    <row r="2747" spans="1:2">
      <c r="A2747" t="s">
        <v>11938</v>
      </c>
      <c r="B2747" t="s">
        <v>11939</v>
      </c>
    </row>
    <row r="2748" spans="1:2">
      <c r="A2748" t="s">
        <v>11940</v>
      </c>
      <c r="B2748" t="s">
        <v>11941</v>
      </c>
    </row>
    <row r="2749" spans="1:2">
      <c r="A2749" t="s">
        <v>11942</v>
      </c>
      <c r="B2749" t="s">
        <v>11943</v>
      </c>
    </row>
    <row r="2750" spans="1:2">
      <c r="A2750" t="s">
        <v>11944</v>
      </c>
      <c r="B2750" t="s">
        <v>11945</v>
      </c>
    </row>
    <row r="2751" spans="1:2">
      <c r="A2751" t="s">
        <v>11946</v>
      </c>
      <c r="B2751" t="s">
        <v>11947</v>
      </c>
    </row>
    <row r="2752" spans="1:2">
      <c r="A2752" t="s">
        <v>11946</v>
      </c>
      <c r="B2752" t="s">
        <v>11948</v>
      </c>
    </row>
    <row r="2753" spans="1:2">
      <c r="A2753" t="s">
        <v>11949</v>
      </c>
      <c r="B2753" t="s">
        <v>11950</v>
      </c>
    </row>
    <row r="2754" spans="1:2">
      <c r="A2754" t="s">
        <v>11949</v>
      </c>
      <c r="B2754" t="s">
        <v>11951</v>
      </c>
    </row>
    <row r="2755" spans="1:2">
      <c r="A2755" t="s">
        <v>11952</v>
      </c>
      <c r="B2755" t="s">
        <v>11953</v>
      </c>
    </row>
    <row r="2756" spans="1:2">
      <c r="A2756" t="s">
        <v>11952</v>
      </c>
      <c r="B2756" t="s">
        <v>11954</v>
      </c>
    </row>
    <row r="2757" spans="1:2">
      <c r="A2757" t="s">
        <v>11955</v>
      </c>
      <c r="B2757" t="s">
        <v>11956</v>
      </c>
    </row>
    <row r="2758" spans="1:2">
      <c r="A2758" t="s">
        <v>11955</v>
      </c>
      <c r="B2758" t="s">
        <v>11957</v>
      </c>
    </row>
    <row r="2759" spans="1:2">
      <c r="A2759" t="s">
        <v>11958</v>
      </c>
      <c r="B2759" t="s">
        <v>11959</v>
      </c>
    </row>
    <row r="2760" spans="1:2">
      <c r="A2760" t="s">
        <v>11958</v>
      </c>
      <c r="B2760" t="s">
        <v>11960</v>
      </c>
    </row>
    <row r="2761" spans="1:2">
      <c r="A2761" t="s">
        <v>11961</v>
      </c>
      <c r="B2761" t="s">
        <v>11962</v>
      </c>
    </row>
    <row r="2762" spans="1:2">
      <c r="A2762" t="s">
        <v>11961</v>
      </c>
      <c r="B2762" t="s">
        <v>11963</v>
      </c>
    </row>
    <row r="2763" spans="1:2">
      <c r="A2763" t="s">
        <v>11964</v>
      </c>
      <c r="B2763" t="s">
        <v>11965</v>
      </c>
    </row>
    <row r="2764" spans="1:2">
      <c r="A2764" t="s">
        <v>11964</v>
      </c>
      <c r="B2764" t="s">
        <v>11966</v>
      </c>
    </row>
    <row r="2765" spans="1:2">
      <c r="A2765" t="s">
        <v>11967</v>
      </c>
      <c r="B2765" t="s">
        <v>11968</v>
      </c>
    </row>
    <row r="2766" spans="1:2">
      <c r="A2766" t="s">
        <v>11967</v>
      </c>
      <c r="B2766" t="s">
        <v>11969</v>
      </c>
    </row>
    <row r="2767" spans="1:2">
      <c r="A2767" t="s">
        <v>11970</v>
      </c>
      <c r="B2767" t="s">
        <v>11971</v>
      </c>
    </row>
    <row r="2768" spans="1:2">
      <c r="A2768" t="s">
        <v>11972</v>
      </c>
      <c r="B2768" t="s">
        <v>11973</v>
      </c>
    </row>
    <row r="2769" spans="1:2">
      <c r="A2769" t="s">
        <v>11974</v>
      </c>
      <c r="B2769" t="s">
        <v>11975</v>
      </c>
    </row>
    <row r="2770" spans="1:2">
      <c r="A2770" t="s">
        <v>11976</v>
      </c>
      <c r="B2770" t="s">
        <v>11977</v>
      </c>
    </row>
    <row r="2771" spans="1:2">
      <c r="A2771" t="s">
        <v>11978</v>
      </c>
      <c r="B2771" t="s">
        <v>11979</v>
      </c>
    </row>
    <row r="2772" spans="1:2">
      <c r="A2772" t="s">
        <v>11980</v>
      </c>
      <c r="B2772" t="s">
        <v>11981</v>
      </c>
    </row>
    <row r="2773" spans="1:2">
      <c r="A2773" t="s">
        <v>11982</v>
      </c>
      <c r="B2773" t="s">
        <v>11983</v>
      </c>
    </row>
    <row r="2774" spans="1:2">
      <c r="A2774" t="s">
        <v>11984</v>
      </c>
      <c r="B2774" t="s">
        <v>11985</v>
      </c>
    </row>
    <row r="2775" spans="1:2">
      <c r="A2775" t="s">
        <v>11986</v>
      </c>
      <c r="B2775" t="s">
        <v>11987</v>
      </c>
    </row>
    <row r="2776" spans="1:2">
      <c r="A2776" t="s">
        <v>11988</v>
      </c>
      <c r="B2776" t="s">
        <v>11989</v>
      </c>
    </row>
    <row r="2777" spans="1:2">
      <c r="A2777" t="s">
        <v>11990</v>
      </c>
      <c r="B2777" t="s">
        <v>11991</v>
      </c>
    </row>
    <row r="2778" spans="1:2">
      <c r="A2778" t="s">
        <v>11992</v>
      </c>
      <c r="B2778" t="s">
        <v>11993</v>
      </c>
    </row>
    <row r="2779" spans="1:2">
      <c r="A2779" t="s">
        <v>11994</v>
      </c>
      <c r="B2779" t="s">
        <v>11995</v>
      </c>
    </row>
    <row r="2780" spans="1:2">
      <c r="A2780" t="s">
        <v>11996</v>
      </c>
      <c r="B2780" t="s">
        <v>11997</v>
      </c>
    </row>
    <row r="2781" spans="1:2">
      <c r="A2781" t="s">
        <v>11998</v>
      </c>
      <c r="B2781" t="s">
        <v>11999</v>
      </c>
    </row>
    <row r="2782" spans="1:2">
      <c r="A2782" t="s">
        <v>12000</v>
      </c>
      <c r="B2782" t="s">
        <v>12001</v>
      </c>
    </row>
    <row r="2783" spans="1:2">
      <c r="A2783" t="s">
        <v>12002</v>
      </c>
      <c r="B2783" t="s">
        <v>12003</v>
      </c>
    </row>
    <row r="2784" spans="1:2">
      <c r="A2784" t="s">
        <v>12004</v>
      </c>
      <c r="B2784" t="s">
        <v>12005</v>
      </c>
    </row>
    <row r="2785" spans="1:2">
      <c r="A2785" t="s">
        <v>12006</v>
      </c>
      <c r="B2785" t="s">
        <v>12007</v>
      </c>
    </row>
    <row r="2786" spans="1:2">
      <c r="A2786" t="s">
        <v>12008</v>
      </c>
      <c r="B2786" t="s">
        <v>12009</v>
      </c>
    </row>
    <row r="2787" spans="1:2">
      <c r="A2787" t="s">
        <v>12010</v>
      </c>
      <c r="B2787" t="s">
        <v>12011</v>
      </c>
    </row>
    <row r="2788" spans="1:2">
      <c r="A2788" t="s">
        <v>12012</v>
      </c>
      <c r="B2788" t="s">
        <v>12013</v>
      </c>
    </row>
    <row r="2789" spans="1:2">
      <c r="A2789" t="s">
        <v>12012</v>
      </c>
      <c r="B2789" t="s">
        <v>12014</v>
      </c>
    </row>
    <row r="2790" spans="1:2">
      <c r="A2790" t="s">
        <v>12012</v>
      </c>
      <c r="B2790" t="s">
        <v>12015</v>
      </c>
    </row>
    <row r="2791" spans="1:2">
      <c r="A2791" t="s">
        <v>12016</v>
      </c>
      <c r="B2791" t="s">
        <v>12017</v>
      </c>
    </row>
    <row r="2792" spans="1:2">
      <c r="A2792" t="s">
        <v>12016</v>
      </c>
      <c r="B2792" t="s">
        <v>12018</v>
      </c>
    </row>
    <row r="2793" spans="1:2">
      <c r="A2793" t="s">
        <v>12016</v>
      </c>
      <c r="B2793" t="s">
        <v>12019</v>
      </c>
    </row>
    <row r="2794" spans="1:2">
      <c r="A2794" t="s">
        <v>12020</v>
      </c>
      <c r="B2794" t="s">
        <v>12021</v>
      </c>
    </row>
    <row r="2795" spans="1:2">
      <c r="A2795" t="s">
        <v>12020</v>
      </c>
      <c r="B2795" t="s">
        <v>12021</v>
      </c>
    </row>
    <row r="2796" spans="1:2">
      <c r="A2796" t="s">
        <v>12020</v>
      </c>
      <c r="B2796" t="s">
        <v>12022</v>
      </c>
    </row>
    <row r="2797" spans="1:2">
      <c r="A2797" t="s">
        <v>12023</v>
      </c>
      <c r="B2797" t="s">
        <v>12024</v>
      </c>
    </row>
    <row r="2798" spans="1:2">
      <c r="A2798" t="s">
        <v>12023</v>
      </c>
      <c r="B2798" t="s">
        <v>12025</v>
      </c>
    </row>
    <row r="2799" spans="1:2">
      <c r="A2799" t="s">
        <v>12023</v>
      </c>
      <c r="B2799" t="s">
        <v>12026</v>
      </c>
    </row>
    <row r="2800" spans="1:2">
      <c r="A2800" t="s">
        <v>12027</v>
      </c>
      <c r="B2800" t="s">
        <v>12028</v>
      </c>
    </row>
    <row r="2801" spans="1:2">
      <c r="A2801" t="s">
        <v>12027</v>
      </c>
      <c r="B2801" t="s">
        <v>12029</v>
      </c>
    </row>
    <row r="2802" spans="1:2">
      <c r="A2802" t="s">
        <v>12027</v>
      </c>
      <c r="B2802" t="s">
        <v>12030</v>
      </c>
    </row>
    <row r="2803" spans="1:2">
      <c r="A2803" t="s">
        <v>12031</v>
      </c>
      <c r="B2803" t="s">
        <v>12032</v>
      </c>
    </row>
    <row r="2804" spans="1:2">
      <c r="A2804" t="s">
        <v>12031</v>
      </c>
      <c r="B2804" t="s">
        <v>12033</v>
      </c>
    </row>
    <row r="2805" spans="1:2">
      <c r="A2805" t="s">
        <v>12031</v>
      </c>
      <c r="B2805" t="s">
        <v>12034</v>
      </c>
    </row>
    <row r="2806" spans="1:2">
      <c r="A2806" t="s">
        <v>12035</v>
      </c>
      <c r="B2806" t="s">
        <v>12036</v>
      </c>
    </row>
    <row r="2807" spans="1:2">
      <c r="A2807" t="s">
        <v>12035</v>
      </c>
      <c r="B2807" t="s">
        <v>12037</v>
      </c>
    </row>
    <row r="2808" spans="1:2">
      <c r="A2808" t="s">
        <v>12035</v>
      </c>
      <c r="B2808" t="s">
        <v>12038</v>
      </c>
    </row>
    <row r="2809" spans="1:2">
      <c r="A2809" t="s">
        <v>12039</v>
      </c>
      <c r="B2809" t="s">
        <v>12040</v>
      </c>
    </row>
    <row r="2810" spans="1:2">
      <c r="A2810" t="s">
        <v>12039</v>
      </c>
      <c r="B2810" t="s">
        <v>12041</v>
      </c>
    </row>
    <row r="2811" spans="1:2">
      <c r="A2811" t="s">
        <v>12039</v>
      </c>
      <c r="B2811" t="s">
        <v>12042</v>
      </c>
    </row>
    <row r="2812" spans="1:2">
      <c r="A2812" t="s">
        <v>12043</v>
      </c>
      <c r="B2812" t="s">
        <v>12044</v>
      </c>
    </row>
    <row r="2813" spans="1:2">
      <c r="A2813" t="s">
        <v>12043</v>
      </c>
      <c r="B2813" t="s">
        <v>12045</v>
      </c>
    </row>
    <row r="2814" spans="1:2">
      <c r="A2814" t="s">
        <v>12043</v>
      </c>
      <c r="B2814" t="s">
        <v>12046</v>
      </c>
    </row>
    <row r="2815" spans="1:2">
      <c r="A2815" t="s">
        <v>12047</v>
      </c>
      <c r="B2815" t="s">
        <v>12048</v>
      </c>
    </row>
    <row r="2816" spans="1:2">
      <c r="A2816" t="s">
        <v>12047</v>
      </c>
      <c r="B2816" t="s">
        <v>12049</v>
      </c>
    </row>
    <row r="2817" spans="1:2">
      <c r="A2817" t="s">
        <v>12047</v>
      </c>
      <c r="B2817" t="s">
        <v>12050</v>
      </c>
    </row>
    <row r="2818" spans="1:2">
      <c r="A2818" t="s">
        <v>12051</v>
      </c>
      <c r="B2818" t="s">
        <v>12052</v>
      </c>
    </row>
    <row r="2819" spans="1:2">
      <c r="A2819" t="s">
        <v>12051</v>
      </c>
      <c r="B2819" t="s">
        <v>12053</v>
      </c>
    </row>
    <row r="2820" spans="1:2">
      <c r="A2820" t="s">
        <v>12051</v>
      </c>
      <c r="B2820" t="s">
        <v>12054</v>
      </c>
    </row>
    <row r="2821" spans="1:2">
      <c r="A2821" t="s">
        <v>12055</v>
      </c>
      <c r="B2821" t="s">
        <v>12056</v>
      </c>
    </row>
    <row r="2822" spans="1:2">
      <c r="A2822" t="s">
        <v>12055</v>
      </c>
      <c r="B2822" t="s">
        <v>12057</v>
      </c>
    </row>
    <row r="2823" spans="1:2">
      <c r="A2823" t="s">
        <v>12055</v>
      </c>
      <c r="B2823" t="s">
        <v>12058</v>
      </c>
    </row>
    <row r="2824" spans="1:2">
      <c r="A2824" t="s">
        <v>12059</v>
      </c>
      <c r="B2824" t="s">
        <v>12060</v>
      </c>
    </row>
    <row r="2825" spans="1:2">
      <c r="A2825" t="s">
        <v>12059</v>
      </c>
      <c r="B2825" t="s">
        <v>12061</v>
      </c>
    </row>
    <row r="2826" spans="1:2">
      <c r="A2826" t="s">
        <v>12059</v>
      </c>
      <c r="B2826" t="s">
        <v>12062</v>
      </c>
    </row>
    <row r="2827" spans="1:2">
      <c r="A2827" t="s">
        <v>12063</v>
      </c>
      <c r="B2827" t="s">
        <v>12064</v>
      </c>
    </row>
    <row r="2828" spans="1:2">
      <c r="A2828" t="s">
        <v>12063</v>
      </c>
      <c r="B2828" t="s">
        <v>12065</v>
      </c>
    </row>
    <row r="2829" spans="1:2">
      <c r="A2829" t="s">
        <v>12063</v>
      </c>
      <c r="B2829" t="s">
        <v>12066</v>
      </c>
    </row>
    <row r="2830" spans="1:2">
      <c r="A2830" t="s">
        <v>12067</v>
      </c>
      <c r="B2830" t="s">
        <v>12068</v>
      </c>
    </row>
    <row r="2831" spans="1:2">
      <c r="A2831" t="s">
        <v>12067</v>
      </c>
      <c r="B2831" t="s">
        <v>12069</v>
      </c>
    </row>
    <row r="2832" spans="1:2">
      <c r="A2832" t="s">
        <v>12067</v>
      </c>
      <c r="B2832" t="s">
        <v>12070</v>
      </c>
    </row>
    <row r="2833" spans="1:2">
      <c r="A2833" t="s">
        <v>12071</v>
      </c>
      <c r="B2833" t="s">
        <v>12072</v>
      </c>
    </row>
    <row r="2834" spans="1:2">
      <c r="A2834" t="s">
        <v>12071</v>
      </c>
      <c r="B2834" t="s">
        <v>12073</v>
      </c>
    </row>
    <row r="2835" spans="1:2">
      <c r="A2835" t="s">
        <v>12071</v>
      </c>
      <c r="B2835" t="s">
        <v>12074</v>
      </c>
    </row>
    <row r="2836" spans="1:2">
      <c r="A2836" t="s">
        <v>12075</v>
      </c>
      <c r="B2836" t="s">
        <v>12076</v>
      </c>
    </row>
    <row r="2837" spans="1:2">
      <c r="A2837" t="s">
        <v>12075</v>
      </c>
      <c r="B2837" t="s">
        <v>12077</v>
      </c>
    </row>
    <row r="2838" spans="1:2">
      <c r="A2838" t="s">
        <v>12075</v>
      </c>
      <c r="B2838" t="s">
        <v>12078</v>
      </c>
    </row>
    <row r="2839" spans="1:2">
      <c r="A2839" t="s">
        <v>12079</v>
      </c>
      <c r="B2839" t="s">
        <v>12080</v>
      </c>
    </row>
    <row r="2840" spans="1:2">
      <c r="A2840" t="s">
        <v>12079</v>
      </c>
      <c r="B2840" t="s">
        <v>12081</v>
      </c>
    </row>
    <row r="2841" spans="1:2">
      <c r="A2841" t="s">
        <v>12079</v>
      </c>
      <c r="B2841" t="s">
        <v>12082</v>
      </c>
    </row>
    <row r="2842" spans="1:2">
      <c r="A2842" t="s">
        <v>12083</v>
      </c>
      <c r="B2842" t="s">
        <v>12084</v>
      </c>
    </row>
    <row r="2843" spans="1:2">
      <c r="A2843" t="s">
        <v>12083</v>
      </c>
      <c r="B2843" t="s">
        <v>12085</v>
      </c>
    </row>
    <row r="2844" spans="1:2">
      <c r="A2844" t="s">
        <v>12083</v>
      </c>
      <c r="B2844" t="s">
        <v>12086</v>
      </c>
    </row>
    <row r="2845" spans="1:2">
      <c r="A2845" t="s">
        <v>12087</v>
      </c>
      <c r="B2845" t="s">
        <v>12088</v>
      </c>
    </row>
    <row r="2846" spans="1:2">
      <c r="A2846" t="s">
        <v>12087</v>
      </c>
      <c r="B2846" t="s">
        <v>12089</v>
      </c>
    </row>
    <row r="2847" spans="1:2">
      <c r="A2847" t="s">
        <v>12087</v>
      </c>
      <c r="B2847" t="s">
        <v>12090</v>
      </c>
    </row>
    <row r="2848" spans="1:2">
      <c r="A2848" t="s">
        <v>12091</v>
      </c>
      <c r="B2848" t="s">
        <v>12092</v>
      </c>
    </row>
    <row r="2849" spans="1:2">
      <c r="A2849" t="s">
        <v>12091</v>
      </c>
      <c r="B2849" t="s">
        <v>12093</v>
      </c>
    </row>
    <row r="2850" spans="1:2">
      <c r="A2850" t="s">
        <v>12091</v>
      </c>
      <c r="B2850" t="s">
        <v>12094</v>
      </c>
    </row>
    <row r="2851" spans="1:2">
      <c r="A2851" t="s">
        <v>12095</v>
      </c>
      <c r="B2851" t="s">
        <v>12096</v>
      </c>
    </row>
    <row r="2852" spans="1:2">
      <c r="A2852" t="s">
        <v>12095</v>
      </c>
      <c r="B2852" t="s">
        <v>12097</v>
      </c>
    </row>
    <row r="2853" spans="1:2">
      <c r="A2853" t="s">
        <v>12095</v>
      </c>
      <c r="B2853" t="s">
        <v>12098</v>
      </c>
    </row>
    <row r="2854" spans="1:2">
      <c r="A2854" t="s">
        <v>12099</v>
      </c>
      <c r="B2854" t="s">
        <v>12100</v>
      </c>
    </row>
    <row r="2855" spans="1:2">
      <c r="A2855" t="s">
        <v>12099</v>
      </c>
      <c r="B2855" t="s">
        <v>12101</v>
      </c>
    </row>
    <row r="2856" spans="1:2">
      <c r="A2856" t="s">
        <v>12099</v>
      </c>
      <c r="B2856" t="s">
        <v>12102</v>
      </c>
    </row>
    <row r="2857" spans="1:2">
      <c r="A2857" t="s">
        <v>12103</v>
      </c>
      <c r="B2857" t="s">
        <v>12104</v>
      </c>
    </row>
    <row r="2858" spans="1:2">
      <c r="A2858" t="s">
        <v>12103</v>
      </c>
      <c r="B2858" t="s">
        <v>12105</v>
      </c>
    </row>
    <row r="2859" spans="1:2">
      <c r="A2859" t="s">
        <v>12103</v>
      </c>
      <c r="B2859" t="s">
        <v>12106</v>
      </c>
    </row>
    <row r="2860" spans="1:2">
      <c r="A2860" t="s">
        <v>12107</v>
      </c>
      <c r="B2860" t="s">
        <v>12108</v>
      </c>
    </row>
    <row r="2861" spans="1:2">
      <c r="A2861" t="s">
        <v>12107</v>
      </c>
      <c r="B2861" t="s">
        <v>12109</v>
      </c>
    </row>
    <row r="2862" spans="1:2">
      <c r="A2862" t="s">
        <v>12107</v>
      </c>
      <c r="B2862" t="s">
        <v>12110</v>
      </c>
    </row>
    <row r="2863" spans="1:2">
      <c r="A2863" t="s">
        <v>12111</v>
      </c>
      <c r="B2863" t="s">
        <v>12112</v>
      </c>
    </row>
    <row r="2864" spans="1:2">
      <c r="A2864" t="s">
        <v>12111</v>
      </c>
      <c r="B2864" t="s">
        <v>12113</v>
      </c>
    </row>
    <row r="2865" spans="1:2">
      <c r="A2865" t="s">
        <v>12111</v>
      </c>
      <c r="B2865" t="s">
        <v>12114</v>
      </c>
    </row>
    <row r="2866" spans="1:2">
      <c r="A2866" t="s">
        <v>12115</v>
      </c>
      <c r="B2866" t="s">
        <v>12116</v>
      </c>
    </row>
    <row r="2867" spans="1:2">
      <c r="A2867" t="s">
        <v>12115</v>
      </c>
      <c r="B2867" t="s">
        <v>12117</v>
      </c>
    </row>
    <row r="2868" spans="1:2">
      <c r="A2868" t="s">
        <v>12115</v>
      </c>
      <c r="B2868" t="s">
        <v>12118</v>
      </c>
    </row>
    <row r="2869" spans="1:2">
      <c r="A2869" t="s">
        <v>12119</v>
      </c>
      <c r="B2869" t="s">
        <v>12120</v>
      </c>
    </row>
    <row r="2870" spans="1:2">
      <c r="A2870" t="s">
        <v>12119</v>
      </c>
      <c r="B2870" t="s">
        <v>12121</v>
      </c>
    </row>
    <row r="2871" spans="1:2">
      <c r="A2871" t="s">
        <v>12119</v>
      </c>
      <c r="B2871" t="s">
        <v>12122</v>
      </c>
    </row>
    <row r="2872" spans="1:2">
      <c r="A2872" t="s">
        <v>12123</v>
      </c>
      <c r="B2872" t="s">
        <v>12124</v>
      </c>
    </row>
    <row r="2873" spans="1:2">
      <c r="A2873" t="s">
        <v>12123</v>
      </c>
      <c r="B2873" t="s">
        <v>12125</v>
      </c>
    </row>
    <row r="2874" spans="1:2">
      <c r="A2874" t="s">
        <v>12123</v>
      </c>
      <c r="B2874" t="s">
        <v>12126</v>
      </c>
    </row>
    <row r="2875" spans="1:2">
      <c r="A2875" t="s">
        <v>12127</v>
      </c>
      <c r="B2875" t="s">
        <v>12128</v>
      </c>
    </row>
    <row r="2876" spans="1:2">
      <c r="A2876" t="s">
        <v>12127</v>
      </c>
      <c r="B2876" t="s">
        <v>12128</v>
      </c>
    </row>
    <row r="2877" spans="1:2">
      <c r="A2877" t="s">
        <v>12127</v>
      </c>
      <c r="B2877" t="s">
        <v>12129</v>
      </c>
    </row>
    <row r="2878" spans="1:2">
      <c r="A2878" t="s">
        <v>12130</v>
      </c>
      <c r="B2878" t="s">
        <v>12131</v>
      </c>
    </row>
    <row r="2879" spans="1:2">
      <c r="A2879" t="s">
        <v>12130</v>
      </c>
      <c r="B2879" t="s">
        <v>12132</v>
      </c>
    </row>
    <row r="2880" spans="1:2">
      <c r="A2880" t="s">
        <v>12130</v>
      </c>
      <c r="B2880" t="s">
        <v>12133</v>
      </c>
    </row>
    <row r="2881" spans="1:2">
      <c r="A2881" t="s">
        <v>12134</v>
      </c>
      <c r="B2881" t="s">
        <v>12135</v>
      </c>
    </row>
    <row r="2882" spans="1:2">
      <c r="A2882" t="s">
        <v>12134</v>
      </c>
      <c r="B2882" t="s">
        <v>12136</v>
      </c>
    </row>
    <row r="2883" spans="1:2">
      <c r="A2883" t="s">
        <v>12134</v>
      </c>
      <c r="B2883" t="s">
        <v>12137</v>
      </c>
    </row>
    <row r="2884" spans="1:2">
      <c r="A2884" t="s">
        <v>12138</v>
      </c>
      <c r="B2884" t="s">
        <v>12139</v>
      </c>
    </row>
    <row r="2885" spans="1:2">
      <c r="A2885" t="s">
        <v>12138</v>
      </c>
      <c r="B2885" t="s">
        <v>12139</v>
      </c>
    </row>
    <row r="2886" spans="1:2">
      <c r="A2886" t="s">
        <v>12138</v>
      </c>
      <c r="B2886" t="s">
        <v>12140</v>
      </c>
    </row>
    <row r="2887" spans="1:2">
      <c r="A2887" t="s">
        <v>12141</v>
      </c>
      <c r="B2887" t="s">
        <v>12142</v>
      </c>
    </row>
    <row r="2888" spans="1:2">
      <c r="A2888" t="s">
        <v>12141</v>
      </c>
      <c r="B2888" t="s">
        <v>12143</v>
      </c>
    </row>
    <row r="2889" spans="1:2">
      <c r="A2889" t="s">
        <v>12141</v>
      </c>
      <c r="B2889" t="s">
        <v>12144</v>
      </c>
    </row>
    <row r="2890" spans="1:2">
      <c r="A2890" t="s">
        <v>12145</v>
      </c>
      <c r="B2890" t="s">
        <v>12146</v>
      </c>
    </row>
    <row r="2891" spans="1:2">
      <c r="A2891" t="s">
        <v>12147</v>
      </c>
      <c r="B2891" t="s">
        <v>12148</v>
      </c>
    </row>
    <row r="2892" spans="1:2">
      <c r="A2892" t="s">
        <v>12149</v>
      </c>
      <c r="B2892" t="s">
        <v>12150</v>
      </c>
    </row>
    <row r="2893" spans="1:2">
      <c r="A2893" t="s">
        <v>12151</v>
      </c>
      <c r="B2893" t="s">
        <v>12152</v>
      </c>
    </row>
    <row r="2894" spans="1:2">
      <c r="A2894" t="s">
        <v>12153</v>
      </c>
      <c r="B2894" t="s">
        <v>12154</v>
      </c>
    </row>
    <row r="2895" spans="1:2">
      <c r="A2895" t="s">
        <v>12155</v>
      </c>
      <c r="B2895" t="s">
        <v>12156</v>
      </c>
    </row>
    <row r="2896" spans="1:2">
      <c r="A2896" t="s">
        <v>12157</v>
      </c>
      <c r="B2896" t="s">
        <v>12158</v>
      </c>
    </row>
    <row r="2897" spans="1:2">
      <c r="A2897" t="s">
        <v>12159</v>
      </c>
      <c r="B2897" t="s">
        <v>12160</v>
      </c>
    </row>
    <row r="2898" spans="1:2">
      <c r="A2898" t="s">
        <v>12161</v>
      </c>
      <c r="B2898" t="s">
        <v>12162</v>
      </c>
    </row>
    <row r="2899" spans="1:2">
      <c r="A2899" t="s">
        <v>12163</v>
      </c>
      <c r="B2899" t="s">
        <v>12164</v>
      </c>
    </row>
    <row r="2900" spans="1:2">
      <c r="A2900" t="s">
        <v>12165</v>
      </c>
      <c r="B2900" t="s">
        <v>12166</v>
      </c>
    </row>
    <row r="2901" spans="1:2">
      <c r="A2901" t="s">
        <v>12167</v>
      </c>
      <c r="B2901" t="s">
        <v>12168</v>
      </c>
    </row>
    <row r="2902" spans="1:2">
      <c r="A2902" t="s">
        <v>12169</v>
      </c>
      <c r="B2902" t="s">
        <v>12170</v>
      </c>
    </row>
    <row r="2903" spans="1:2">
      <c r="A2903" t="s">
        <v>12171</v>
      </c>
      <c r="B2903" t="s">
        <v>12172</v>
      </c>
    </row>
    <row r="2904" spans="1:2">
      <c r="A2904" t="s">
        <v>12173</v>
      </c>
      <c r="B2904" t="s">
        <v>12174</v>
      </c>
    </row>
    <row r="2905" spans="1:2">
      <c r="A2905" t="s">
        <v>12175</v>
      </c>
      <c r="B2905" t="s">
        <v>12176</v>
      </c>
    </row>
    <row r="2906" spans="1:2">
      <c r="A2906" t="s">
        <v>12175</v>
      </c>
      <c r="B2906" t="s">
        <v>12176</v>
      </c>
    </row>
    <row r="2907" spans="1:2">
      <c r="A2907" t="s">
        <v>12177</v>
      </c>
      <c r="B2907" t="s">
        <v>12178</v>
      </c>
    </row>
    <row r="2908" spans="1:2">
      <c r="A2908" t="s">
        <v>12177</v>
      </c>
      <c r="B2908" t="s">
        <v>12178</v>
      </c>
    </row>
    <row r="2909" spans="1:2">
      <c r="A2909" t="s">
        <v>12179</v>
      </c>
      <c r="B2909" t="s">
        <v>12180</v>
      </c>
    </row>
    <row r="2910" spans="1:2">
      <c r="A2910" t="s">
        <v>12179</v>
      </c>
      <c r="B2910" t="s">
        <v>12180</v>
      </c>
    </row>
    <row r="2911" spans="1:2">
      <c r="A2911" t="s">
        <v>12181</v>
      </c>
      <c r="B2911" t="s">
        <v>12182</v>
      </c>
    </row>
    <row r="2912" spans="1:2">
      <c r="A2912" t="s">
        <v>12181</v>
      </c>
      <c r="B2912" t="s">
        <v>12182</v>
      </c>
    </row>
    <row r="2913" spans="1:2">
      <c r="A2913" t="s">
        <v>12183</v>
      </c>
      <c r="B2913" t="s">
        <v>12184</v>
      </c>
    </row>
    <row r="2914" spans="1:2">
      <c r="A2914" t="s">
        <v>12183</v>
      </c>
      <c r="B2914" t="s">
        <v>12184</v>
      </c>
    </row>
    <row r="2915" spans="1:2">
      <c r="A2915" t="s">
        <v>12185</v>
      </c>
      <c r="B2915" t="s">
        <v>12186</v>
      </c>
    </row>
    <row r="2916" spans="1:2">
      <c r="A2916" t="s">
        <v>12185</v>
      </c>
      <c r="B2916" t="s">
        <v>12186</v>
      </c>
    </row>
    <row r="2917" spans="1:2">
      <c r="A2917" t="s">
        <v>12187</v>
      </c>
      <c r="B2917" t="s">
        <v>12188</v>
      </c>
    </row>
    <row r="2918" spans="1:2">
      <c r="A2918" t="s">
        <v>12187</v>
      </c>
      <c r="B2918" t="s">
        <v>12188</v>
      </c>
    </row>
    <row r="2919" spans="1:2">
      <c r="A2919" t="s">
        <v>12189</v>
      </c>
      <c r="B2919" t="s">
        <v>12190</v>
      </c>
    </row>
    <row r="2920" spans="1:2">
      <c r="A2920" t="s">
        <v>12189</v>
      </c>
      <c r="B2920" t="s">
        <v>12190</v>
      </c>
    </row>
    <row r="2921" spans="1:2">
      <c r="A2921" t="s">
        <v>12191</v>
      </c>
      <c r="B2921" t="s">
        <v>12192</v>
      </c>
    </row>
    <row r="2922" spans="1:2">
      <c r="A2922" t="s">
        <v>12191</v>
      </c>
      <c r="B2922" t="s">
        <v>12192</v>
      </c>
    </row>
    <row r="2923" spans="1:2">
      <c r="A2923" t="s">
        <v>12193</v>
      </c>
      <c r="B2923" t="s">
        <v>12194</v>
      </c>
    </row>
    <row r="2924" spans="1:2">
      <c r="A2924" t="s">
        <v>12193</v>
      </c>
      <c r="B2924" t="s">
        <v>12194</v>
      </c>
    </row>
    <row r="2925" spans="1:2">
      <c r="A2925" t="s">
        <v>12195</v>
      </c>
      <c r="B2925" t="s">
        <v>12196</v>
      </c>
    </row>
    <row r="2926" spans="1:2">
      <c r="A2926" t="s">
        <v>12197</v>
      </c>
      <c r="B2926" t="s">
        <v>12198</v>
      </c>
    </row>
    <row r="2927" spans="1:2">
      <c r="A2927" t="s">
        <v>12199</v>
      </c>
      <c r="B2927" t="s">
        <v>12200</v>
      </c>
    </row>
    <row r="2928" spans="1:2">
      <c r="A2928" t="s">
        <v>12201</v>
      </c>
      <c r="B2928" t="s">
        <v>12202</v>
      </c>
    </row>
    <row r="2929" spans="1:2">
      <c r="A2929" t="s">
        <v>12203</v>
      </c>
      <c r="B2929" t="s">
        <v>12204</v>
      </c>
    </row>
    <row r="2930" spans="1:2">
      <c r="A2930" t="s">
        <v>12205</v>
      </c>
      <c r="B2930" t="s">
        <v>12206</v>
      </c>
    </row>
    <row r="2931" spans="1:2">
      <c r="A2931" t="s">
        <v>12207</v>
      </c>
      <c r="B2931" t="s">
        <v>12208</v>
      </c>
    </row>
    <row r="2932" spans="1:2">
      <c r="A2932" t="s">
        <v>12209</v>
      </c>
      <c r="B2932" t="s">
        <v>12210</v>
      </c>
    </row>
    <row r="2933" spans="1:2">
      <c r="A2933" t="s">
        <v>12211</v>
      </c>
      <c r="B2933" t="s">
        <v>12212</v>
      </c>
    </row>
    <row r="2934" spans="1:2">
      <c r="A2934" t="s">
        <v>12213</v>
      </c>
      <c r="B2934" t="s">
        <v>12214</v>
      </c>
    </row>
    <row r="2935" spans="1:2">
      <c r="A2935" t="s">
        <v>12215</v>
      </c>
      <c r="B2935" t="s">
        <v>12216</v>
      </c>
    </row>
    <row r="2936" spans="1:2">
      <c r="A2936" t="s">
        <v>12217</v>
      </c>
      <c r="B2936" t="s">
        <v>12218</v>
      </c>
    </row>
    <row r="2937" spans="1:2">
      <c r="A2937" t="s">
        <v>12219</v>
      </c>
      <c r="B2937" t="s">
        <v>12220</v>
      </c>
    </row>
    <row r="2938" spans="1:2">
      <c r="A2938" t="s">
        <v>12221</v>
      </c>
      <c r="B2938" t="s">
        <v>12222</v>
      </c>
    </row>
    <row r="2939" spans="1:2">
      <c r="A2939" t="s">
        <v>12223</v>
      </c>
      <c r="B2939" t="s">
        <v>12224</v>
      </c>
    </row>
    <row r="2940" spans="1:2">
      <c r="A2940" t="s">
        <v>12225</v>
      </c>
      <c r="B2940" t="s">
        <v>12226</v>
      </c>
    </row>
    <row r="2941" spans="1:2">
      <c r="A2941" t="s">
        <v>12227</v>
      </c>
      <c r="B2941" t="s">
        <v>12228</v>
      </c>
    </row>
    <row r="2942" spans="1:2">
      <c r="A2942" t="s">
        <v>12229</v>
      </c>
      <c r="B2942" t="s">
        <v>12230</v>
      </c>
    </row>
    <row r="2943" spans="1:2">
      <c r="A2943" t="s">
        <v>12231</v>
      </c>
      <c r="B2943" t="s">
        <v>12232</v>
      </c>
    </row>
    <row r="2944" spans="1:2">
      <c r="A2944" t="s">
        <v>12233</v>
      </c>
      <c r="B2944" t="s">
        <v>12234</v>
      </c>
    </row>
    <row r="2945" spans="1:2">
      <c r="A2945" t="s">
        <v>12235</v>
      </c>
      <c r="B2945" t="s">
        <v>12236</v>
      </c>
    </row>
    <row r="2946" spans="1:2">
      <c r="A2946" t="s">
        <v>12237</v>
      </c>
      <c r="B2946" t="s">
        <v>12238</v>
      </c>
    </row>
    <row r="2947" spans="1:2">
      <c r="A2947" t="s">
        <v>12239</v>
      </c>
      <c r="B2947" t="s">
        <v>12240</v>
      </c>
    </row>
    <row r="2948" spans="1:2">
      <c r="A2948" t="s">
        <v>12241</v>
      </c>
      <c r="B2948" t="s">
        <v>12242</v>
      </c>
    </row>
    <row r="2949" spans="1:2">
      <c r="A2949" t="s">
        <v>12243</v>
      </c>
      <c r="B2949" t="s">
        <v>12244</v>
      </c>
    </row>
    <row r="2950" spans="1:2">
      <c r="A2950" t="s">
        <v>12245</v>
      </c>
      <c r="B2950" t="s">
        <v>12246</v>
      </c>
    </row>
    <row r="2951" spans="1:2">
      <c r="A2951" t="s">
        <v>12247</v>
      </c>
      <c r="B2951" t="s">
        <v>12248</v>
      </c>
    </row>
    <row r="2952" spans="1:2">
      <c r="A2952" t="s">
        <v>12249</v>
      </c>
      <c r="B2952" t="s">
        <v>12250</v>
      </c>
    </row>
    <row r="2953" spans="1:2">
      <c r="A2953" t="s">
        <v>12251</v>
      </c>
      <c r="B2953" t="s">
        <v>12252</v>
      </c>
    </row>
    <row r="2954" spans="1:2">
      <c r="A2954" t="s">
        <v>12253</v>
      </c>
      <c r="B2954" t="s">
        <v>12254</v>
      </c>
    </row>
    <row r="2955" spans="1:2">
      <c r="A2955" t="s">
        <v>12255</v>
      </c>
      <c r="B2955" t="s">
        <v>12256</v>
      </c>
    </row>
    <row r="2956" spans="1:2">
      <c r="A2956" t="s">
        <v>12257</v>
      </c>
      <c r="B2956" t="s">
        <v>12258</v>
      </c>
    </row>
    <row r="2957" spans="1:2">
      <c r="A2957" t="s">
        <v>12259</v>
      </c>
      <c r="B2957" t="s">
        <v>12260</v>
      </c>
    </row>
    <row r="2958" spans="1:2">
      <c r="A2958" t="s">
        <v>12261</v>
      </c>
      <c r="B2958" t="s">
        <v>12262</v>
      </c>
    </row>
    <row r="2959" spans="1:2">
      <c r="A2959" t="s">
        <v>12263</v>
      </c>
      <c r="B2959" t="s">
        <v>12264</v>
      </c>
    </row>
    <row r="2960" spans="1:2">
      <c r="A2960" t="s">
        <v>12265</v>
      </c>
      <c r="B2960" t="s">
        <v>12266</v>
      </c>
    </row>
    <row r="2961" spans="1:2">
      <c r="A2961" t="s">
        <v>12267</v>
      </c>
      <c r="B2961" t="s">
        <v>12268</v>
      </c>
    </row>
    <row r="2962" spans="1:2">
      <c r="A2962" t="s">
        <v>12269</v>
      </c>
      <c r="B2962" t="s">
        <v>12270</v>
      </c>
    </row>
    <row r="2963" spans="1:2">
      <c r="A2963" t="s">
        <v>12271</v>
      </c>
      <c r="B2963" t="s">
        <v>12272</v>
      </c>
    </row>
    <row r="2964" spans="1:2">
      <c r="A2964" t="s">
        <v>12273</v>
      </c>
      <c r="B2964" t="s">
        <v>12274</v>
      </c>
    </row>
    <row r="2965" spans="1:2">
      <c r="A2965" t="s">
        <v>12275</v>
      </c>
      <c r="B2965" t="s">
        <v>12276</v>
      </c>
    </row>
    <row r="2966" spans="1:2">
      <c r="A2966" t="s">
        <v>12277</v>
      </c>
      <c r="B2966" t="s">
        <v>12278</v>
      </c>
    </row>
    <row r="2967" spans="1:2">
      <c r="A2967" t="s">
        <v>12279</v>
      </c>
      <c r="B2967" t="s">
        <v>12280</v>
      </c>
    </row>
    <row r="2968" spans="1:2">
      <c r="A2968" t="s">
        <v>12281</v>
      </c>
      <c r="B2968" t="s">
        <v>12282</v>
      </c>
    </row>
    <row r="2969" spans="1:2">
      <c r="A2969" t="s">
        <v>12283</v>
      </c>
      <c r="B2969" t="s">
        <v>12284</v>
      </c>
    </row>
    <row r="2970" spans="1:2">
      <c r="A2970" t="s">
        <v>12285</v>
      </c>
      <c r="B2970" t="s">
        <v>12286</v>
      </c>
    </row>
    <row r="2971" spans="1:2">
      <c r="A2971" t="s">
        <v>12287</v>
      </c>
      <c r="B2971" t="s">
        <v>12288</v>
      </c>
    </row>
    <row r="2972" spans="1:2">
      <c r="A2972" t="s">
        <v>12289</v>
      </c>
      <c r="B2972" t="s">
        <v>12290</v>
      </c>
    </row>
    <row r="2973" spans="1:2">
      <c r="A2973" t="s">
        <v>12291</v>
      </c>
      <c r="B2973" t="s">
        <v>12292</v>
      </c>
    </row>
    <row r="2974" spans="1:2">
      <c r="A2974" t="s">
        <v>12293</v>
      </c>
      <c r="B2974" t="s">
        <v>12294</v>
      </c>
    </row>
    <row r="2975" spans="1:2">
      <c r="A2975" t="s">
        <v>12295</v>
      </c>
      <c r="B2975" t="s">
        <v>12296</v>
      </c>
    </row>
    <row r="2976" spans="1:2">
      <c r="A2976" t="s">
        <v>12297</v>
      </c>
      <c r="B2976" t="s">
        <v>12298</v>
      </c>
    </row>
    <row r="2977" spans="1:2">
      <c r="A2977" t="s">
        <v>12299</v>
      </c>
      <c r="B2977" t="s">
        <v>12300</v>
      </c>
    </row>
    <row r="2978" spans="1:2">
      <c r="A2978" t="s">
        <v>12301</v>
      </c>
      <c r="B2978" t="s">
        <v>12302</v>
      </c>
    </row>
    <row r="2979" spans="1:2">
      <c r="A2979" t="s">
        <v>12303</v>
      </c>
      <c r="B2979" t="s">
        <v>12304</v>
      </c>
    </row>
    <row r="2980" spans="1:2">
      <c r="A2980" t="s">
        <v>12305</v>
      </c>
      <c r="B2980" t="s">
        <v>12306</v>
      </c>
    </row>
    <row r="2981" spans="1:2">
      <c r="A2981" t="s">
        <v>12307</v>
      </c>
      <c r="B2981" t="s">
        <v>12308</v>
      </c>
    </row>
    <row r="2982" spans="1:2">
      <c r="A2982" t="s">
        <v>12309</v>
      </c>
      <c r="B2982" t="s">
        <v>12310</v>
      </c>
    </row>
    <row r="2983" spans="1:2">
      <c r="A2983" t="s">
        <v>12311</v>
      </c>
      <c r="B2983" t="s">
        <v>12312</v>
      </c>
    </row>
    <row r="2984" spans="1:2">
      <c r="A2984" t="s">
        <v>12313</v>
      </c>
      <c r="B2984" t="s">
        <v>1754</v>
      </c>
    </row>
    <row r="2985" spans="1:2">
      <c r="A2985" t="s">
        <v>12314</v>
      </c>
      <c r="B2985" t="s">
        <v>12315</v>
      </c>
    </row>
    <row r="2986" spans="1:2">
      <c r="A2986" t="s">
        <v>12316</v>
      </c>
      <c r="B2986" t="s">
        <v>12317</v>
      </c>
    </row>
    <row r="2987" spans="1:2">
      <c r="A2987" t="s">
        <v>12318</v>
      </c>
      <c r="B2987" t="s">
        <v>12319</v>
      </c>
    </row>
    <row r="2988" spans="1:2">
      <c r="A2988" t="s">
        <v>12320</v>
      </c>
      <c r="B2988" t="s">
        <v>12321</v>
      </c>
    </row>
    <row r="2989" spans="1:2">
      <c r="A2989" t="s">
        <v>12322</v>
      </c>
      <c r="B2989" t="s">
        <v>12323</v>
      </c>
    </row>
    <row r="2990" spans="1:2">
      <c r="A2990" t="s">
        <v>12324</v>
      </c>
      <c r="B2990" t="s">
        <v>12325</v>
      </c>
    </row>
    <row r="2991" spans="1:2">
      <c r="A2991" t="s">
        <v>12326</v>
      </c>
      <c r="B2991" t="s">
        <v>12327</v>
      </c>
    </row>
    <row r="2992" spans="1:2">
      <c r="A2992" t="s">
        <v>12328</v>
      </c>
      <c r="B2992" t="s">
        <v>12329</v>
      </c>
    </row>
    <row r="2993" spans="1:2">
      <c r="A2993" t="s">
        <v>12330</v>
      </c>
      <c r="B2993" t="s">
        <v>12331</v>
      </c>
    </row>
    <row r="2994" spans="1:2">
      <c r="A2994" t="s">
        <v>12332</v>
      </c>
      <c r="B2994" t="s">
        <v>12333</v>
      </c>
    </row>
    <row r="2995" spans="1:2">
      <c r="A2995" t="s">
        <v>12334</v>
      </c>
      <c r="B2995" t="s">
        <v>12335</v>
      </c>
    </row>
    <row r="2996" spans="1:2">
      <c r="A2996" t="s">
        <v>12334</v>
      </c>
      <c r="B2996" t="s">
        <v>12335</v>
      </c>
    </row>
    <row r="2997" spans="1:2">
      <c r="A2997" t="s">
        <v>12334</v>
      </c>
      <c r="B2997" t="s">
        <v>12336</v>
      </c>
    </row>
    <row r="2998" spans="1:2">
      <c r="A2998" t="s">
        <v>12337</v>
      </c>
      <c r="B2998" t="s">
        <v>12338</v>
      </c>
    </row>
    <row r="2999" spans="1:2">
      <c r="A2999" t="s">
        <v>12337</v>
      </c>
      <c r="B2999" t="s">
        <v>12339</v>
      </c>
    </row>
    <row r="3000" spans="1:2">
      <c r="A3000" t="s">
        <v>12337</v>
      </c>
      <c r="B3000" t="s">
        <v>12340</v>
      </c>
    </row>
    <row r="3001" spans="1:2">
      <c r="A3001" t="s">
        <v>12341</v>
      </c>
      <c r="B3001" t="s">
        <v>12342</v>
      </c>
    </row>
    <row r="3002" spans="1:2">
      <c r="A3002" t="s">
        <v>12341</v>
      </c>
      <c r="B3002" t="s">
        <v>12342</v>
      </c>
    </row>
    <row r="3003" spans="1:2">
      <c r="A3003" t="s">
        <v>12341</v>
      </c>
      <c r="B3003" t="s">
        <v>12343</v>
      </c>
    </row>
    <row r="3004" spans="1:2">
      <c r="A3004" t="s">
        <v>12344</v>
      </c>
      <c r="B3004" t="s">
        <v>12345</v>
      </c>
    </row>
    <row r="3005" spans="1:2">
      <c r="A3005" t="s">
        <v>12344</v>
      </c>
      <c r="B3005" t="s">
        <v>12345</v>
      </c>
    </row>
    <row r="3006" spans="1:2">
      <c r="A3006" t="s">
        <v>12344</v>
      </c>
      <c r="B3006" t="s">
        <v>12346</v>
      </c>
    </row>
    <row r="3007" spans="1:2">
      <c r="A3007" t="s">
        <v>12347</v>
      </c>
      <c r="B3007" t="s">
        <v>12348</v>
      </c>
    </row>
    <row r="3008" spans="1:2">
      <c r="A3008" t="s">
        <v>12347</v>
      </c>
      <c r="B3008" t="s">
        <v>12349</v>
      </c>
    </row>
    <row r="3009" spans="1:2">
      <c r="A3009" t="s">
        <v>12347</v>
      </c>
      <c r="B3009" t="s">
        <v>12350</v>
      </c>
    </row>
    <row r="3010" spans="1:2">
      <c r="A3010" t="s">
        <v>12351</v>
      </c>
      <c r="B3010" t="s">
        <v>12352</v>
      </c>
    </row>
    <row r="3011" spans="1:2">
      <c r="A3011" t="s">
        <v>12351</v>
      </c>
      <c r="B3011" t="s">
        <v>12352</v>
      </c>
    </row>
    <row r="3012" spans="1:2">
      <c r="A3012" t="s">
        <v>12351</v>
      </c>
      <c r="B3012" t="s">
        <v>12353</v>
      </c>
    </row>
    <row r="3013" spans="1:2">
      <c r="A3013" t="s">
        <v>12354</v>
      </c>
      <c r="B3013" t="s">
        <v>12355</v>
      </c>
    </row>
    <row r="3014" spans="1:2">
      <c r="A3014" t="s">
        <v>12354</v>
      </c>
      <c r="B3014" t="s">
        <v>7723</v>
      </c>
    </row>
    <row r="3015" spans="1:2">
      <c r="A3015" t="s">
        <v>12354</v>
      </c>
      <c r="B3015" t="s">
        <v>12356</v>
      </c>
    </row>
    <row r="3016" spans="1:2">
      <c r="A3016" t="s">
        <v>12357</v>
      </c>
      <c r="B3016" t="s">
        <v>12358</v>
      </c>
    </row>
    <row r="3017" spans="1:2">
      <c r="A3017" t="s">
        <v>12357</v>
      </c>
      <c r="B3017" t="s">
        <v>12358</v>
      </c>
    </row>
    <row r="3018" spans="1:2">
      <c r="A3018" t="s">
        <v>12357</v>
      </c>
      <c r="B3018" t="s">
        <v>12359</v>
      </c>
    </row>
    <row r="3019" spans="1:2">
      <c r="A3019" t="s">
        <v>12360</v>
      </c>
      <c r="B3019" t="s">
        <v>12361</v>
      </c>
    </row>
    <row r="3020" spans="1:2">
      <c r="A3020" t="s">
        <v>12360</v>
      </c>
      <c r="B3020" t="s">
        <v>12362</v>
      </c>
    </row>
    <row r="3021" spans="1:2">
      <c r="A3021" t="s">
        <v>12360</v>
      </c>
      <c r="B3021" t="s">
        <v>12363</v>
      </c>
    </row>
    <row r="3022" spans="1:2">
      <c r="A3022" t="s">
        <v>12364</v>
      </c>
      <c r="B3022" t="s">
        <v>12365</v>
      </c>
    </row>
    <row r="3023" spans="1:2">
      <c r="A3023" t="s">
        <v>12364</v>
      </c>
      <c r="B3023" t="s">
        <v>12365</v>
      </c>
    </row>
    <row r="3024" spans="1:2">
      <c r="A3024" t="s">
        <v>12364</v>
      </c>
      <c r="B3024" t="s">
        <v>12366</v>
      </c>
    </row>
    <row r="3025" spans="1:2">
      <c r="A3025" t="s">
        <v>12367</v>
      </c>
      <c r="B3025" t="s">
        <v>12368</v>
      </c>
    </row>
    <row r="3026" spans="1:2">
      <c r="A3026" t="s">
        <v>12367</v>
      </c>
      <c r="B3026" t="s">
        <v>12368</v>
      </c>
    </row>
    <row r="3027" spans="1:2">
      <c r="A3027" t="s">
        <v>12367</v>
      </c>
      <c r="B3027" t="s">
        <v>12369</v>
      </c>
    </row>
    <row r="3028" spans="1:2">
      <c r="A3028" t="s">
        <v>12370</v>
      </c>
      <c r="B3028" t="s">
        <v>12371</v>
      </c>
    </row>
    <row r="3029" spans="1:2">
      <c r="A3029" t="s">
        <v>12370</v>
      </c>
      <c r="B3029" t="s">
        <v>12371</v>
      </c>
    </row>
    <row r="3030" spans="1:2">
      <c r="A3030" t="s">
        <v>12370</v>
      </c>
      <c r="B3030" t="s">
        <v>12372</v>
      </c>
    </row>
    <row r="3031" spans="1:2">
      <c r="A3031" t="s">
        <v>12373</v>
      </c>
      <c r="B3031" t="s">
        <v>12374</v>
      </c>
    </row>
    <row r="3032" spans="1:2">
      <c r="A3032" t="s">
        <v>12375</v>
      </c>
      <c r="B3032" t="s">
        <v>12376</v>
      </c>
    </row>
    <row r="3033" spans="1:2">
      <c r="A3033" t="s">
        <v>12377</v>
      </c>
      <c r="B3033" t="s">
        <v>12378</v>
      </c>
    </row>
    <row r="3034" spans="1:2">
      <c r="A3034" t="s">
        <v>12379</v>
      </c>
      <c r="B3034" t="s">
        <v>12380</v>
      </c>
    </row>
    <row r="3035" spans="1:2">
      <c r="A3035" t="s">
        <v>12381</v>
      </c>
      <c r="B3035" t="s">
        <v>12382</v>
      </c>
    </row>
    <row r="3036" spans="1:2">
      <c r="A3036" t="s">
        <v>12383</v>
      </c>
      <c r="B3036" t="s">
        <v>12384</v>
      </c>
    </row>
    <row r="3037" spans="1:2">
      <c r="A3037" t="s">
        <v>12385</v>
      </c>
      <c r="B3037" t="s">
        <v>12386</v>
      </c>
    </row>
    <row r="3038" spans="1:2">
      <c r="A3038" t="s">
        <v>12387</v>
      </c>
      <c r="B3038" t="s">
        <v>12388</v>
      </c>
    </row>
    <row r="3039" spans="1:2">
      <c r="A3039" t="s">
        <v>12389</v>
      </c>
      <c r="B3039" t="s">
        <v>12390</v>
      </c>
    </row>
    <row r="3040" spans="1:2">
      <c r="A3040" t="s">
        <v>12391</v>
      </c>
      <c r="B3040" t="s">
        <v>12392</v>
      </c>
    </row>
    <row r="3041" spans="1:2">
      <c r="A3041" t="s">
        <v>12393</v>
      </c>
      <c r="B3041" t="s">
        <v>12394</v>
      </c>
    </row>
    <row r="3042" spans="1:2">
      <c r="A3042" t="s">
        <v>12395</v>
      </c>
      <c r="B3042" t="s">
        <v>12396</v>
      </c>
    </row>
    <row r="3043" spans="1:2">
      <c r="A3043" t="s">
        <v>12397</v>
      </c>
      <c r="B3043" t="s">
        <v>12398</v>
      </c>
    </row>
    <row r="3044" spans="1:2">
      <c r="A3044" t="s">
        <v>12399</v>
      </c>
      <c r="B3044" t="s">
        <v>12400</v>
      </c>
    </row>
    <row r="3045" spans="1:2">
      <c r="A3045" t="s">
        <v>12401</v>
      </c>
      <c r="B3045" t="s">
        <v>12402</v>
      </c>
    </row>
    <row r="3046" spans="1:2">
      <c r="A3046" t="s">
        <v>12403</v>
      </c>
      <c r="B3046" t="s">
        <v>12404</v>
      </c>
    </row>
    <row r="3047" spans="1:2">
      <c r="A3047" t="s">
        <v>12405</v>
      </c>
      <c r="B3047" t="s">
        <v>12406</v>
      </c>
    </row>
    <row r="3048" spans="1:2">
      <c r="A3048" t="s">
        <v>12407</v>
      </c>
      <c r="B3048" t="s">
        <v>12408</v>
      </c>
    </row>
    <row r="3049" spans="1:2">
      <c r="A3049" t="s">
        <v>12409</v>
      </c>
      <c r="B3049" t="s">
        <v>12410</v>
      </c>
    </row>
    <row r="3050" spans="1:2">
      <c r="A3050" t="s">
        <v>12411</v>
      </c>
      <c r="B3050" t="s">
        <v>12412</v>
      </c>
    </row>
    <row r="3051" spans="1:2">
      <c r="A3051" t="s">
        <v>12413</v>
      </c>
      <c r="B3051" t="s">
        <v>12414</v>
      </c>
    </row>
    <row r="3052" spans="1:2">
      <c r="A3052" t="s">
        <v>12415</v>
      </c>
      <c r="B3052" t="s">
        <v>12416</v>
      </c>
    </row>
    <row r="3053" spans="1:2">
      <c r="A3053" t="s">
        <v>12417</v>
      </c>
      <c r="B3053" t="s">
        <v>12418</v>
      </c>
    </row>
    <row r="3054" spans="1:2">
      <c r="A3054" t="s">
        <v>12419</v>
      </c>
      <c r="B3054" t="s">
        <v>12420</v>
      </c>
    </row>
    <row r="3055" spans="1:2">
      <c r="A3055" t="s">
        <v>12421</v>
      </c>
      <c r="B3055" t="s">
        <v>12422</v>
      </c>
    </row>
    <row r="3056" spans="1:2">
      <c r="A3056" t="s">
        <v>12423</v>
      </c>
      <c r="B3056" t="s">
        <v>12424</v>
      </c>
    </row>
    <row r="3057" spans="1:2">
      <c r="A3057" t="s">
        <v>12425</v>
      </c>
      <c r="B3057" t="s">
        <v>12426</v>
      </c>
    </row>
    <row r="3058" spans="1:2">
      <c r="A3058" t="s">
        <v>12427</v>
      </c>
      <c r="B3058" t="s">
        <v>12428</v>
      </c>
    </row>
    <row r="3059" spans="1:2">
      <c r="A3059" t="s">
        <v>12429</v>
      </c>
      <c r="B3059" t="s">
        <v>12430</v>
      </c>
    </row>
    <row r="3060" spans="1:2">
      <c r="A3060" t="s">
        <v>12431</v>
      </c>
      <c r="B3060" t="s">
        <v>12432</v>
      </c>
    </row>
    <row r="3061" spans="1:2">
      <c r="A3061" t="s">
        <v>12433</v>
      </c>
      <c r="B3061" t="s">
        <v>12434</v>
      </c>
    </row>
    <row r="3062" spans="1:2">
      <c r="A3062" t="s">
        <v>12435</v>
      </c>
      <c r="B3062" t="s">
        <v>12436</v>
      </c>
    </row>
    <row r="3063" spans="1:2">
      <c r="A3063" t="s">
        <v>12437</v>
      </c>
      <c r="B3063" t="s">
        <v>12438</v>
      </c>
    </row>
    <row r="3064" spans="1:2">
      <c r="A3064" t="s">
        <v>12439</v>
      </c>
      <c r="B3064" t="s">
        <v>12440</v>
      </c>
    </row>
    <row r="3065" spans="1:2">
      <c r="A3065" t="s">
        <v>12441</v>
      </c>
      <c r="B3065" t="s">
        <v>12442</v>
      </c>
    </row>
    <row r="3066" spans="1:2">
      <c r="A3066" t="s">
        <v>12443</v>
      </c>
      <c r="B3066" t="s">
        <v>12444</v>
      </c>
    </row>
    <row r="3067" spans="1:2">
      <c r="A3067" t="s">
        <v>12445</v>
      </c>
      <c r="B3067" t="s">
        <v>12446</v>
      </c>
    </row>
    <row r="3068" spans="1:2">
      <c r="A3068" t="s">
        <v>12447</v>
      </c>
      <c r="B3068" t="s">
        <v>12448</v>
      </c>
    </row>
    <row r="3069" spans="1:2">
      <c r="A3069" t="s">
        <v>12449</v>
      </c>
      <c r="B3069" t="s">
        <v>12450</v>
      </c>
    </row>
    <row r="3070" spans="1:2">
      <c r="A3070" t="s">
        <v>12451</v>
      </c>
      <c r="B3070" t="s">
        <v>12452</v>
      </c>
    </row>
    <row r="3071" spans="1:2">
      <c r="A3071" t="s">
        <v>12453</v>
      </c>
      <c r="B3071" t="s">
        <v>12454</v>
      </c>
    </row>
    <row r="3072" spans="1:2">
      <c r="A3072" t="s">
        <v>12455</v>
      </c>
      <c r="B3072" t="s">
        <v>12456</v>
      </c>
    </row>
    <row r="3073" spans="1:2">
      <c r="A3073" t="s">
        <v>12457</v>
      </c>
      <c r="B3073" t="s">
        <v>12458</v>
      </c>
    </row>
    <row r="3074" spans="1:2">
      <c r="A3074" t="s">
        <v>12459</v>
      </c>
      <c r="B3074" t="s">
        <v>12460</v>
      </c>
    </row>
    <row r="3075" spans="1:2">
      <c r="A3075" t="s">
        <v>12461</v>
      </c>
      <c r="B3075" t="s">
        <v>12462</v>
      </c>
    </row>
    <row r="3076" spans="1:2">
      <c r="A3076" t="s">
        <v>12463</v>
      </c>
      <c r="B3076" t="s">
        <v>12464</v>
      </c>
    </row>
    <row r="3077" spans="1:2">
      <c r="A3077" t="s">
        <v>12465</v>
      </c>
      <c r="B3077" t="s">
        <v>12466</v>
      </c>
    </row>
    <row r="3078" spans="1:2">
      <c r="A3078" t="s">
        <v>12467</v>
      </c>
      <c r="B3078" t="s">
        <v>12468</v>
      </c>
    </row>
    <row r="3079" spans="1:2">
      <c r="A3079" t="s">
        <v>12469</v>
      </c>
      <c r="B3079" t="s">
        <v>12470</v>
      </c>
    </row>
    <row r="3080" spans="1:2">
      <c r="A3080" t="s">
        <v>12471</v>
      </c>
      <c r="B3080" t="s">
        <v>12472</v>
      </c>
    </row>
    <row r="3081" spans="1:2">
      <c r="A3081" t="s">
        <v>12473</v>
      </c>
      <c r="B3081" t="s">
        <v>12474</v>
      </c>
    </row>
    <row r="3082" spans="1:2">
      <c r="A3082" t="s">
        <v>12475</v>
      </c>
      <c r="B3082" t="s">
        <v>12476</v>
      </c>
    </row>
    <row r="3083" spans="1:2">
      <c r="A3083" t="s">
        <v>12477</v>
      </c>
      <c r="B3083" t="s">
        <v>12478</v>
      </c>
    </row>
    <row r="3084" spans="1:2">
      <c r="A3084" t="s">
        <v>12479</v>
      </c>
      <c r="B3084" t="s">
        <v>12480</v>
      </c>
    </row>
    <row r="3085" spans="1:2">
      <c r="A3085" t="s">
        <v>12481</v>
      </c>
      <c r="B3085" t="s">
        <v>12482</v>
      </c>
    </row>
    <row r="3086" spans="1:2">
      <c r="A3086" t="s">
        <v>12483</v>
      </c>
      <c r="B3086" t="s">
        <v>12484</v>
      </c>
    </row>
    <row r="3087" spans="1:2">
      <c r="A3087" t="s">
        <v>12485</v>
      </c>
      <c r="B3087" t="s">
        <v>12486</v>
      </c>
    </row>
    <row r="3088" spans="1:2">
      <c r="A3088" t="s">
        <v>12487</v>
      </c>
      <c r="B3088" t="s">
        <v>12488</v>
      </c>
    </row>
    <row r="3089" spans="1:2">
      <c r="A3089" t="s">
        <v>12489</v>
      </c>
      <c r="B3089" t="s">
        <v>12490</v>
      </c>
    </row>
    <row r="3090" spans="1:2">
      <c r="A3090" t="s">
        <v>12491</v>
      </c>
      <c r="B3090" t="s">
        <v>12492</v>
      </c>
    </row>
    <row r="3091" spans="1:2">
      <c r="A3091" t="s">
        <v>12493</v>
      </c>
      <c r="B3091" t="s">
        <v>12494</v>
      </c>
    </row>
    <row r="3092" spans="1:2">
      <c r="A3092" t="s">
        <v>12495</v>
      </c>
      <c r="B3092" t="s">
        <v>12496</v>
      </c>
    </row>
    <row r="3093" spans="1:2">
      <c r="A3093" t="s">
        <v>12497</v>
      </c>
      <c r="B3093" t="s">
        <v>12498</v>
      </c>
    </row>
    <row r="3094" spans="1:2">
      <c r="A3094" t="s">
        <v>12499</v>
      </c>
      <c r="B3094" t="s">
        <v>12500</v>
      </c>
    </row>
    <row r="3095" spans="1:2">
      <c r="A3095" t="s">
        <v>12501</v>
      </c>
      <c r="B3095" t="s">
        <v>12502</v>
      </c>
    </row>
    <row r="3096" spans="1:2">
      <c r="A3096" t="s">
        <v>12503</v>
      </c>
      <c r="B3096" t="s">
        <v>12504</v>
      </c>
    </row>
    <row r="3097" spans="1:2">
      <c r="A3097" t="s">
        <v>12505</v>
      </c>
      <c r="B3097" t="s">
        <v>12506</v>
      </c>
    </row>
    <row r="3098" spans="1:2">
      <c r="A3098" t="s">
        <v>12507</v>
      </c>
      <c r="B3098" t="s">
        <v>12508</v>
      </c>
    </row>
    <row r="3099" spans="1:2">
      <c r="A3099" t="s">
        <v>12509</v>
      </c>
      <c r="B3099" t="s">
        <v>12510</v>
      </c>
    </row>
    <row r="3100" spans="1:2">
      <c r="A3100" t="s">
        <v>12511</v>
      </c>
      <c r="B3100" t="s">
        <v>12512</v>
      </c>
    </row>
    <row r="3101" spans="1:2">
      <c r="A3101" t="s">
        <v>12513</v>
      </c>
      <c r="B3101" t="s">
        <v>12514</v>
      </c>
    </row>
    <row r="3102" spans="1:2">
      <c r="A3102" t="s">
        <v>12515</v>
      </c>
      <c r="B3102" t="s">
        <v>12516</v>
      </c>
    </row>
    <row r="3103" spans="1:2">
      <c r="A3103" t="s">
        <v>12517</v>
      </c>
      <c r="B3103" t="s">
        <v>12518</v>
      </c>
    </row>
    <row r="3104" spans="1:2">
      <c r="A3104" t="s">
        <v>12519</v>
      </c>
      <c r="B3104" t="s">
        <v>12520</v>
      </c>
    </row>
    <row r="3105" spans="1:2">
      <c r="A3105" t="s">
        <v>12521</v>
      </c>
      <c r="B3105" t="s">
        <v>12522</v>
      </c>
    </row>
    <row r="3106" spans="1:2">
      <c r="A3106" t="s">
        <v>12523</v>
      </c>
      <c r="B3106" t="s">
        <v>12524</v>
      </c>
    </row>
    <row r="3107" spans="1:2">
      <c r="A3107" t="s">
        <v>12525</v>
      </c>
      <c r="B3107" t="s">
        <v>12526</v>
      </c>
    </row>
    <row r="3108" spans="1:2">
      <c r="A3108" t="s">
        <v>12527</v>
      </c>
      <c r="B3108" t="s">
        <v>12528</v>
      </c>
    </row>
    <row r="3109" spans="1:2">
      <c r="A3109" t="s">
        <v>12529</v>
      </c>
      <c r="B3109" t="s">
        <v>12530</v>
      </c>
    </row>
    <row r="3110" spans="1:2">
      <c r="A3110" t="s">
        <v>12531</v>
      </c>
      <c r="B3110" t="s">
        <v>12532</v>
      </c>
    </row>
    <row r="3111" spans="1:2">
      <c r="A3111" t="s">
        <v>12533</v>
      </c>
      <c r="B3111" t="s">
        <v>12534</v>
      </c>
    </row>
    <row r="3112" spans="1:2">
      <c r="A3112" t="s">
        <v>12535</v>
      </c>
      <c r="B3112" t="s">
        <v>12536</v>
      </c>
    </row>
    <row r="3113" spans="1:2">
      <c r="A3113" t="s">
        <v>12537</v>
      </c>
      <c r="B3113" t="s">
        <v>12538</v>
      </c>
    </row>
    <row r="3114" spans="1:2">
      <c r="A3114" t="s">
        <v>12539</v>
      </c>
      <c r="B3114" t="s">
        <v>12540</v>
      </c>
    </row>
    <row r="3115" spans="1:2">
      <c r="A3115" t="s">
        <v>12541</v>
      </c>
      <c r="B3115" t="s">
        <v>12542</v>
      </c>
    </row>
    <row r="3116" spans="1:2">
      <c r="A3116" t="s">
        <v>12543</v>
      </c>
      <c r="B3116" t="s">
        <v>12544</v>
      </c>
    </row>
    <row r="3117" spans="1:2">
      <c r="A3117" t="s">
        <v>12545</v>
      </c>
      <c r="B3117" t="s">
        <v>12546</v>
      </c>
    </row>
    <row r="3118" spans="1:2">
      <c r="A3118" t="s">
        <v>12547</v>
      </c>
      <c r="B3118" t="s">
        <v>12548</v>
      </c>
    </row>
    <row r="3119" spans="1:2">
      <c r="A3119" t="s">
        <v>12549</v>
      </c>
      <c r="B3119" t="s">
        <v>12550</v>
      </c>
    </row>
    <row r="3120" spans="1:2">
      <c r="A3120" t="s">
        <v>12551</v>
      </c>
      <c r="B3120" t="s">
        <v>12552</v>
      </c>
    </row>
    <row r="3121" spans="1:2">
      <c r="A3121" t="s">
        <v>12553</v>
      </c>
      <c r="B3121" t="s">
        <v>12554</v>
      </c>
    </row>
    <row r="3122" spans="1:2">
      <c r="A3122" t="s">
        <v>12555</v>
      </c>
      <c r="B3122" t="s">
        <v>12556</v>
      </c>
    </row>
    <row r="3123" spans="1:2">
      <c r="A3123" t="s">
        <v>12557</v>
      </c>
      <c r="B3123" t="s">
        <v>12558</v>
      </c>
    </row>
    <row r="3124" spans="1:2">
      <c r="A3124" t="s">
        <v>12559</v>
      </c>
      <c r="B3124" t="s">
        <v>12560</v>
      </c>
    </row>
    <row r="3125" spans="1:2">
      <c r="A3125" t="s">
        <v>12561</v>
      </c>
      <c r="B3125" t="s">
        <v>12562</v>
      </c>
    </row>
    <row r="3126" spans="1:2">
      <c r="A3126" t="s">
        <v>12563</v>
      </c>
      <c r="B3126" t="s">
        <v>12564</v>
      </c>
    </row>
    <row r="3127" spans="1:2">
      <c r="A3127" t="s">
        <v>12565</v>
      </c>
      <c r="B3127" t="s">
        <v>12566</v>
      </c>
    </row>
    <row r="3128" spans="1:2">
      <c r="A3128" t="s">
        <v>12567</v>
      </c>
      <c r="B3128" t="s">
        <v>12568</v>
      </c>
    </row>
    <row r="3129" spans="1:2">
      <c r="A3129" t="s">
        <v>12569</v>
      </c>
      <c r="B3129" t="s">
        <v>12570</v>
      </c>
    </row>
    <row r="3130" spans="1:2">
      <c r="A3130" t="s">
        <v>12571</v>
      </c>
      <c r="B3130" t="s">
        <v>12572</v>
      </c>
    </row>
    <row r="3131" spans="1:2">
      <c r="A3131" t="s">
        <v>12573</v>
      </c>
      <c r="B3131" t="s">
        <v>12574</v>
      </c>
    </row>
    <row r="3132" spans="1:2">
      <c r="A3132" t="s">
        <v>12575</v>
      </c>
      <c r="B3132" t="s">
        <v>12576</v>
      </c>
    </row>
    <row r="3133" spans="1:2">
      <c r="A3133" t="s">
        <v>12577</v>
      </c>
      <c r="B3133" t="s">
        <v>12578</v>
      </c>
    </row>
    <row r="3134" spans="1:2">
      <c r="A3134" t="s">
        <v>12579</v>
      </c>
      <c r="B3134" t="s">
        <v>12580</v>
      </c>
    </row>
    <row r="3135" spans="1:2">
      <c r="A3135" t="s">
        <v>12581</v>
      </c>
      <c r="B3135" t="s">
        <v>12582</v>
      </c>
    </row>
    <row r="3136" spans="1:2">
      <c r="A3136" t="s">
        <v>12583</v>
      </c>
      <c r="B3136" t="s">
        <v>12584</v>
      </c>
    </row>
    <row r="3137" spans="1:2">
      <c r="A3137" t="s">
        <v>12585</v>
      </c>
      <c r="B3137" t="s">
        <v>12586</v>
      </c>
    </row>
    <row r="3138" spans="1:2">
      <c r="A3138" t="s">
        <v>12587</v>
      </c>
      <c r="B3138" t="s">
        <v>12588</v>
      </c>
    </row>
    <row r="3139" spans="1:2">
      <c r="A3139" t="s">
        <v>12589</v>
      </c>
      <c r="B3139" t="s">
        <v>12590</v>
      </c>
    </row>
    <row r="3140" spans="1:2">
      <c r="A3140" t="s">
        <v>12591</v>
      </c>
      <c r="B3140" t="s">
        <v>12592</v>
      </c>
    </row>
    <row r="3141" spans="1:2">
      <c r="A3141" t="s">
        <v>12593</v>
      </c>
      <c r="B3141" t="s">
        <v>12594</v>
      </c>
    </row>
    <row r="3142" spans="1:2">
      <c r="A3142" t="s">
        <v>12595</v>
      </c>
      <c r="B3142" t="s">
        <v>12596</v>
      </c>
    </row>
    <row r="3143" spans="1:2">
      <c r="A3143" t="s">
        <v>12597</v>
      </c>
      <c r="B3143" t="s">
        <v>12598</v>
      </c>
    </row>
    <row r="3144" spans="1:2">
      <c r="A3144" t="s">
        <v>12599</v>
      </c>
      <c r="B3144" t="s">
        <v>12600</v>
      </c>
    </row>
    <row r="3145" spans="1:2">
      <c r="A3145" t="s">
        <v>12601</v>
      </c>
      <c r="B3145" t="s">
        <v>12602</v>
      </c>
    </row>
    <row r="3146" spans="1:2">
      <c r="A3146" t="s">
        <v>12603</v>
      </c>
      <c r="B3146" t="s">
        <v>12604</v>
      </c>
    </row>
    <row r="3147" spans="1:2">
      <c r="A3147" t="s">
        <v>12605</v>
      </c>
      <c r="B3147" t="s">
        <v>12606</v>
      </c>
    </row>
    <row r="3148" spans="1:2">
      <c r="A3148" t="s">
        <v>12607</v>
      </c>
      <c r="B3148" t="s">
        <v>12608</v>
      </c>
    </row>
    <row r="3149" spans="1:2">
      <c r="A3149" t="s">
        <v>12609</v>
      </c>
      <c r="B3149" t="s">
        <v>12610</v>
      </c>
    </row>
    <row r="3150" spans="1:2">
      <c r="A3150" t="s">
        <v>12611</v>
      </c>
      <c r="B3150" t="s">
        <v>12612</v>
      </c>
    </row>
    <row r="3151" spans="1:2">
      <c r="A3151" t="s">
        <v>12613</v>
      </c>
      <c r="B3151" t="s">
        <v>12614</v>
      </c>
    </row>
    <row r="3152" spans="1:2">
      <c r="A3152" t="s">
        <v>12615</v>
      </c>
      <c r="B3152" t="s">
        <v>12616</v>
      </c>
    </row>
    <row r="3153" spans="1:2">
      <c r="A3153" t="s">
        <v>12617</v>
      </c>
      <c r="B3153" t="s">
        <v>12618</v>
      </c>
    </row>
    <row r="3154" spans="1:2">
      <c r="A3154" t="s">
        <v>12619</v>
      </c>
      <c r="B3154" t="s">
        <v>12620</v>
      </c>
    </row>
    <row r="3155" spans="1:2">
      <c r="A3155" t="s">
        <v>12621</v>
      </c>
      <c r="B3155" t="s">
        <v>12622</v>
      </c>
    </row>
    <row r="3156" spans="1:2">
      <c r="A3156" t="s">
        <v>12623</v>
      </c>
      <c r="B3156" t="s">
        <v>12624</v>
      </c>
    </row>
    <row r="3157" spans="1:2">
      <c r="A3157" t="s">
        <v>12625</v>
      </c>
      <c r="B3157" t="s">
        <v>12626</v>
      </c>
    </row>
    <row r="3158" spans="1:2">
      <c r="A3158" t="s">
        <v>12627</v>
      </c>
      <c r="B3158" t="s">
        <v>12628</v>
      </c>
    </row>
    <row r="3159" spans="1:2">
      <c r="A3159" t="s">
        <v>12629</v>
      </c>
      <c r="B3159" t="s">
        <v>12630</v>
      </c>
    </row>
    <row r="3160" spans="1:2">
      <c r="A3160" t="s">
        <v>12631</v>
      </c>
      <c r="B3160" t="s">
        <v>12632</v>
      </c>
    </row>
    <row r="3161" spans="1:2">
      <c r="A3161" t="s">
        <v>12633</v>
      </c>
      <c r="B3161" t="s">
        <v>12634</v>
      </c>
    </row>
    <row r="3162" spans="1:2">
      <c r="A3162" t="s">
        <v>12635</v>
      </c>
      <c r="B3162" t="s">
        <v>12636</v>
      </c>
    </row>
    <row r="3163" spans="1:2">
      <c r="A3163" t="s">
        <v>12637</v>
      </c>
      <c r="B3163" t="s">
        <v>12638</v>
      </c>
    </row>
    <row r="3164" spans="1:2">
      <c r="A3164" t="s">
        <v>12639</v>
      </c>
      <c r="B3164" t="s">
        <v>12640</v>
      </c>
    </row>
    <row r="3165" spans="1:2">
      <c r="A3165" t="s">
        <v>12641</v>
      </c>
      <c r="B3165" t="s">
        <v>12642</v>
      </c>
    </row>
    <row r="3166" spans="1:2">
      <c r="A3166" t="s">
        <v>12643</v>
      </c>
      <c r="B3166" t="s">
        <v>12644</v>
      </c>
    </row>
    <row r="3167" spans="1:2">
      <c r="A3167" t="s">
        <v>12645</v>
      </c>
      <c r="B3167" t="s">
        <v>12646</v>
      </c>
    </row>
    <row r="3168" spans="1:2">
      <c r="A3168" t="s">
        <v>12647</v>
      </c>
      <c r="B3168" t="s">
        <v>12648</v>
      </c>
    </row>
    <row r="3169" spans="1:2">
      <c r="A3169" t="s">
        <v>12649</v>
      </c>
      <c r="B3169" t="s">
        <v>12650</v>
      </c>
    </row>
    <row r="3170" spans="1:2">
      <c r="A3170" t="s">
        <v>12651</v>
      </c>
      <c r="B3170" t="s">
        <v>12652</v>
      </c>
    </row>
    <row r="3171" spans="1:2">
      <c r="A3171" t="s">
        <v>12653</v>
      </c>
      <c r="B3171" t="s">
        <v>12654</v>
      </c>
    </row>
    <row r="3172" spans="1:2">
      <c r="A3172" t="s">
        <v>12655</v>
      </c>
      <c r="B3172" t="s">
        <v>12656</v>
      </c>
    </row>
    <row r="3173" spans="1:2">
      <c r="A3173" t="s">
        <v>12657</v>
      </c>
      <c r="B3173" t="s">
        <v>12658</v>
      </c>
    </row>
    <row r="3174" spans="1:2">
      <c r="A3174" t="s">
        <v>12659</v>
      </c>
      <c r="B3174" t="s">
        <v>12660</v>
      </c>
    </row>
    <row r="3175" spans="1:2">
      <c r="A3175" t="s">
        <v>12661</v>
      </c>
      <c r="B3175" t="s">
        <v>12662</v>
      </c>
    </row>
    <row r="3176" spans="1:2">
      <c r="A3176" t="s">
        <v>12663</v>
      </c>
      <c r="B3176" t="s">
        <v>12664</v>
      </c>
    </row>
    <row r="3177" spans="1:2">
      <c r="A3177" t="s">
        <v>12665</v>
      </c>
      <c r="B3177" t="s">
        <v>12666</v>
      </c>
    </row>
    <row r="3178" spans="1:2">
      <c r="A3178" t="s">
        <v>12667</v>
      </c>
      <c r="B3178" t="s">
        <v>12668</v>
      </c>
    </row>
    <row r="3179" spans="1:2">
      <c r="A3179" t="s">
        <v>12669</v>
      </c>
      <c r="B3179" t="s">
        <v>12670</v>
      </c>
    </row>
    <row r="3180" spans="1:2">
      <c r="A3180" t="s">
        <v>12671</v>
      </c>
      <c r="B3180" t="s">
        <v>12672</v>
      </c>
    </row>
    <row r="3181" spans="1:2">
      <c r="A3181" t="s">
        <v>12673</v>
      </c>
      <c r="B3181" t="s">
        <v>12674</v>
      </c>
    </row>
    <row r="3182" spans="1:2">
      <c r="A3182" t="s">
        <v>12675</v>
      </c>
      <c r="B3182" t="s">
        <v>12676</v>
      </c>
    </row>
    <row r="3183" spans="1:2">
      <c r="A3183" t="s">
        <v>12677</v>
      </c>
      <c r="B3183" t="s">
        <v>12678</v>
      </c>
    </row>
    <row r="3184" spans="1:2">
      <c r="A3184" t="s">
        <v>12679</v>
      </c>
      <c r="B3184" t="s">
        <v>12680</v>
      </c>
    </row>
    <row r="3185" spans="1:2">
      <c r="A3185" t="s">
        <v>12681</v>
      </c>
      <c r="B3185" t="s">
        <v>12682</v>
      </c>
    </row>
    <row r="3186" spans="1:2">
      <c r="A3186" t="s">
        <v>12683</v>
      </c>
      <c r="B3186" t="s">
        <v>12684</v>
      </c>
    </row>
    <row r="3187" spans="1:2">
      <c r="A3187" t="s">
        <v>12685</v>
      </c>
      <c r="B3187" t="s">
        <v>12686</v>
      </c>
    </row>
    <row r="3188" spans="1:2">
      <c r="A3188" t="s">
        <v>12687</v>
      </c>
      <c r="B3188" t="s">
        <v>12688</v>
      </c>
    </row>
    <row r="3189" spans="1:2">
      <c r="A3189" t="s">
        <v>12689</v>
      </c>
      <c r="B3189" t="s">
        <v>12690</v>
      </c>
    </row>
    <row r="3190" spans="1:2">
      <c r="A3190" t="s">
        <v>12691</v>
      </c>
      <c r="B3190" t="s">
        <v>12692</v>
      </c>
    </row>
    <row r="3191" spans="1:2">
      <c r="A3191" t="s">
        <v>12693</v>
      </c>
      <c r="B3191" t="s">
        <v>12694</v>
      </c>
    </row>
    <row r="3192" spans="1:2">
      <c r="A3192" t="s">
        <v>12695</v>
      </c>
      <c r="B3192" t="s">
        <v>12696</v>
      </c>
    </row>
    <row r="3193" spans="1:2">
      <c r="A3193" t="s">
        <v>12697</v>
      </c>
      <c r="B3193" t="s">
        <v>12698</v>
      </c>
    </row>
    <row r="3194" spans="1:2">
      <c r="A3194" t="s">
        <v>12699</v>
      </c>
      <c r="B3194" t="s">
        <v>12700</v>
      </c>
    </row>
    <row r="3195" spans="1:2">
      <c r="A3195" t="s">
        <v>12701</v>
      </c>
      <c r="B3195" t="s">
        <v>12702</v>
      </c>
    </row>
    <row r="3196" spans="1:2">
      <c r="A3196" t="s">
        <v>12703</v>
      </c>
      <c r="B3196" t="s">
        <v>12704</v>
      </c>
    </row>
    <row r="3197" spans="1:2">
      <c r="A3197" t="s">
        <v>12705</v>
      </c>
      <c r="B3197" t="s">
        <v>12706</v>
      </c>
    </row>
    <row r="3198" spans="1:2">
      <c r="A3198" t="s">
        <v>12707</v>
      </c>
      <c r="B3198" t="s">
        <v>12708</v>
      </c>
    </row>
    <row r="3199" spans="1:2">
      <c r="A3199" t="s">
        <v>12709</v>
      </c>
      <c r="B3199" t="s">
        <v>12710</v>
      </c>
    </row>
    <row r="3200" spans="1:2">
      <c r="A3200" t="s">
        <v>12711</v>
      </c>
      <c r="B3200" t="s">
        <v>12712</v>
      </c>
    </row>
    <row r="3201" spans="1:2">
      <c r="A3201" t="s">
        <v>12713</v>
      </c>
      <c r="B3201" t="s">
        <v>12714</v>
      </c>
    </row>
    <row r="3202" spans="1:2">
      <c r="A3202" t="s">
        <v>12715</v>
      </c>
      <c r="B3202" t="s">
        <v>12716</v>
      </c>
    </row>
    <row r="3203" spans="1:2">
      <c r="A3203" t="s">
        <v>12717</v>
      </c>
      <c r="B3203" t="s">
        <v>12718</v>
      </c>
    </row>
    <row r="3204" spans="1:2">
      <c r="A3204" t="s">
        <v>12719</v>
      </c>
      <c r="B3204" t="s">
        <v>12720</v>
      </c>
    </row>
    <row r="3205" spans="1:2">
      <c r="A3205" t="s">
        <v>12721</v>
      </c>
      <c r="B3205" t="s">
        <v>12722</v>
      </c>
    </row>
    <row r="3206" spans="1:2">
      <c r="A3206" t="s">
        <v>12723</v>
      </c>
      <c r="B3206" t="s">
        <v>12724</v>
      </c>
    </row>
    <row r="3207" spans="1:2">
      <c r="A3207" t="s">
        <v>12725</v>
      </c>
      <c r="B3207" t="s">
        <v>12726</v>
      </c>
    </row>
    <row r="3208" spans="1:2">
      <c r="A3208" t="s">
        <v>12727</v>
      </c>
      <c r="B3208" t="s">
        <v>12728</v>
      </c>
    </row>
    <row r="3209" spans="1:2">
      <c r="A3209" t="s">
        <v>12729</v>
      </c>
      <c r="B3209" t="s">
        <v>12730</v>
      </c>
    </row>
    <row r="3210" spans="1:2">
      <c r="A3210" t="s">
        <v>12731</v>
      </c>
      <c r="B3210" t="s">
        <v>12732</v>
      </c>
    </row>
    <row r="3211" spans="1:2">
      <c r="A3211" t="s">
        <v>12733</v>
      </c>
      <c r="B3211" t="s">
        <v>12734</v>
      </c>
    </row>
    <row r="3212" spans="1:2">
      <c r="A3212" t="s">
        <v>12735</v>
      </c>
      <c r="B3212" t="s">
        <v>12736</v>
      </c>
    </row>
    <row r="3213" spans="1:2">
      <c r="A3213" t="s">
        <v>12737</v>
      </c>
      <c r="B3213" t="s">
        <v>12738</v>
      </c>
    </row>
    <row r="3214" spans="1:2">
      <c r="A3214" t="s">
        <v>12739</v>
      </c>
      <c r="B3214" t="s">
        <v>12740</v>
      </c>
    </row>
    <row r="3215" spans="1:2">
      <c r="A3215" t="s">
        <v>12741</v>
      </c>
      <c r="B3215" t="s">
        <v>12742</v>
      </c>
    </row>
    <row r="3216" spans="1:2">
      <c r="A3216" t="s">
        <v>12743</v>
      </c>
      <c r="B3216" t="s">
        <v>12744</v>
      </c>
    </row>
    <row r="3217" spans="1:2">
      <c r="A3217" t="s">
        <v>12745</v>
      </c>
      <c r="B3217" t="s">
        <v>12746</v>
      </c>
    </row>
    <row r="3218" spans="1:2">
      <c r="A3218" t="s">
        <v>12747</v>
      </c>
      <c r="B3218" t="s">
        <v>12748</v>
      </c>
    </row>
    <row r="3219" spans="1:2">
      <c r="A3219" t="s">
        <v>12749</v>
      </c>
      <c r="B3219" t="s">
        <v>12750</v>
      </c>
    </row>
    <row r="3220" spans="1:2">
      <c r="A3220" t="s">
        <v>12751</v>
      </c>
      <c r="B3220" t="s">
        <v>12752</v>
      </c>
    </row>
    <row r="3221" spans="1:2">
      <c r="A3221" t="s">
        <v>12753</v>
      </c>
      <c r="B3221" t="s">
        <v>12754</v>
      </c>
    </row>
    <row r="3222" spans="1:2">
      <c r="A3222" t="s">
        <v>12755</v>
      </c>
      <c r="B3222" t="s">
        <v>12756</v>
      </c>
    </row>
    <row r="3223" spans="1:2">
      <c r="A3223" t="s">
        <v>12757</v>
      </c>
      <c r="B3223" t="s">
        <v>12758</v>
      </c>
    </row>
    <row r="3224" spans="1:2">
      <c r="A3224" t="s">
        <v>12759</v>
      </c>
      <c r="B3224" t="s">
        <v>12760</v>
      </c>
    </row>
    <row r="3225" spans="1:2">
      <c r="A3225" t="s">
        <v>12761</v>
      </c>
      <c r="B3225" t="s">
        <v>12762</v>
      </c>
    </row>
    <row r="3226" spans="1:2">
      <c r="A3226" t="s">
        <v>12763</v>
      </c>
      <c r="B3226" t="s">
        <v>12764</v>
      </c>
    </row>
    <row r="3227" spans="1:2">
      <c r="A3227" t="s">
        <v>12765</v>
      </c>
      <c r="B3227" t="s">
        <v>12766</v>
      </c>
    </row>
    <row r="3228" spans="1:2">
      <c r="A3228" t="s">
        <v>12767</v>
      </c>
      <c r="B3228" t="s">
        <v>12768</v>
      </c>
    </row>
    <row r="3229" spans="1:2">
      <c r="A3229" t="s">
        <v>12769</v>
      </c>
      <c r="B3229" t="s">
        <v>12770</v>
      </c>
    </row>
    <row r="3230" spans="1:2">
      <c r="A3230" t="s">
        <v>12771</v>
      </c>
      <c r="B3230" t="s">
        <v>12772</v>
      </c>
    </row>
    <row r="3231" spans="1:2">
      <c r="A3231" t="s">
        <v>12773</v>
      </c>
      <c r="B3231" t="s">
        <v>12774</v>
      </c>
    </row>
    <row r="3232" spans="1:2">
      <c r="A3232" t="s">
        <v>12775</v>
      </c>
      <c r="B3232" t="s">
        <v>12776</v>
      </c>
    </row>
    <row r="3233" spans="1:2">
      <c r="A3233" t="s">
        <v>12777</v>
      </c>
      <c r="B3233" t="s">
        <v>12778</v>
      </c>
    </row>
    <row r="3234" spans="1:2">
      <c r="A3234" t="s">
        <v>12779</v>
      </c>
      <c r="B3234" t="s">
        <v>12780</v>
      </c>
    </row>
    <row r="3235" spans="1:2">
      <c r="A3235" t="s">
        <v>12781</v>
      </c>
      <c r="B3235" t="s">
        <v>12782</v>
      </c>
    </row>
    <row r="3236" spans="1:2">
      <c r="A3236" t="s">
        <v>12783</v>
      </c>
      <c r="B3236" t="s">
        <v>12784</v>
      </c>
    </row>
    <row r="3237" spans="1:2">
      <c r="A3237" t="s">
        <v>12785</v>
      </c>
      <c r="B3237" t="s">
        <v>12786</v>
      </c>
    </row>
    <row r="3238" spans="1:2">
      <c r="A3238" t="s">
        <v>12787</v>
      </c>
      <c r="B3238" t="s">
        <v>12788</v>
      </c>
    </row>
    <row r="3239" spans="1:2">
      <c r="A3239" t="s">
        <v>12789</v>
      </c>
      <c r="B3239" t="s">
        <v>12790</v>
      </c>
    </row>
    <row r="3240" spans="1:2">
      <c r="A3240" t="s">
        <v>12791</v>
      </c>
      <c r="B3240" t="s">
        <v>12792</v>
      </c>
    </row>
    <row r="3241" spans="1:2">
      <c r="A3241" t="s">
        <v>12793</v>
      </c>
      <c r="B3241" t="s">
        <v>12794</v>
      </c>
    </row>
    <row r="3242" spans="1:2">
      <c r="A3242" t="s">
        <v>12795</v>
      </c>
      <c r="B3242" t="s">
        <v>12796</v>
      </c>
    </row>
    <row r="3243" spans="1:2">
      <c r="A3243" t="s">
        <v>12797</v>
      </c>
      <c r="B3243" t="s">
        <v>12798</v>
      </c>
    </row>
    <row r="3244" spans="1:2">
      <c r="A3244" t="s">
        <v>12799</v>
      </c>
      <c r="B3244" t="s">
        <v>12800</v>
      </c>
    </row>
    <row r="3245" spans="1:2">
      <c r="A3245" t="s">
        <v>12801</v>
      </c>
      <c r="B3245" t="s">
        <v>12802</v>
      </c>
    </row>
    <row r="3246" spans="1:2">
      <c r="A3246" t="s">
        <v>12803</v>
      </c>
      <c r="B3246" t="s">
        <v>12804</v>
      </c>
    </row>
    <row r="3247" spans="1:2">
      <c r="A3247" t="s">
        <v>12805</v>
      </c>
      <c r="B3247" t="s">
        <v>12806</v>
      </c>
    </row>
    <row r="3248" spans="1:2">
      <c r="A3248" t="s">
        <v>12807</v>
      </c>
      <c r="B3248" t="s">
        <v>12808</v>
      </c>
    </row>
    <row r="3249" spans="1:2">
      <c r="A3249" t="s">
        <v>12809</v>
      </c>
      <c r="B3249" t="s">
        <v>12810</v>
      </c>
    </row>
    <row r="3250" spans="1:2">
      <c r="A3250" t="s">
        <v>12811</v>
      </c>
      <c r="B3250" t="s">
        <v>12812</v>
      </c>
    </row>
    <row r="3251" spans="1:2">
      <c r="A3251" t="s">
        <v>12813</v>
      </c>
      <c r="B3251" t="s">
        <v>12814</v>
      </c>
    </row>
    <row r="3252" spans="1:2">
      <c r="A3252" t="s">
        <v>12815</v>
      </c>
      <c r="B3252" t="s">
        <v>12816</v>
      </c>
    </row>
    <row r="3253" spans="1:2">
      <c r="A3253" t="s">
        <v>12817</v>
      </c>
      <c r="B3253" t="s">
        <v>12818</v>
      </c>
    </row>
    <row r="3254" spans="1:2">
      <c r="A3254" t="s">
        <v>12819</v>
      </c>
      <c r="B3254" t="s">
        <v>12820</v>
      </c>
    </row>
    <row r="3255" spans="1:2">
      <c r="A3255" t="s">
        <v>12821</v>
      </c>
      <c r="B3255" t="s">
        <v>12822</v>
      </c>
    </row>
    <row r="3256" spans="1:2">
      <c r="A3256" t="s">
        <v>12823</v>
      </c>
      <c r="B3256" t="s">
        <v>12824</v>
      </c>
    </row>
    <row r="3257" spans="1:2">
      <c r="A3257" t="s">
        <v>12825</v>
      </c>
      <c r="B3257" t="s">
        <v>12826</v>
      </c>
    </row>
    <row r="3258" spans="1:2">
      <c r="A3258" t="s">
        <v>12827</v>
      </c>
      <c r="B3258" t="s">
        <v>12828</v>
      </c>
    </row>
    <row r="3259" spans="1:2">
      <c r="A3259" t="s">
        <v>12829</v>
      </c>
      <c r="B3259" t="s">
        <v>12830</v>
      </c>
    </row>
    <row r="3260" spans="1:2">
      <c r="A3260" t="s">
        <v>12831</v>
      </c>
      <c r="B3260" t="s">
        <v>12832</v>
      </c>
    </row>
    <row r="3261" spans="1:2">
      <c r="A3261" t="s">
        <v>12833</v>
      </c>
      <c r="B3261" t="s">
        <v>12834</v>
      </c>
    </row>
    <row r="3262" spans="1:2">
      <c r="A3262" t="s">
        <v>12835</v>
      </c>
      <c r="B3262" t="s">
        <v>12836</v>
      </c>
    </row>
    <row r="3263" spans="1:2">
      <c r="A3263" t="s">
        <v>12837</v>
      </c>
      <c r="B3263" t="s">
        <v>12838</v>
      </c>
    </row>
    <row r="3264" spans="1:2">
      <c r="A3264" t="s">
        <v>12839</v>
      </c>
      <c r="B3264" t="s">
        <v>12840</v>
      </c>
    </row>
    <row r="3265" spans="1:2">
      <c r="A3265" t="s">
        <v>12841</v>
      </c>
      <c r="B3265" t="s">
        <v>12842</v>
      </c>
    </row>
    <row r="3266" spans="1:2">
      <c r="A3266" t="s">
        <v>12843</v>
      </c>
      <c r="B3266" t="s">
        <v>12844</v>
      </c>
    </row>
    <row r="3267" spans="1:2">
      <c r="A3267" t="s">
        <v>12845</v>
      </c>
      <c r="B3267" t="s">
        <v>12846</v>
      </c>
    </row>
    <row r="3268" spans="1:2">
      <c r="A3268" t="s">
        <v>12847</v>
      </c>
      <c r="B3268" t="s">
        <v>12848</v>
      </c>
    </row>
    <row r="3269" spans="1:2">
      <c r="A3269" t="s">
        <v>12849</v>
      </c>
      <c r="B3269" t="s">
        <v>12850</v>
      </c>
    </row>
    <row r="3270" spans="1:2">
      <c r="A3270" t="s">
        <v>12851</v>
      </c>
      <c r="B3270" t="s">
        <v>12852</v>
      </c>
    </row>
    <row r="3271" spans="1:2">
      <c r="A3271" t="s">
        <v>12853</v>
      </c>
      <c r="B3271" t="s">
        <v>12854</v>
      </c>
    </row>
    <row r="3272" spans="1:2">
      <c r="A3272" t="s">
        <v>12855</v>
      </c>
      <c r="B3272" t="s">
        <v>12856</v>
      </c>
    </row>
    <row r="3273" spans="1:2">
      <c r="A3273" t="s">
        <v>12857</v>
      </c>
      <c r="B3273" t="s">
        <v>12858</v>
      </c>
    </row>
    <row r="3274" spans="1:2">
      <c r="A3274" t="s">
        <v>12859</v>
      </c>
      <c r="B3274" t="s">
        <v>12860</v>
      </c>
    </row>
    <row r="3275" spans="1:2">
      <c r="A3275" t="s">
        <v>12861</v>
      </c>
      <c r="B3275" t="s">
        <v>12862</v>
      </c>
    </row>
    <row r="3276" spans="1:2">
      <c r="A3276" t="s">
        <v>12863</v>
      </c>
      <c r="B3276" t="s">
        <v>12864</v>
      </c>
    </row>
    <row r="3277" spans="1:2">
      <c r="A3277" t="s">
        <v>12865</v>
      </c>
      <c r="B3277" t="s">
        <v>12866</v>
      </c>
    </row>
    <row r="3278" spans="1:2">
      <c r="A3278" t="s">
        <v>12867</v>
      </c>
      <c r="B3278" t="s">
        <v>12868</v>
      </c>
    </row>
    <row r="3279" spans="1:2">
      <c r="A3279" t="s">
        <v>12869</v>
      </c>
      <c r="B3279" t="s">
        <v>12870</v>
      </c>
    </row>
    <row r="3280" spans="1:2">
      <c r="A3280" t="s">
        <v>12871</v>
      </c>
      <c r="B3280" t="s">
        <v>12872</v>
      </c>
    </row>
    <row r="3281" spans="1:2">
      <c r="A3281" t="s">
        <v>12873</v>
      </c>
      <c r="B3281" t="s">
        <v>12874</v>
      </c>
    </row>
    <row r="3282" spans="1:2">
      <c r="A3282" t="s">
        <v>12875</v>
      </c>
      <c r="B3282" t="s">
        <v>12876</v>
      </c>
    </row>
    <row r="3283" spans="1:2">
      <c r="A3283" t="s">
        <v>12877</v>
      </c>
      <c r="B3283" t="s">
        <v>12878</v>
      </c>
    </row>
    <row r="3284" spans="1:2">
      <c r="A3284" t="s">
        <v>12879</v>
      </c>
      <c r="B3284" t="s">
        <v>12880</v>
      </c>
    </row>
    <row r="3285" spans="1:2">
      <c r="A3285" t="s">
        <v>12881</v>
      </c>
      <c r="B3285" t="s">
        <v>12882</v>
      </c>
    </row>
    <row r="3286" spans="1:2">
      <c r="A3286" t="s">
        <v>12883</v>
      </c>
      <c r="B3286" t="s">
        <v>12884</v>
      </c>
    </row>
    <row r="3287" spans="1:2">
      <c r="A3287" t="s">
        <v>12885</v>
      </c>
      <c r="B3287" t="s">
        <v>12886</v>
      </c>
    </row>
    <row r="3288" spans="1:2">
      <c r="A3288" t="s">
        <v>12887</v>
      </c>
      <c r="B3288" t="s">
        <v>12888</v>
      </c>
    </row>
    <row r="3289" spans="1:2">
      <c r="A3289" t="s">
        <v>12889</v>
      </c>
      <c r="B3289" t="s">
        <v>12890</v>
      </c>
    </row>
    <row r="3290" spans="1:2">
      <c r="A3290" t="s">
        <v>12891</v>
      </c>
      <c r="B3290" t="s">
        <v>12892</v>
      </c>
    </row>
    <row r="3291" spans="1:2">
      <c r="A3291" t="s">
        <v>12893</v>
      </c>
      <c r="B3291" t="s">
        <v>12894</v>
      </c>
    </row>
    <row r="3292" spans="1:2">
      <c r="A3292" t="s">
        <v>12895</v>
      </c>
      <c r="B3292" t="s">
        <v>12896</v>
      </c>
    </row>
    <row r="3293" spans="1:2">
      <c r="A3293" t="s">
        <v>12897</v>
      </c>
      <c r="B3293" t="s">
        <v>12898</v>
      </c>
    </row>
    <row r="3294" spans="1:2">
      <c r="A3294" t="s">
        <v>12899</v>
      </c>
      <c r="B3294" t="s">
        <v>12900</v>
      </c>
    </row>
    <row r="3295" spans="1:2">
      <c r="A3295" t="s">
        <v>12901</v>
      </c>
      <c r="B3295" t="s">
        <v>12902</v>
      </c>
    </row>
    <row r="3296" spans="1:2">
      <c r="A3296" t="s">
        <v>12903</v>
      </c>
      <c r="B3296" t="s">
        <v>12904</v>
      </c>
    </row>
    <row r="3297" spans="1:2">
      <c r="A3297" t="s">
        <v>12905</v>
      </c>
      <c r="B3297" t="s">
        <v>12906</v>
      </c>
    </row>
    <row r="3298" spans="1:2">
      <c r="A3298" t="s">
        <v>12907</v>
      </c>
      <c r="B3298" t="s">
        <v>12908</v>
      </c>
    </row>
    <row r="3299" spans="1:2">
      <c r="A3299" t="s">
        <v>12909</v>
      </c>
      <c r="B3299" t="s">
        <v>12910</v>
      </c>
    </row>
    <row r="3300" spans="1:2">
      <c r="A3300" t="s">
        <v>12911</v>
      </c>
      <c r="B3300" t="s">
        <v>12912</v>
      </c>
    </row>
    <row r="3301" spans="1:2">
      <c r="A3301" t="s">
        <v>12913</v>
      </c>
      <c r="B3301" t="s">
        <v>12914</v>
      </c>
    </row>
    <row r="3302" spans="1:2">
      <c r="A3302" t="s">
        <v>12915</v>
      </c>
      <c r="B3302" t="s">
        <v>12916</v>
      </c>
    </row>
    <row r="3303" spans="1:2">
      <c r="A3303" t="s">
        <v>12917</v>
      </c>
      <c r="B3303" t="s">
        <v>12918</v>
      </c>
    </row>
    <row r="3304" spans="1:2">
      <c r="A3304" t="s">
        <v>12919</v>
      </c>
      <c r="B3304" t="s">
        <v>12920</v>
      </c>
    </row>
    <row r="3305" spans="1:2">
      <c r="A3305" t="s">
        <v>12921</v>
      </c>
      <c r="B3305" t="s">
        <v>12922</v>
      </c>
    </row>
    <row r="3306" spans="1:2">
      <c r="A3306" t="s">
        <v>12923</v>
      </c>
      <c r="B3306" t="s">
        <v>12924</v>
      </c>
    </row>
    <row r="3307" spans="1:2">
      <c r="A3307" t="s">
        <v>12925</v>
      </c>
      <c r="B3307" t="s">
        <v>12926</v>
      </c>
    </row>
    <row r="3308" spans="1:2">
      <c r="A3308" t="s">
        <v>12927</v>
      </c>
      <c r="B3308" t="s">
        <v>12928</v>
      </c>
    </row>
    <row r="3309" spans="1:2">
      <c r="A3309" t="s">
        <v>12929</v>
      </c>
      <c r="B3309" t="s">
        <v>12930</v>
      </c>
    </row>
    <row r="3310" spans="1:2">
      <c r="A3310" t="s">
        <v>12931</v>
      </c>
      <c r="B3310" t="s">
        <v>12932</v>
      </c>
    </row>
    <row r="3311" spans="1:2">
      <c r="A3311" t="s">
        <v>12933</v>
      </c>
      <c r="B3311" t="s">
        <v>12934</v>
      </c>
    </row>
    <row r="3312" spans="1:2">
      <c r="A3312" t="s">
        <v>12935</v>
      </c>
      <c r="B3312" t="s">
        <v>12936</v>
      </c>
    </row>
    <row r="3313" spans="1:2">
      <c r="A3313" t="s">
        <v>12937</v>
      </c>
      <c r="B3313" t="s">
        <v>12938</v>
      </c>
    </row>
    <row r="3314" spans="1:2">
      <c r="A3314" t="s">
        <v>12939</v>
      </c>
      <c r="B3314" t="s">
        <v>12940</v>
      </c>
    </row>
    <row r="3315" spans="1:2">
      <c r="A3315" t="s">
        <v>12941</v>
      </c>
      <c r="B3315" t="s">
        <v>12942</v>
      </c>
    </row>
    <row r="3316" spans="1:2">
      <c r="A3316" t="s">
        <v>12943</v>
      </c>
      <c r="B3316" t="s">
        <v>12944</v>
      </c>
    </row>
    <row r="3317" spans="1:2">
      <c r="A3317" t="s">
        <v>12945</v>
      </c>
      <c r="B3317" t="s">
        <v>12946</v>
      </c>
    </row>
    <row r="3318" spans="1:2">
      <c r="A3318" t="s">
        <v>12947</v>
      </c>
      <c r="B3318" t="s">
        <v>12948</v>
      </c>
    </row>
    <row r="3319" spans="1:2">
      <c r="A3319" t="s">
        <v>12949</v>
      </c>
      <c r="B3319" t="s">
        <v>12950</v>
      </c>
    </row>
    <row r="3320" spans="1:2">
      <c r="A3320" t="s">
        <v>12951</v>
      </c>
      <c r="B3320" t="s">
        <v>12952</v>
      </c>
    </row>
    <row r="3321" spans="1:2">
      <c r="A3321" t="s">
        <v>12953</v>
      </c>
      <c r="B3321" t="s">
        <v>12954</v>
      </c>
    </row>
    <row r="3322" spans="1:2">
      <c r="A3322" t="s">
        <v>12955</v>
      </c>
      <c r="B3322" t="s">
        <v>12956</v>
      </c>
    </row>
    <row r="3323" spans="1:2">
      <c r="A3323" t="s">
        <v>12957</v>
      </c>
      <c r="B3323" t="s">
        <v>12958</v>
      </c>
    </row>
    <row r="3324" spans="1:2">
      <c r="A3324" t="s">
        <v>12959</v>
      </c>
      <c r="B3324" t="s">
        <v>12960</v>
      </c>
    </row>
    <row r="3325" spans="1:2">
      <c r="A3325" t="s">
        <v>12961</v>
      </c>
      <c r="B3325" t="s">
        <v>12962</v>
      </c>
    </row>
    <row r="3326" spans="1:2">
      <c r="A3326" t="s">
        <v>12963</v>
      </c>
      <c r="B3326" t="s">
        <v>12964</v>
      </c>
    </row>
    <row r="3327" spans="1:2">
      <c r="A3327" t="s">
        <v>12965</v>
      </c>
      <c r="B3327" t="s">
        <v>12966</v>
      </c>
    </row>
    <row r="3328" spans="1:2">
      <c r="A3328" t="s">
        <v>12967</v>
      </c>
      <c r="B3328" t="s">
        <v>12968</v>
      </c>
    </row>
    <row r="3329" spans="1:2">
      <c r="A3329" t="s">
        <v>12969</v>
      </c>
      <c r="B3329" t="s">
        <v>12970</v>
      </c>
    </row>
    <row r="3330" spans="1:2">
      <c r="A3330" t="s">
        <v>12971</v>
      </c>
      <c r="B3330" t="s">
        <v>12972</v>
      </c>
    </row>
    <row r="3331" spans="1:2">
      <c r="A3331" t="s">
        <v>12973</v>
      </c>
      <c r="B3331" t="s">
        <v>12974</v>
      </c>
    </row>
    <row r="3332" spans="1:2">
      <c r="A3332" t="s">
        <v>12975</v>
      </c>
      <c r="B3332" t="s">
        <v>12976</v>
      </c>
    </row>
    <row r="3333" spans="1:2">
      <c r="A3333" t="s">
        <v>12977</v>
      </c>
      <c r="B3333" t="s">
        <v>12978</v>
      </c>
    </row>
    <row r="3334" spans="1:2">
      <c r="A3334" t="s">
        <v>12979</v>
      </c>
      <c r="B3334" t="s">
        <v>12980</v>
      </c>
    </row>
    <row r="3335" spans="1:2">
      <c r="A3335" t="s">
        <v>12981</v>
      </c>
      <c r="B3335" t="s">
        <v>12982</v>
      </c>
    </row>
    <row r="3336" spans="1:2">
      <c r="A3336" t="s">
        <v>12983</v>
      </c>
      <c r="B3336" t="s">
        <v>12984</v>
      </c>
    </row>
    <row r="3337" spans="1:2">
      <c r="A3337" t="s">
        <v>12985</v>
      </c>
      <c r="B3337" t="s">
        <v>12986</v>
      </c>
    </row>
    <row r="3338" spans="1:2">
      <c r="A3338" t="s">
        <v>12987</v>
      </c>
      <c r="B3338" t="s">
        <v>12988</v>
      </c>
    </row>
    <row r="3339" spans="1:2">
      <c r="A3339" t="s">
        <v>12989</v>
      </c>
      <c r="B3339" t="s">
        <v>12990</v>
      </c>
    </row>
    <row r="3340" spans="1:2">
      <c r="A3340" t="s">
        <v>12991</v>
      </c>
      <c r="B3340" t="s">
        <v>12992</v>
      </c>
    </row>
    <row r="3341" spans="1:2">
      <c r="A3341" t="s">
        <v>12993</v>
      </c>
      <c r="B3341" t="s">
        <v>12994</v>
      </c>
    </row>
    <row r="3342" spans="1:2">
      <c r="A3342" t="s">
        <v>12995</v>
      </c>
      <c r="B3342" t="s">
        <v>12996</v>
      </c>
    </row>
    <row r="3343" spans="1:2">
      <c r="A3343" t="s">
        <v>12997</v>
      </c>
      <c r="B3343" t="s">
        <v>12998</v>
      </c>
    </row>
    <row r="3344" spans="1:2">
      <c r="A3344" t="s">
        <v>12997</v>
      </c>
      <c r="B3344" t="s">
        <v>12998</v>
      </c>
    </row>
    <row r="3345" spans="1:2">
      <c r="A3345" t="s">
        <v>12999</v>
      </c>
      <c r="B3345" t="s">
        <v>13000</v>
      </c>
    </row>
    <row r="3346" spans="1:2">
      <c r="A3346" t="s">
        <v>12999</v>
      </c>
      <c r="B3346" t="s">
        <v>13001</v>
      </c>
    </row>
    <row r="3347" spans="1:2">
      <c r="A3347" t="s">
        <v>13002</v>
      </c>
      <c r="B3347" t="s">
        <v>13003</v>
      </c>
    </row>
    <row r="3348" spans="1:2">
      <c r="A3348" t="s">
        <v>13002</v>
      </c>
      <c r="B3348" t="s">
        <v>13004</v>
      </c>
    </row>
    <row r="3349" spans="1:2">
      <c r="A3349" t="s">
        <v>13005</v>
      </c>
      <c r="B3349" t="s">
        <v>13006</v>
      </c>
    </row>
    <row r="3350" spans="1:2">
      <c r="A3350" t="s">
        <v>13005</v>
      </c>
      <c r="B3350" t="s">
        <v>13007</v>
      </c>
    </row>
    <row r="3351" spans="1:2">
      <c r="A3351" t="s">
        <v>13008</v>
      </c>
      <c r="B3351" t="s">
        <v>13009</v>
      </c>
    </row>
    <row r="3352" spans="1:2">
      <c r="A3352" t="s">
        <v>13008</v>
      </c>
      <c r="B3352" t="s">
        <v>13010</v>
      </c>
    </row>
    <row r="3353" spans="1:2">
      <c r="A3353" t="s">
        <v>13011</v>
      </c>
      <c r="B3353" t="s">
        <v>13012</v>
      </c>
    </row>
    <row r="3354" spans="1:2">
      <c r="A3354" t="s">
        <v>13011</v>
      </c>
      <c r="B3354" t="s">
        <v>13013</v>
      </c>
    </row>
    <row r="3355" spans="1:2">
      <c r="A3355" t="s">
        <v>13014</v>
      </c>
      <c r="B3355" t="s">
        <v>13015</v>
      </c>
    </row>
    <row r="3356" spans="1:2">
      <c r="A3356" t="s">
        <v>13014</v>
      </c>
      <c r="B3356" t="s">
        <v>13016</v>
      </c>
    </row>
    <row r="3357" spans="1:2">
      <c r="A3357" t="s">
        <v>13017</v>
      </c>
      <c r="B3357" t="s">
        <v>13018</v>
      </c>
    </row>
    <row r="3358" spans="1:2">
      <c r="A3358" t="s">
        <v>13017</v>
      </c>
      <c r="B3358" t="s">
        <v>13019</v>
      </c>
    </row>
    <row r="3359" spans="1:2">
      <c r="A3359" t="s">
        <v>13020</v>
      </c>
      <c r="B3359" t="s">
        <v>13021</v>
      </c>
    </row>
    <row r="3360" spans="1:2">
      <c r="A3360" t="s">
        <v>13020</v>
      </c>
      <c r="B3360" t="s">
        <v>13021</v>
      </c>
    </row>
    <row r="3361" spans="1:2">
      <c r="A3361" t="s">
        <v>13022</v>
      </c>
      <c r="B3361" t="s">
        <v>13023</v>
      </c>
    </row>
    <row r="3362" spans="1:2">
      <c r="A3362" t="s">
        <v>13022</v>
      </c>
      <c r="B3362" t="s">
        <v>13024</v>
      </c>
    </row>
    <row r="3363" spans="1:2">
      <c r="A3363" t="s">
        <v>13025</v>
      </c>
      <c r="B3363" t="s">
        <v>13026</v>
      </c>
    </row>
    <row r="3364" spans="1:2">
      <c r="A3364" t="s">
        <v>13025</v>
      </c>
      <c r="B3364" t="s">
        <v>13027</v>
      </c>
    </row>
    <row r="3365" spans="1:2">
      <c r="A3365" t="s">
        <v>13028</v>
      </c>
      <c r="B3365" t="s">
        <v>13029</v>
      </c>
    </row>
    <row r="3366" spans="1:2">
      <c r="A3366" t="s">
        <v>13028</v>
      </c>
      <c r="B3366" t="s">
        <v>13030</v>
      </c>
    </row>
    <row r="3367" spans="1:2">
      <c r="A3367" t="s">
        <v>13031</v>
      </c>
      <c r="B3367" t="s">
        <v>13032</v>
      </c>
    </row>
    <row r="3368" spans="1:2">
      <c r="A3368" t="s">
        <v>13031</v>
      </c>
      <c r="B3368" t="s">
        <v>13033</v>
      </c>
    </row>
    <row r="3369" spans="1:2">
      <c r="A3369" t="s">
        <v>13034</v>
      </c>
      <c r="B3369" t="s">
        <v>13035</v>
      </c>
    </row>
    <row r="3370" spans="1:2">
      <c r="A3370" t="s">
        <v>13034</v>
      </c>
      <c r="B3370" t="s">
        <v>13035</v>
      </c>
    </row>
    <row r="3371" spans="1:2">
      <c r="A3371" t="s">
        <v>13036</v>
      </c>
      <c r="B3371" t="s">
        <v>13037</v>
      </c>
    </row>
    <row r="3372" spans="1:2">
      <c r="A3372" t="s">
        <v>13036</v>
      </c>
      <c r="B3372" t="s">
        <v>13038</v>
      </c>
    </row>
    <row r="3373" spans="1:2">
      <c r="A3373" t="s">
        <v>13039</v>
      </c>
      <c r="B3373" t="s">
        <v>13040</v>
      </c>
    </row>
    <row r="3374" spans="1:2">
      <c r="A3374" t="s">
        <v>13039</v>
      </c>
      <c r="B3374" t="s">
        <v>13040</v>
      </c>
    </row>
    <row r="3375" spans="1:2">
      <c r="A3375" t="s">
        <v>13041</v>
      </c>
      <c r="B3375" t="s">
        <v>13042</v>
      </c>
    </row>
    <row r="3376" spans="1:2">
      <c r="A3376" t="s">
        <v>13041</v>
      </c>
      <c r="B3376" t="s">
        <v>13043</v>
      </c>
    </row>
    <row r="3377" spans="1:2">
      <c r="A3377" t="s">
        <v>13044</v>
      </c>
      <c r="B3377" t="s">
        <v>13045</v>
      </c>
    </row>
    <row r="3378" spans="1:2">
      <c r="A3378" t="s">
        <v>13044</v>
      </c>
      <c r="B3378" t="s">
        <v>13046</v>
      </c>
    </row>
    <row r="3379" spans="1:2">
      <c r="A3379" t="s">
        <v>13047</v>
      </c>
      <c r="B3379" t="s">
        <v>13048</v>
      </c>
    </row>
    <row r="3380" spans="1:2">
      <c r="A3380" t="s">
        <v>13047</v>
      </c>
      <c r="B3380" t="s">
        <v>13048</v>
      </c>
    </row>
    <row r="3381" spans="1:2">
      <c r="A3381" t="s">
        <v>13049</v>
      </c>
      <c r="B3381" t="s">
        <v>13050</v>
      </c>
    </row>
    <row r="3382" spans="1:2">
      <c r="A3382" t="s">
        <v>13049</v>
      </c>
      <c r="B3382" t="s">
        <v>13050</v>
      </c>
    </row>
    <row r="3383" spans="1:2">
      <c r="A3383" t="s">
        <v>13051</v>
      </c>
      <c r="B3383" t="s">
        <v>13052</v>
      </c>
    </row>
    <row r="3384" spans="1:2">
      <c r="A3384" t="s">
        <v>13051</v>
      </c>
      <c r="B3384" t="s">
        <v>13053</v>
      </c>
    </row>
    <row r="3385" spans="1:2">
      <c r="A3385" t="s">
        <v>13054</v>
      </c>
      <c r="B3385" t="s">
        <v>13055</v>
      </c>
    </row>
    <row r="3386" spans="1:2">
      <c r="A3386" t="s">
        <v>13054</v>
      </c>
      <c r="B3386" t="s">
        <v>13056</v>
      </c>
    </row>
    <row r="3387" spans="1:2">
      <c r="A3387" t="s">
        <v>13057</v>
      </c>
      <c r="B3387" t="s">
        <v>13058</v>
      </c>
    </row>
    <row r="3388" spans="1:2">
      <c r="A3388" t="s">
        <v>13057</v>
      </c>
      <c r="B3388" t="s">
        <v>13059</v>
      </c>
    </row>
    <row r="3389" spans="1:2">
      <c r="A3389" t="s">
        <v>13060</v>
      </c>
      <c r="B3389" t="s">
        <v>13061</v>
      </c>
    </row>
    <row r="3390" spans="1:2">
      <c r="A3390" t="s">
        <v>13060</v>
      </c>
      <c r="B3390" t="s">
        <v>13062</v>
      </c>
    </row>
    <row r="3391" spans="1:2">
      <c r="A3391" t="s">
        <v>13063</v>
      </c>
      <c r="B3391" t="s">
        <v>13064</v>
      </c>
    </row>
    <row r="3392" spans="1:2">
      <c r="A3392" t="s">
        <v>13063</v>
      </c>
      <c r="B3392" t="s">
        <v>13065</v>
      </c>
    </row>
    <row r="3393" spans="1:2">
      <c r="A3393" t="s">
        <v>13066</v>
      </c>
      <c r="B3393" t="s">
        <v>13067</v>
      </c>
    </row>
    <row r="3394" spans="1:2">
      <c r="A3394" t="s">
        <v>13066</v>
      </c>
      <c r="B3394" t="s">
        <v>13068</v>
      </c>
    </row>
    <row r="3395" spans="1:2">
      <c r="A3395" t="s">
        <v>13069</v>
      </c>
      <c r="B3395" t="s">
        <v>13070</v>
      </c>
    </row>
    <row r="3396" spans="1:2">
      <c r="A3396" t="s">
        <v>13071</v>
      </c>
      <c r="B3396" t="s">
        <v>13072</v>
      </c>
    </row>
    <row r="3397" spans="1:2">
      <c r="A3397" t="s">
        <v>13073</v>
      </c>
      <c r="B3397" t="s">
        <v>13074</v>
      </c>
    </row>
    <row r="3398" spans="1:2">
      <c r="A3398" t="s">
        <v>13075</v>
      </c>
      <c r="B3398" t="s">
        <v>13076</v>
      </c>
    </row>
    <row r="3399" spans="1:2">
      <c r="A3399" t="s">
        <v>13077</v>
      </c>
      <c r="B3399" t="s">
        <v>13078</v>
      </c>
    </row>
    <row r="3400" spans="1:2">
      <c r="A3400" t="s">
        <v>13079</v>
      </c>
      <c r="B3400" t="s">
        <v>13080</v>
      </c>
    </row>
    <row r="3401" spans="1:2">
      <c r="A3401" t="s">
        <v>13081</v>
      </c>
      <c r="B3401" t="s">
        <v>13082</v>
      </c>
    </row>
    <row r="3402" spans="1:2">
      <c r="A3402" t="s">
        <v>13083</v>
      </c>
      <c r="B3402" t="s">
        <v>13084</v>
      </c>
    </row>
    <row r="3403" spans="1:2">
      <c r="A3403" t="s">
        <v>13085</v>
      </c>
      <c r="B3403" t="s">
        <v>13086</v>
      </c>
    </row>
    <row r="3404" spans="1:2">
      <c r="A3404" t="s">
        <v>13087</v>
      </c>
      <c r="B3404" t="s">
        <v>13088</v>
      </c>
    </row>
    <row r="3405" spans="1:2">
      <c r="A3405" t="s">
        <v>13089</v>
      </c>
      <c r="B3405" t="s">
        <v>13090</v>
      </c>
    </row>
    <row r="3406" spans="1:2">
      <c r="A3406" t="s">
        <v>13091</v>
      </c>
      <c r="B3406" t="s">
        <v>13092</v>
      </c>
    </row>
    <row r="3407" spans="1:2">
      <c r="A3407" t="s">
        <v>13093</v>
      </c>
      <c r="B3407" t="s">
        <v>13094</v>
      </c>
    </row>
    <row r="3408" spans="1:2">
      <c r="A3408" t="s">
        <v>13095</v>
      </c>
      <c r="B3408" t="s">
        <v>13096</v>
      </c>
    </row>
    <row r="3409" spans="1:2">
      <c r="A3409" t="s">
        <v>13097</v>
      </c>
      <c r="B3409" t="s">
        <v>13098</v>
      </c>
    </row>
    <row r="3410" spans="1:2">
      <c r="A3410" t="s">
        <v>13099</v>
      </c>
      <c r="B3410" t="s">
        <v>13100</v>
      </c>
    </row>
    <row r="3411" spans="1:2">
      <c r="A3411" t="s">
        <v>13101</v>
      </c>
      <c r="B3411" t="s">
        <v>13102</v>
      </c>
    </row>
    <row r="3412" spans="1:2">
      <c r="A3412" t="s">
        <v>13103</v>
      </c>
      <c r="B3412" t="s">
        <v>13104</v>
      </c>
    </row>
    <row r="3413" spans="1:2">
      <c r="A3413" t="s">
        <v>13105</v>
      </c>
      <c r="B3413" t="s">
        <v>13106</v>
      </c>
    </row>
    <row r="3414" spans="1:2">
      <c r="A3414" t="s">
        <v>13107</v>
      </c>
      <c r="B3414" t="s">
        <v>13108</v>
      </c>
    </row>
    <row r="3415" spans="1:2">
      <c r="A3415" t="s">
        <v>13109</v>
      </c>
      <c r="B3415" t="s">
        <v>13110</v>
      </c>
    </row>
    <row r="3416" spans="1:2">
      <c r="A3416" t="s">
        <v>13111</v>
      </c>
      <c r="B3416" t="s">
        <v>13112</v>
      </c>
    </row>
    <row r="3417" spans="1:2">
      <c r="A3417" t="s">
        <v>13113</v>
      </c>
      <c r="B3417" t="s">
        <v>13114</v>
      </c>
    </row>
    <row r="3418" spans="1:2">
      <c r="A3418" t="s">
        <v>13115</v>
      </c>
      <c r="B3418" t="s">
        <v>13116</v>
      </c>
    </row>
    <row r="3419" spans="1:2">
      <c r="A3419" t="s">
        <v>13117</v>
      </c>
      <c r="B3419" t="s">
        <v>13118</v>
      </c>
    </row>
    <row r="3420" spans="1:2">
      <c r="A3420" t="s">
        <v>13119</v>
      </c>
      <c r="B3420" t="s">
        <v>13120</v>
      </c>
    </row>
    <row r="3421" spans="1:2">
      <c r="A3421" t="s">
        <v>13121</v>
      </c>
      <c r="B3421" t="s">
        <v>13122</v>
      </c>
    </row>
    <row r="3422" spans="1:2">
      <c r="A3422" t="s">
        <v>13123</v>
      </c>
      <c r="B3422" t="s">
        <v>13124</v>
      </c>
    </row>
    <row r="3423" spans="1:2">
      <c r="A3423" t="s">
        <v>13125</v>
      </c>
      <c r="B3423" t="s">
        <v>13126</v>
      </c>
    </row>
    <row r="3424" spans="1:2">
      <c r="A3424" t="s">
        <v>13127</v>
      </c>
      <c r="B3424" t="s">
        <v>13128</v>
      </c>
    </row>
    <row r="3425" spans="1:2">
      <c r="A3425" t="s">
        <v>13129</v>
      </c>
      <c r="B3425" t="s">
        <v>13130</v>
      </c>
    </row>
    <row r="3426" spans="1:2">
      <c r="A3426" t="s">
        <v>13131</v>
      </c>
      <c r="B3426" t="s">
        <v>13132</v>
      </c>
    </row>
    <row r="3427" spans="1:2">
      <c r="A3427" t="s">
        <v>13133</v>
      </c>
      <c r="B3427" t="s">
        <v>13134</v>
      </c>
    </row>
    <row r="3428" spans="1:2">
      <c r="A3428" t="s">
        <v>13135</v>
      </c>
      <c r="B3428" t="s">
        <v>13136</v>
      </c>
    </row>
    <row r="3429" spans="1:2">
      <c r="A3429" t="s">
        <v>13137</v>
      </c>
      <c r="B3429" t="s">
        <v>13138</v>
      </c>
    </row>
    <row r="3430" spans="1:2">
      <c r="A3430" t="s">
        <v>13139</v>
      </c>
      <c r="B3430" t="s">
        <v>13140</v>
      </c>
    </row>
    <row r="3431" spans="1:2">
      <c r="A3431" t="s">
        <v>13141</v>
      </c>
      <c r="B3431" t="s">
        <v>13142</v>
      </c>
    </row>
    <row r="3432" spans="1:2">
      <c r="A3432" t="s">
        <v>13143</v>
      </c>
      <c r="B3432" t="s">
        <v>13144</v>
      </c>
    </row>
    <row r="3433" spans="1:2">
      <c r="A3433" t="s">
        <v>13145</v>
      </c>
      <c r="B3433" t="s">
        <v>13146</v>
      </c>
    </row>
    <row r="3434" spans="1:2">
      <c r="A3434" t="s">
        <v>13147</v>
      </c>
      <c r="B3434" t="s">
        <v>13148</v>
      </c>
    </row>
    <row r="3435" spans="1:2">
      <c r="A3435" t="s">
        <v>13149</v>
      </c>
      <c r="B3435" t="s">
        <v>13150</v>
      </c>
    </row>
    <row r="3436" spans="1:2">
      <c r="A3436" t="s">
        <v>13151</v>
      </c>
      <c r="B3436" t="s">
        <v>13152</v>
      </c>
    </row>
    <row r="3437" spans="1:2">
      <c r="A3437" t="s">
        <v>13153</v>
      </c>
      <c r="B3437" t="s">
        <v>13154</v>
      </c>
    </row>
    <row r="3438" spans="1:2">
      <c r="A3438" t="s">
        <v>13155</v>
      </c>
      <c r="B3438" t="s">
        <v>13156</v>
      </c>
    </row>
    <row r="3439" spans="1:2">
      <c r="A3439" t="s">
        <v>13157</v>
      </c>
      <c r="B3439" t="s">
        <v>13158</v>
      </c>
    </row>
    <row r="3440" spans="1:2">
      <c r="A3440" t="s">
        <v>13159</v>
      </c>
      <c r="B3440" t="s">
        <v>13160</v>
      </c>
    </row>
    <row r="3441" spans="1:2">
      <c r="A3441" t="s">
        <v>13161</v>
      </c>
      <c r="B3441" t="s">
        <v>13162</v>
      </c>
    </row>
    <row r="3442" spans="1:2">
      <c r="A3442" t="s">
        <v>13163</v>
      </c>
      <c r="B3442" t="s">
        <v>13164</v>
      </c>
    </row>
    <row r="3443" spans="1:2">
      <c r="A3443" t="s">
        <v>13165</v>
      </c>
      <c r="B3443" t="s">
        <v>13166</v>
      </c>
    </row>
    <row r="3444" spans="1:2">
      <c r="A3444" t="s">
        <v>13167</v>
      </c>
      <c r="B3444" t="s">
        <v>13168</v>
      </c>
    </row>
    <row r="3445" spans="1:2">
      <c r="A3445" t="s">
        <v>13169</v>
      </c>
      <c r="B3445" t="s">
        <v>13170</v>
      </c>
    </row>
    <row r="3446" spans="1:2">
      <c r="A3446" t="s">
        <v>13171</v>
      </c>
      <c r="B3446" t="s">
        <v>728</v>
      </c>
    </row>
    <row r="3447" spans="1:2">
      <c r="A3447" t="s">
        <v>13172</v>
      </c>
      <c r="B3447" t="s">
        <v>13173</v>
      </c>
    </row>
    <row r="3448" spans="1:2">
      <c r="A3448" t="s">
        <v>13174</v>
      </c>
      <c r="B3448" t="s">
        <v>13175</v>
      </c>
    </row>
    <row r="3449" spans="1:2">
      <c r="A3449" t="s">
        <v>13176</v>
      </c>
      <c r="B3449" t="s">
        <v>13177</v>
      </c>
    </row>
    <row r="3450" spans="1:2">
      <c r="A3450" t="s">
        <v>13178</v>
      </c>
      <c r="B3450" t="s">
        <v>13179</v>
      </c>
    </row>
    <row r="3451" spans="1:2">
      <c r="A3451" t="s">
        <v>13180</v>
      </c>
      <c r="B3451" t="s">
        <v>13181</v>
      </c>
    </row>
    <row r="3452" spans="1:2">
      <c r="A3452" t="s">
        <v>13182</v>
      </c>
      <c r="B3452" t="s">
        <v>13183</v>
      </c>
    </row>
    <row r="3453" spans="1:2">
      <c r="A3453" t="s">
        <v>13184</v>
      </c>
      <c r="B3453" t="s">
        <v>13185</v>
      </c>
    </row>
    <row r="3454" spans="1:2">
      <c r="A3454" t="s">
        <v>13186</v>
      </c>
      <c r="B3454" t="s">
        <v>13187</v>
      </c>
    </row>
    <row r="3455" spans="1:2">
      <c r="A3455" t="s">
        <v>13188</v>
      </c>
      <c r="B3455" t="s">
        <v>13189</v>
      </c>
    </row>
    <row r="3456" spans="1:2">
      <c r="A3456" t="s">
        <v>13190</v>
      </c>
      <c r="B3456" t="s">
        <v>13191</v>
      </c>
    </row>
    <row r="3457" spans="1:2">
      <c r="A3457" t="s">
        <v>13192</v>
      </c>
      <c r="B3457" t="s">
        <v>13193</v>
      </c>
    </row>
    <row r="3458" spans="1:2">
      <c r="A3458" t="s">
        <v>13194</v>
      </c>
      <c r="B3458" t="s">
        <v>13195</v>
      </c>
    </row>
    <row r="3459" spans="1:2">
      <c r="A3459" t="s">
        <v>13196</v>
      </c>
      <c r="B3459" t="s">
        <v>13197</v>
      </c>
    </row>
    <row r="3460" spans="1:2">
      <c r="A3460" t="s">
        <v>13198</v>
      </c>
      <c r="B3460" t="s">
        <v>13199</v>
      </c>
    </row>
    <row r="3461" spans="1:2">
      <c r="A3461" t="s">
        <v>13200</v>
      </c>
      <c r="B3461" t="s">
        <v>13201</v>
      </c>
    </row>
    <row r="3462" spans="1:2">
      <c r="A3462" t="s">
        <v>13202</v>
      </c>
      <c r="B3462" t="s">
        <v>13203</v>
      </c>
    </row>
    <row r="3463" spans="1:2">
      <c r="A3463" t="s">
        <v>13204</v>
      </c>
      <c r="B3463" t="s">
        <v>13205</v>
      </c>
    </row>
    <row r="3464" spans="1:2">
      <c r="A3464" t="s">
        <v>13206</v>
      </c>
      <c r="B3464" t="s">
        <v>13207</v>
      </c>
    </row>
    <row r="3465" spans="1:2">
      <c r="A3465" t="s">
        <v>13208</v>
      </c>
      <c r="B3465" t="s">
        <v>13209</v>
      </c>
    </row>
    <row r="3466" spans="1:2">
      <c r="A3466" t="s">
        <v>13210</v>
      </c>
      <c r="B3466" t="s">
        <v>13211</v>
      </c>
    </row>
    <row r="3467" spans="1:2">
      <c r="A3467" t="s">
        <v>13212</v>
      </c>
      <c r="B3467" t="s">
        <v>13213</v>
      </c>
    </row>
    <row r="3468" spans="1:2">
      <c r="A3468" t="s">
        <v>13214</v>
      </c>
      <c r="B3468" t="s">
        <v>13215</v>
      </c>
    </row>
    <row r="3469" spans="1:2">
      <c r="A3469" t="s">
        <v>13216</v>
      </c>
      <c r="B3469" t="s">
        <v>13217</v>
      </c>
    </row>
    <row r="3470" spans="1:2">
      <c r="A3470" t="s">
        <v>13218</v>
      </c>
      <c r="B3470" t="s">
        <v>13219</v>
      </c>
    </row>
    <row r="3471" spans="1:2">
      <c r="A3471" t="s">
        <v>13220</v>
      </c>
      <c r="B3471" t="s">
        <v>13221</v>
      </c>
    </row>
    <row r="3472" spans="1:2">
      <c r="A3472" t="s">
        <v>13222</v>
      </c>
      <c r="B3472" t="s">
        <v>13223</v>
      </c>
    </row>
    <row r="3473" spans="1:2">
      <c r="A3473" t="s">
        <v>13224</v>
      </c>
      <c r="B3473" t="s">
        <v>13225</v>
      </c>
    </row>
    <row r="3474" spans="1:2">
      <c r="A3474" t="s">
        <v>13226</v>
      </c>
      <c r="B3474" t="s">
        <v>13227</v>
      </c>
    </row>
    <row r="3475" spans="1:2">
      <c r="A3475" t="s">
        <v>13228</v>
      </c>
      <c r="B3475" t="s">
        <v>13229</v>
      </c>
    </row>
    <row r="3476" spans="1:2">
      <c r="A3476" t="s">
        <v>13230</v>
      </c>
      <c r="B3476" t="s">
        <v>13231</v>
      </c>
    </row>
    <row r="3477" spans="1:2">
      <c r="A3477" t="s">
        <v>13232</v>
      </c>
      <c r="B3477" t="s">
        <v>13233</v>
      </c>
    </row>
    <row r="3478" spans="1:2">
      <c r="A3478" t="s">
        <v>13234</v>
      </c>
      <c r="B3478" t="s">
        <v>13235</v>
      </c>
    </row>
    <row r="3479" spans="1:2">
      <c r="A3479" t="s">
        <v>13236</v>
      </c>
      <c r="B3479" t="s">
        <v>13237</v>
      </c>
    </row>
    <row r="3480" spans="1:2">
      <c r="A3480" t="s">
        <v>13238</v>
      </c>
      <c r="B3480" t="s">
        <v>13239</v>
      </c>
    </row>
    <row r="3481" spans="1:2">
      <c r="A3481" t="s">
        <v>13240</v>
      </c>
      <c r="B3481" t="s">
        <v>13241</v>
      </c>
    </row>
    <row r="3482" spans="1:2">
      <c r="A3482" t="s">
        <v>13242</v>
      </c>
      <c r="B3482" t="s">
        <v>13243</v>
      </c>
    </row>
    <row r="3483" spans="1:2">
      <c r="A3483" t="s">
        <v>13244</v>
      </c>
      <c r="B3483" t="s">
        <v>13245</v>
      </c>
    </row>
    <row r="3484" spans="1:2">
      <c r="A3484" t="s">
        <v>13246</v>
      </c>
      <c r="B3484" t="s">
        <v>13247</v>
      </c>
    </row>
    <row r="3485" spans="1:2">
      <c r="A3485" t="s">
        <v>13248</v>
      </c>
      <c r="B3485" t="s">
        <v>13249</v>
      </c>
    </row>
    <row r="3486" spans="1:2">
      <c r="A3486" t="s">
        <v>13250</v>
      </c>
      <c r="B3486" t="s">
        <v>13251</v>
      </c>
    </row>
    <row r="3487" spans="1:2">
      <c r="A3487" t="s">
        <v>13252</v>
      </c>
      <c r="B3487" t="s">
        <v>13253</v>
      </c>
    </row>
    <row r="3488" spans="1:2">
      <c r="A3488" t="s">
        <v>13254</v>
      </c>
      <c r="B3488" t="s">
        <v>13255</v>
      </c>
    </row>
    <row r="3489" spans="1:2">
      <c r="A3489" t="s">
        <v>13256</v>
      </c>
      <c r="B3489" t="s">
        <v>13257</v>
      </c>
    </row>
    <row r="3490" spans="1:2">
      <c r="A3490" t="s">
        <v>13258</v>
      </c>
      <c r="B3490" t="s">
        <v>13259</v>
      </c>
    </row>
    <row r="3491" spans="1:2">
      <c r="A3491" t="s">
        <v>13260</v>
      </c>
      <c r="B3491" t="s">
        <v>1460</v>
      </c>
    </row>
    <row r="3492" spans="1:2">
      <c r="A3492" t="s">
        <v>13261</v>
      </c>
      <c r="B3492" t="s">
        <v>13262</v>
      </c>
    </row>
    <row r="3493" spans="1:2">
      <c r="A3493" t="s">
        <v>13263</v>
      </c>
      <c r="B3493" t="s">
        <v>13264</v>
      </c>
    </row>
    <row r="3494" spans="1:2">
      <c r="A3494" t="s">
        <v>13265</v>
      </c>
      <c r="B3494" t="s">
        <v>13266</v>
      </c>
    </row>
    <row r="3495" spans="1:2">
      <c r="A3495" t="s">
        <v>13267</v>
      </c>
      <c r="B3495" t="s">
        <v>13268</v>
      </c>
    </row>
    <row r="3496" spans="1:2">
      <c r="A3496" t="s">
        <v>13269</v>
      </c>
      <c r="B3496" t="s">
        <v>13270</v>
      </c>
    </row>
    <row r="3497" spans="1:2">
      <c r="A3497" t="s">
        <v>13271</v>
      </c>
      <c r="B3497" t="s">
        <v>13272</v>
      </c>
    </row>
    <row r="3498" spans="1:2">
      <c r="A3498" t="s">
        <v>13273</v>
      </c>
      <c r="B3498" t="s">
        <v>13274</v>
      </c>
    </row>
    <row r="3499" spans="1:2">
      <c r="A3499" t="s">
        <v>13275</v>
      </c>
      <c r="B3499" t="s">
        <v>13276</v>
      </c>
    </row>
    <row r="3500" spans="1:2">
      <c r="A3500" t="s">
        <v>13277</v>
      </c>
      <c r="B3500" t="s">
        <v>13278</v>
      </c>
    </row>
    <row r="3501" spans="1:2">
      <c r="A3501" t="s">
        <v>13279</v>
      </c>
      <c r="B3501" t="s">
        <v>13280</v>
      </c>
    </row>
    <row r="3502" spans="1:2">
      <c r="A3502" t="s">
        <v>13281</v>
      </c>
      <c r="B3502" t="s">
        <v>13282</v>
      </c>
    </row>
    <row r="3503" spans="1:2">
      <c r="A3503" t="s">
        <v>13283</v>
      </c>
      <c r="B3503" t="s">
        <v>13284</v>
      </c>
    </row>
    <row r="3504" spans="1:2">
      <c r="A3504" t="s">
        <v>13285</v>
      </c>
      <c r="B3504" t="s">
        <v>13286</v>
      </c>
    </row>
    <row r="3505" spans="1:2">
      <c r="A3505" t="s">
        <v>13287</v>
      </c>
      <c r="B3505" t="s">
        <v>13288</v>
      </c>
    </row>
    <row r="3506" spans="1:2">
      <c r="A3506" t="s">
        <v>13289</v>
      </c>
      <c r="B3506" t="s">
        <v>13290</v>
      </c>
    </row>
    <row r="3507" spans="1:2">
      <c r="A3507" t="s">
        <v>13291</v>
      </c>
      <c r="B3507" t="s">
        <v>13292</v>
      </c>
    </row>
    <row r="3508" spans="1:2">
      <c r="A3508" t="s">
        <v>13293</v>
      </c>
      <c r="B3508" t="s">
        <v>13294</v>
      </c>
    </row>
    <row r="3509" spans="1:2">
      <c r="A3509" t="s">
        <v>13295</v>
      </c>
      <c r="B3509" t="s">
        <v>13296</v>
      </c>
    </row>
    <row r="3510" spans="1:2">
      <c r="A3510" t="s">
        <v>13297</v>
      </c>
      <c r="B3510" t="s">
        <v>13298</v>
      </c>
    </row>
    <row r="3511" spans="1:2">
      <c r="A3511" t="s">
        <v>13299</v>
      </c>
      <c r="B3511" t="s">
        <v>13300</v>
      </c>
    </row>
    <row r="3512" spans="1:2">
      <c r="A3512" t="s">
        <v>13301</v>
      </c>
      <c r="B3512" t="s">
        <v>13302</v>
      </c>
    </row>
    <row r="3513" spans="1:2">
      <c r="A3513" t="s">
        <v>13303</v>
      </c>
      <c r="B3513" t="s">
        <v>13304</v>
      </c>
    </row>
    <row r="3514" spans="1:2">
      <c r="A3514" t="s">
        <v>13305</v>
      </c>
      <c r="B3514" t="s">
        <v>13306</v>
      </c>
    </row>
    <row r="3515" spans="1:2">
      <c r="A3515" t="s">
        <v>13307</v>
      </c>
      <c r="B3515" t="s">
        <v>13308</v>
      </c>
    </row>
    <row r="3516" spans="1:2">
      <c r="A3516" t="s">
        <v>13309</v>
      </c>
      <c r="B3516" t="s">
        <v>13310</v>
      </c>
    </row>
    <row r="3517" spans="1:2">
      <c r="A3517" t="s">
        <v>13311</v>
      </c>
      <c r="B3517" t="s">
        <v>13312</v>
      </c>
    </row>
    <row r="3518" spans="1:2">
      <c r="A3518" t="s">
        <v>13313</v>
      </c>
      <c r="B3518" t="s">
        <v>13314</v>
      </c>
    </row>
    <row r="3519" spans="1:2">
      <c r="A3519" t="s">
        <v>13315</v>
      </c>
      <c r="B3519" t="s">
        <v>13316</v>
      </c>
    </row>
    <row r="3520" spans="1:2">
      <c r="A3520" t="s">
        <v>13317</v>
      </c>
      <c r="B3520" t="s">
        <v>13318</v>
      </c>
    </row>
    <row r="3521" spans="1:2">
      <c r="A3521" t="s">
        <v>13319</v>
      </c>
      <c r="B3521" t="s">
        <v>13320</v>
      </c>
    </row>
    <row r="3522" spans="1:2">
      <c r="A3522" t="s">
        <v>13321</v>
      </c>
      <c r="B3522" t="s">
        <v>13322</v>
      </c>
    </row>
    <row r="3523" spans="1:2">
      <c r="A3523" t="s">
        <v>13323</v>
      </c>
      <c r="B3523" t="s">
        <v>13324</v>
      </c>
    </row>
    <row r="3524" spans="1:2">
      <c r="A3524" t="s">
        <v>13325</v>
      </c>
      <c r="B3524" t="s">
        <v>13326</v>
      </c>
    </row>
    <row r="3525" spans="1:2">
      <c r="A3525" t="s">
        <v>13327</v>
      </c>
      <c r="B3525" t="s">
        <v>13328</v>
      </c>
    </row>
    <row r="3526" spans="1:2">
      <c r="A3526" t="s">
        <v>13329</v>
      </c>
      <c r="B3526" t="s">
        <v>13330</v>
      </c>
    </row>
    <row r="3527" spans="1:2">
      <c r="A3527" t="s">
        <v>13331</v>
      </c>
      <c r="B3527" t="s">
        <v>13332</v>
      </c>
    </row>
    <row r="3528" spans="1:2">
      <c r="A3528" t="s">
        <v>13333</v>
      </c>
      <c r="B3528" t="s">
        <v>13334</v>
      </c>
    </row>
    <row r="3529" spans="1:2">
      <c r="A3529" t="s">
        <v>13335</v>
      </c>
      <c r="B3529" t="s">
        <v>9073</v>
      </c>
    </row>
    <row r="3530" spans="1:2">
      <c r="A3530" t="s">
        <v>13336</v>
      </c>
      <c r="B3530" t="s">
        <v>13337</v>
      </c>
    </row>
    <row r="3531" spans="1:2">
      <c r="A3531" t="s">
        <v>13338</v>
      </c>
      <c r="B3531" t="s">
        <v>13339</v>
      </c>
    </row>
    <row r="3532" spans="1:2">
      <c r="A3532" t="s">
        <v>13340</v>
      </c>
      <c r="B3532" t="s">
        <v>13341</v>
      </c>
    </row>
    <row r="3533" spans="1:2">
      <c r="A3533" t="s">
        <v>13342</v>
      </c>
      <c r="B3533" t="s">
        <v>13343</v>
      </c>
    </row>
    <row r="3534" spans="1:2">
      <c r="A3534" t="s">
        <v>13344</v>
      </c>
      <c r="B3534" t="s">
        <v>13345</v>
      </c>
    </row>
    <row r="3535" spans="1:2">
      <c r="A3535" t="s">
        <v>13346</v>
      </c>
      <c r="B3535" t="s">
        <v>13347</v>
      </c>
    </row>
    <row r="3536" spans="1:2">
      <c r="A3536" t="s">
        <v>13346</v>
      </c>
      <c r="B3536" t="s">
        <v>792</v>
      </c>
    </row>
    <row r="3537" spans="1:2">
      <c r="A3537" t="s">
        <v>13348</v>
      </c>
      <c r="B3537" t="s">
        <v>13349</v>
      </c>
    </row>
    <row r="3538" spans="1:2">
      <c r="A3538" t="s">
        <v>13348</v>
      </c>
      <c r="B3538" t="s">
        <v>13350</v>
      </c>
    </row>
    <row r="3539" spans="1:2">
      <c r="A3539" t="s">
        <v>13351</v>
      </c>
      <c r="B3539" t="s">
        <v>13352</v>
      </c>
    </row>
    <row r="3540" spans="1:2">
      <c r="A3540" t="s">
        <v>13351</v>
      </c>
      <c r="B3540" t="s">
        <v>13353</v>
      </c>
    </row>
    <row r="3541" spans="1:2">
      <c r="A3541" t="s">
        <v>13354</v>
      </c>
      <c r="B3541" t="s">
        <v>13355</v>
      </c>
    </row>
    <row r="3542" spans="1:2">
      <c r="A3542" t="s">
        <v>13354</v>
      </c>
      <c r="B3542" t="s">
        <v>13355</v>
      </c>
    </row>
    <row r="3543" spans="1:2">
      <c r="A3543" t="s">
        <v>13356</v>
      </c>
      <c r="B3543" t="s">
        <v>13357</v>
      </c>
    </row>
    <row r="3544" spans="1:2">
      <c r="A3544" t="s">
        <v>13356</v>
      </c>
      <c r="B3544" t="s">
        <v>13357</v>
      </c>
    </row>
    <row r="3545" spans="1:2">
      <c r="A3545" t="s">
        <v>13358</v>
      </c>
      <c r="B3545" t="s">
        <v>13359</v>
      </c>
    </row>
    <row r="3546" spans="1:2">
      <c r="A3546" t="s">
        <v>13358</v>
      </c>
      <c r="B3546" t="s">
        <v>13359</v>
      </c>
    </row>
    <row r="3547" spans="1:2">
      <c r="A3547" t="s">
        <v>13360</v>
      </c>
      <c r="B3547" t="s">
        <v>13361</v>
      </c>
    </row>
    <row r="3548" spans="1:2">
      <c r="A3548" t="s">
        <v>13360</v>
      </c>
      <c r="B3548" t="s">
        <v>13361</v>
      </c>
    </row>
    <row r="3549" spans="1:2">
      <c r="A3549" t="s">
        <v>13362</v>
      </c>
      <c r="B3549" t="s">
        <v>13363</v>
      </c>
    </row>
    <row r="3550" spans="1:2">
      <c r="A3550" t="s">
        <v>13362</v>
      </c>
      <c r="B3550" t="s">
        <v>13363</v>
      </c>
    </row>
    <row r="3551" spans="1:2">
      <c r="A3551" t="s">
        <v>13364</v>
      </c>
      <c r="B3551" t="s">
        <v>13365</v>
      </c>
    </row>
    <row r="3552" spans="1:2">
      <c r="A3552" t="s">
        <v>13364</v>
      </c>
      <c r="B3552" t="s">
        <v>13365</v>
      </c>
    </row>
    <row r="3553" spans="1:2">
      <c r="A3553" t="s">
        <v>13366</v>
      </c>
      <c r="B3553" t="s">
        <v>13367</v>
      </c>
    </row>
    <row r="3554" spans="1:2">
      <c r="A3554" t="s">
        <v>13366</v>
      </c>
      <c r="B3554" t="s">
        <v>13367</v>
      </c>
    </row>
    <row r="3555" spans="1:2">
      <c r="A3555" t="s">
        <v>13368</v>
      </c>
      <c r="B3555" t="s">
        <v>13369</v>
      </c>
    </row>
    <row r="3556" spans="1:2">
      <c r="A3556" t="s">
        <v>13368</v>
      </c>
      <c r="B3556" t="s">
        <v>13369</v>
      </c>
    </row>
    <row r="3557" spans="1:2">
      <c r="A3557" t="s">
        <v>13370</v>
      </c>
      <c r="B3557" t="s">
        <v>13371</v>
      </c>
    </row>
    <row r="3558" spans="1:2">
      <c r="A3558" t="s">
        <v>13370</v>
      </c>
      <c r="B3558" t="s">
        <v>13371</v>
      </c>
    </row>
    <row r="3559" spans="1:2">
      <c r="A3559" t="s">
        <v>13372</v>
      </c>
      <c r="B3559" t="s">
        <v>13373</v>
      </c>
    </row>
    <row r="3560" spans="1:2">
      <c r="A3560" t="s">
        <v>13372</v>
      </c>
      <c r="B3560" t="s">
        <v>13373</v>
      </c>
    </row>
    <row r="3561" spans="1:2">
      <c r="A3561" t="s">
        <v>13374</v>
      </c>
      <c r="B3561" t="s">
        <v>13375</v>
      </c>
    </row>
    <row r="3562" spans="1:2">
      <c r="A3562" t="s">
        <v>13374</v>
      </c>
      <c r="B3562" t="s">
        <v>13375</v>
      </c>
    </row>
    <row r="3563" spans="1:2">
      <c r="A3563" t="s">
        <v>13376</v>
      </c>
      <c r="B3563" t="s">
        <v>13377</v>
      </c>
    </row>
    <row r="3564" spans="1:2">
      <c r="A3564" t="s">
        <v>13376</v>
      </c>
      <c r="B3564" t="s">
        <v>13377</v>
      </c>
    </row>
    <row r="3565" spans="1:2">
      <c r="A3565" t="s">
        <v>13378</v>
      </c>
      <c r="B3565" t="s">
        <v>13379</v>
      </c>
    </row>
    <row r="3566" spans="1:2">
      <c r="A3566" t="s">
        <v>13378</v>
      </c>
      <c r="B3566" t="s">
        <v>13379</v>
      </c>
    </row>
    <row r="3567" spans="1:2">
      <c r="A3567" t="s">
        <v>13380</v>
      </c>
      <c r="B3567" t="s">
        <v>13381</v>
      </c>
    </row>
    <row r="3568" spans="1:2">
      <c r="A3568" t="s">
        <v>13380</v>
      </c>
      <c r="B3568" t="s">
        <v>13381</v>
      </c>
    </row>
    <row r="3569" spans="1:2">
      <c r="A3569" t="s">
        <v>13382</v>
      </c>
      <c r="B3569" t="s">
        <v>13383</v>
      </c>
    </row>
    <row r="3570" spans="1:2">
      <c r="A3570" t="s">
        <v>13382</v>
      </c>
      <c r="B3570" t="s">
        <v>13383</v>
      </c>
    </row>
    <row r="3571" spans="1:2">
      <c r="A3571" t="s">
        <v>13384</v>
      </c>
      <c r="B3571" t="s">
        <v>13385</v>
      </c>
    </row>
    <row r="3572" spans="1:2">
      <c r="A3572" t="s">
        <v>13384</v>
      </c>
      <c r="B3572" t="s">
        <v>13385</v>
      </c>
    </row>
    <row r="3573" spans="1:2">
      <c r="A3573" t="s">
        <v>13386</v>
      </c>
      <c r="B3573" t="s">
        <v>13387</v>
      </c>
    </row>
    <row r="3574" spans="1:2">
      <c r="A3574" t="s">
        <v>13386</v>
      </c>
      <c r="B3574" t="s">
        <v>13387</v>
      </c>
    </row>
    <row r="3575" spans="1:2">
      <c r="A3575" t="s">
        <v>13388</v>
      </c>
      <c r="B3575" t="s">
        <v>13389</v>
      </c>
    </row>
    <row r="3576" spans="1:2">
      <c r="A3576" t="s">
        <v>13388</v>
      </c>
      <c r="B3576" t="s">
        <v>13389</v>
      </c>
    </row>
    <row r="3577" spans="1:2">
      <c r="A3577" t="s">
        <v>13390</v>
      </c>
      <c r="B3577" t="s">
        <v>13391</v>
      </c>
    </row>
    <row r="3578" spans="1:2">
      <c r="A3578" t="s">
        <v>13390</v>
      </c>
      <c r="B3578" t="s">
        <v>13391</v>
      </c>
    </row>
    <row r="3579" spans="1:2">
      <c r="A3579" t="s">
        <v>13392</v>
      </c>
      <c r="B3579" t="s">
        <v>13393</v>
      </c>
    </row>
    <row r="3580" spans="1:2">
      <c r="A3580" t="s">
        <v>13392</v>
      </c>
      <c r="B3580" t="s">
        <v>13393</v>
      </c>
    </row>
    <row r="3581" spans="1:2">
      <c r="A3581" t="s">
        <v>13394</v>
      </c>
      <c r="B3581" t="s">
        <v>13395</v>
      </c>
    </row>
    <row r="3582" spans="1:2">
      <c r="A3582" t="s">
        <v>13394</v>
      </c>
      <c r="B3582" t="s">
        <v>13395</v>
      </c>
    </row>
    <row r="3583" spans="1:2">
      <c r="A3583" t="s">
        <v>13396</v>
      </c>
      <c r="B3583" t="s">
        <v>13397</v>
      </c>
    </row>
    <row r="3584" spans="1:2">
      <c r="A3584" t="s">
        <v>13396</v>
      </c>
      <c r="B3584" t="s">
        <v>13397</v>
      </c>
    </row>
    <row r="3585" spans="1:2">
      <c r="A3585" t="s">
        <v>13398</v>
      </c>
      <c r="B3585" t="s">
        <v>13399</v>
      </c>
    </row>
    <row r="3586" spans="1:2">
      <c r="A3586" t="s">
        <v>13398</v>
      </c>
      <c r="B3586" t="s">
        <v>13399</v>
      </c>
    </row>
    <row r="3587" spans="1:2">
      <c r="A3587" t="s">
        <v>13400</v>
      </c>
      <c r="B3587" t="s">
        <v>13401</v>
      </c>
    </row>
    <row r="3588" spans="1:2">
      <c r="A3588" t="s">
        <v>13400</v>
      </c>
      <c r="B3588" t="s">
        <v>13401</v>
      </c>
    </row>
    <row r="3589" spans="1:2">
      <c r="A3589" t="s">
        <v>13402</v>
      </c>
      <c r="B3589" t="s">
        <v>13403</v>
      </c>
    </row>
    <row r="3590" spans="1:2">
      <c r="A3590" t="s">
        <v>13402</v>
      </c>
      <c r="B3590" t="s">
        <v>13403</v>
      </c>
    </row>
    <row r="3591" spans="1:2">
      <c r="A3591" t="s">
        <v>13404</v>
      </c>
      <c r="B3591" t="s">
        <v>13405</v>
      </c>
    </row>
    <row r="3592" spans="1:2">
      <c r="A3592" t="s">
        <v>13404</v>
      </c>
      <c r="B3592" t="s">
        <v>13405</v>
      </c>
    </row>
    <row r="3593" spans="1:2">
      <c r="A3593" t="s">
        <v>13406</v>
      </c>
      <c r="B3593" t="s">
        <v>13407</v>
      </c>
    </row>
    <row r="3594" spans="1:2">
      <c r="A3594" t="s">
        <v>13406</v>
      </c>
      <c r="B3594" t="s">
        <v>13407</v>
      </c>
    </row>
    <row r="3595" spans="1:2">
      <c r="A3595" t="s">
        <v>13408</v>
      </c>
      <c r="B3595" t="s">
        <v>13409</v>
      </c>
    </row>
    <row r="3596" spans="1:2">
      <c r="A3596" t="s">
        <v>13408</v>
      </c>
      <c r="B3596" t="s">
        <v>13409</v>
      </c>
    </row>
    <row r="3597" spans="1:2">
      <c r="A3597" t="s">
        <v>13410</v>
      </c>
      <c r="B3597" t="s">
        <v>13411</v>
      </c>
    </row>
    <row r="3598" spans="1:2">
      <c r="A3598" t="s">
        <v>13410</v>
      </c>
      <c r="B3598" t="s">
        <v>13411</v>
      </c>
    </row>
    <row r="3599" spans="1:2">
      <c r="A3599" t="s">
        <v>13412</v>
      </c>
      <c r="B3599" t="s">
        <v>13413</v>
      </c>
    </row>
    <row r="3600" spans="1:2">
      <c r="A3600" t="s">
        <v>13412</v>
      </c>
      <c r="B3600" t="s">
        <v>13413</v>
      </c>
    </row>
    <row r="3601" spans="1:2">
      <c r="A3601" t="s">
        <v>13414</v>
      </c>
      <c r="B3601" t="s">
        <v>13415</v>
      </c>
    </row>
    <row r="3602" spans="1:2">
      <c r="A3602" t="s">
        <v>13414</v>
      </c>
      <c r="B3602" t="s">
        <v>13415</v>
      </c>
    </row>
    <row r="3603" spans="1:2">
      <c r="A3603" t="s">
        <v>13416</v>
      </c>
      <c r="B3603" t="s">
        <v>13417</v>
      </c>
    </row>
    <row r="3604" spans="1:2">
      <c r="A3604" t="s">
        <v>13416</v>
      </c>
      <c r="B3604" t="s">
        <v>13417</v>
      </c>
    </row>
    <row r="3605" spans="1:2">
      <c r="A3605" t="s">
        <v>13418</v>
      </c>
      <c r="B3605" t="s">
        <v>13419</v>
      </c>
    </row>
    <row r="3606" spans="1:2">
      <c r="A3606" t="s">
        <v>13418</v>
      </c>
      <c r="B3606" t="s">
        <v>13419</v>
      </c>
    </row>
    <row r="3607" spans="1:2">
      <c r="A3607" t="s">
        <v>13420</v>
      </c>
      <c r="B3607" t="s">
        <v>13421</v>
      </c>
    </row>
    <row r="3608" spans="1:2">
      <c r="A3608" t="s">
        <v>13420</v>
      </c>
      <c r="B3608" t="s">
        <v>13421</v>
      </c>
    </row>
    <row r="3609" spans="1:2">
      <c r="A3609" t="s">
        <v>13422</v>
      </c>
      <c r="B3609" t="s">
        <v>13423</v>
      </c>
    </row>
    <row r="3610" spans="1:2">
      <c r="A3610" t="s">
        <v>13422</v>
      </c>
      <c r="B3610" t="s">
        <v>13423</v>
      </c>
    </row>
    <row r="3611" spans="1:2">
      <c r="A3611" t="s">
        <v>13424</v>
      </c>
      <c r="B3611" t="s">
        <v>13425</v>
      </c>
    </row>
    <row r="3612" spans="1:2">
      <c r="A3612" t="s">
        <v>13424</v>
      </c>
      <c r="B3612" t="s">
        <v>13425</v>
      </c>
    </row>
    <row r="3613" spans="1:2">
      <c r="A3613" t="s">
        <v>13426</v>
      </c>
      <c r="B3613" t="s">
        <v>13427</v>
      </c>
    </row>
    <row r="3614" spans="1:2">
      <c r="A3614" t="s">
        <v>13426</v>
      </c>
      <c r="B3614" t="s">
        <v>13427</v>
      </c>
    </row>
    <row r="3615" spans="1:2">
      <c r="A3615" t="s">
        <v>13428</v>
      </c>
      <c r="B3615" t="s">
        <v>13429</v>
      </c>
    </row>
    <row r="3616" spans="1:2">
      <c r="A3616" t="s">
        <v>13428</v>
      </c>
      <c r="B3616" t="s">
        <v>13429</v>
      </c>
    </row>
    <row r="3617" spans="1:2">
      <c r="A3617" t="s">
        <v>13430</v>
      </c>
      <c r="B3617" t="s">
        <v>13431</v>
      </c>
    </row>
    <row r="3618" spans="1:2">
      <c r="A3618" t="s">
        <v>13430</v>
      </c>
      <c r="B3618" t="s">
        <v>13431</v>
      </c>
    </row>
    <row r="3619" spans="1:2">
      <c r="A3619" t="s">
        <v>13432</v>
      </c>
      <c r="B3619" t="s">
        <v>13433</v>
      </c>
    </row>
    <row r="3620" spans="1:2">
      <c r="A3620" t="s">
        <v>13432</v>
      </c>
      <c r="B3620" t="s">
        <v>13433</v>
      </c>
    </row>
    <row r="3621" spans="1:2">
      <c r="A3621" t="s">
        <v>13434</v>
      </c>
      <c r="B3621" t="s">
        <v>13435</v>
      </c>
    </row>
    <row r="3622" spans="1:2">
      <c r="A3622" t="s">
        <v>13434</v>
      </c>
      <c r="B3622" t="s">
        <v>13435</v>
      </c>
    </row>
    <row r="3623" spans="1:2">
      <c r="A3623" t="s">
        <v>13436</v>
      </c>
      <c r="B3623" t="s">
        <v>13437</v>
      </c>
    </row>
    <row r="3624" spans="1:2">
      <c r="A3624" t="s">
        <v>13436</v>
      </c>
      <c r="B3624" t="s">
        <v>13437</v>
      </c>
    </row>
    <row r="3625" spans="1:2">
      <c r="A3625" t="s">
        <v>13438</v>
      </c>
      <c r="B3625" t="s">
        <v>13439</v>
      </c>
    </row>
    <row r="3626" spans="1:2">
      <c r="A3626" t="s">
        <v>13438</v>
      </c>
      <c r="B3626" t="s">
        <v>13439</v>
      </c>
    </row>
    <row r="3627" spans="1:2">
      <c r="A3627" t="s">
        <v>13440</v>
      </c>
      <c r="B3627" t="s">
        <v>13441</v>
      </c>
    </row>
    <row r="3628" spans="1:2">
      <c r="A3628" t="s">
        <v>13440</v>
      </c>
      <c r="B3628" t="s">
        <v>13441</v>
      </c>
    </row>
    <row r="3629" spans="1:2">
      <c r="A3629" t="s">
        <v>13442</v>
      </c>
      <c r="B3629" t="s">
        <v>13443</v>
      </c>
    </row>
    <row r="3630" spans="1:2">
      <c r="A3630" t="s">
        <v>13442</v>
      </c>
      <c r="B3630" t="s">
        <v>13444</v>
      </c>
    </row>
    <row r="3631" spans="1:2">
      <c r="A3631" t="s">
        <v>13445</v>
      </c>
      <c r="B3631" t="s">
        <v>13446</v>
      </c>
    </row>
    <row r="3632" spans="1:2">
      <c r="A3632" t="s">
        <v>13445</v>
      </c>
      <c r="B3632" t="s">
        <v>13446</v>
      </c>
    </row>
    <row r="3633" spans="1:2">
      <c r="A3633" t="s">
        <v>13447</v>
      </c>
      <c r="B3633" t="s">
        <v>12776</v>
      </c>
    </row>
    <row r="3634" spans="1:2">
      <c r="A3634" t="s">
        <v>13447</v>
      </c>
      <c r="B3634" t="s">
        <v>12776</v>
      </c>
    </row>
    <row r="3635" spans="1:2">
      <c r="A3635" t="s">
        <v>13448</v>
      </c>
      <c r="B3635" t="s">
        <v>13449</v>
      </c>
    </row>
    <row r="3636" spans="1:2">
      <c r="A3636" t="s">
        <v>13448</v>
      </c>
      <c r="B3636" t="s">
        <v>13450</v>
      </c>
    </row>
    <row r="3637" spans="1:2">
      <c r="A3637" t="s">
        <v>13451</v>
      </c>
      <c r="B3637" t="s">
        <v>7220</v>
      </c>
    </row>
    <row r="3638" spans="1:2">
      <c r="A3638" t="s">
        <v>13451</v>
      </c>
      <c r="B3638" t="s">
        <v>13452</v>
      </c>
    </row>
    <row r="3639" spans="1:2">
      <c r="A3639" t="s">
        <v>13453</v>
      </c>
      <c r="B3639" t="s">
        <v>13454</v>
      </c>
    </row>
    <row r="3640" spans="1:2">
      <c r="A3640" t="s">
        <v>13453</v>
      </c>
      <c r="B3640" t="s">
        <v>13455</v>
      </c>
    </row>
    <row r="3641" spans="1:2">
      <c r="A3641" t="s">
        <v>13456</v>
      </c>
      <c r="B3641" t="s">
        <v>13457</v>
      </c>
    </row>
    <row r="3642" spans="1:2">
      <c r="A3642" t="s">
        <v>13456</v>
      </c>
      <c r="B3642" t="s">
        <v>13458</v>
      </c>
    </row>
    <row r="3643" spans="1:2">
      <c r="A3643" t="s">
        <v>13459</v>
      </c>
      <c r="B3643" t="s">
        <v>13460</v>
      </c>
    </row>
    <row r="3644" spans="1:2">
      <c r="A3644" t="s">
        <v>13459</v>
      </c>
      <c r="B3644" t="s">
        <v>13460</v>
      </c>
    </row>
    <row r="3645" spans="1:2">
      <c r="A3645" t="s">
        <v>13461</v>
      </c>
      <c r="B3645" t="s">
        <v>13462</v>
      </c>
    </row>
    <row r="3646" spans="1:2">
      <c r="A3646" t="s">
        <v>13461</v>
      </c>
      <c r="B3646" t="s">
        <v>13463</v>
      </c>
    </row>
    <row r="3647" spans="1:2">
      <c r="A3647" t="s">
        <v>13464</v>
      </c>
      <c r="B3647" t="s">
        <v>13465</v>
      </c>
    </row>
    <row r="3648" spans="1:2">
      <c r="A3648" t="s">
        <v>13464</v>
      </c>
      <c r="B3648" t="s">
        <v>13465</v>
      </c>
    </row>
    <row r="3649" spans="1:2">
      <c r="A3649" t="s">
        <v>13466</v>
      </c>
      <c r="B3649" t="s">
        <v>13467</v>
      </c>
    </row>
    <row r="3650" spans="1:2">
      <c r="A3650" t="s">
        <v>13466</v>
      </c>
      <c r="B3650" t="s">
        <v>13467</v>
      </c>
    </row>
    <row r="3651" spans="1:2">
      <c r="A3651" t="s">
        <v>13468</v>
      </c>
      <c r="B3651" t="s">
        <v>13469</v>
      </c>
    </row>
    <row r="3652" spans="1:2">
      <c r="A3652" t="s">
        <v>13468</v>
      </c>
      <c r="B3652" t="s">
        <v>13469</v>
      </c>
    </row>
    <row r="3653" spans="1:2">
      <c r="A3653" t="s">
        <v>13470</v>
      </c>
      <c r="B3653" t="s">
        <v>13471</v>
      </c>
    </row>
    <row r="3654" spans="1:2">
      <c r="A3654" t="s">
        <v>13470</v>
      </c>
      <c r="B3654" t="s">
        <v>13471</v>
      </c>
    </row>
    <row r="3655" spans="1:2">
      <c r="A3655" t="s">
        <v>13472</v>
      </c>
      <c r="B3655" t="s">
        <v>13473</v>
      </c>
    </row>
    <row r="3656" spans="1:2">
      <c r="A3656" t="s">
        <v>13472</v>
      </c>
      <c r="B3656" t="s">
        <v>13473</v>
      </c>
    </row>
    <row r="3657" spans="1:2">
      <c r="A3657" t="s">
        <v>13474</v>
      </c>
      <c r="B3657" t="s">
        <v>13475</v>
      </c>
    </row>
    <row r="3658" spans="1:2">
      <c r="A3658" t="s">
        <v>13474</v>
      </c>
      <c r="B3658" t="s">
        <v>13475</v>
      </c>
    </row>
    <row r="3659" spans="1:2">
      <c r="A3659" t="s">
        <v>13476</v>
      </c>
      <c r="B3659" t="s">
        <v>13477</v>
      </c>
    </row>
    <row r="3660" spans="1:2">
      <c r="A3660" t="s">
        <v>13476</v>
      </c>
      <c r="B3660" t="s">
        <v>13477</v>
      </c>
    </row>
    <row r="3661" spans="1:2">
      <c r="A3661" t="s">
        <v>13478</v>
      </c>
      <c r="B3661" t="s">
        <v>13479</v>
      </c>
    </row>
    <row r="3662" spans="1:2">
      <c r="A3662" t="s">
        <v>13478</v>
      </c>
      <c r="B3662" t="s">
        <v>13479</v>
      </c>
    </row>
    <row r="3663" spans="1:2">
      <c r="A3663" t="s">
        <v>13480</v>
      </c>
      <c r="B3663" t="s">
        <v>13481</v>
      </c>
    </row>
    <row r="3664" spans="1:2">
      <c r="A3664" t="s">
        <v>13480</v>
      </c>
      <c r="B3664" t="s">
        <v>13481</v>
      </c>
    </row>
    <row r="3665" spans="1:2">
      <c r="A3665" t="s">
        <v>13482</v>
      </c>
      <c r="B3665" t="s">
        <v>13483</v>
      </c>
    </row>
    <row r="3666" spans="1:2">
      <c r="A3666" t="s">
        <v>13482</v>
      </c>
      <c r="B3666" t="s">
        <v>13483</v>
      </c>
    </row>
    <row r="3667" spans="1:2">
      <c r="A3667" t="s">
        <v>13484</v>
      </c>
      <c r="B3667" t="s">
        <v>13485</v>
      </c>
    </row>
    <row r="3668" spans="1:2">
      <c r="A3668" t="s">
        <v>13484</v>
      </c>
      <c r="B3668" t="s">
        <v>13485</v>
      </c>
    </row>
    <row r="3669" spans="1:2">
      <c r="A3669" t="s">
        <v>13486</v>
      </c>
      <c r="B3669" t="s">
        <v>13487</v>
      </c>
    </row>
    <row r="3670" spans="1:2">
      <c r="A3670" t="s">
        <v>13486</v>
      </c>
      <c r="B3670" t="s">
        <v>13488</v>
      </c>
    </row>
    <row r="3671" spans="1:2">
      <c r="A3671" t="s">
        <v>13489</v>
      </c>
      <c r="B3671" t="s">
        <v>13490</v>
      </c>
    </row>
    <row r="3672" spans="1:2">
      <c r="A3672" t="s">
        <v>13489</v>
      </c>
      <c r="B3672" t="s">
        <v>13490</v>
      </c>
    </row>
    <row r="3673" spans="1:2">
      <c r="A3673" t="s">
        <v>13491</v>
      </c>
      <c r="B3673" t="s">
        <v>13492</v>
      </c>
    </row>
    <row r="3674" spans="1:2">
      <c r="A3674" t="s">
        <v>13491</v>
      </c>
      <c r="B3674" t="s">
        <v>13492</v>
      </c>
    </row>
    <row r="3675" spans="1:2">
      <c r="A3675" t="s">
        <v>13493</v>
      </c>
      <c r="B3675" t="s">
        <v>13494</v>
      </c>
    </row>
    <row r="3676" spans="1:2">
      <c r="A3676" t="s">
        <v>13493</v>
      </c>
      <c r="B3676" t="s">
        <v>13494</v>
      </c>
    </row>
    <row r="3677" spans="1:2">
      <c r="A3677" t="s">
        <v>13495</v>
      </c>
      <c r="B3677" t="s">
        <v>13496</v>
      </c>
    </row>
    <row r="3678" spans="1:2">
      <c r="A3678" t="s">
        <v>13497</v>
      </c>
      <c r="B3678" t="s">
        <v>13498</v>
      </c>
    </row>
    <row r="3679" spans="1:2">
      <c r="A3679" t="s">
        <v>13499</v>
      </c>
      <c r="B3679" t="s">
        <v>13500</v>
      </c>
    </row>
    <row r="3680" spans="1:2">
      <c r="A3680" t="s">
        <v>13501</v>
      </c>
      <c r="B3680" t="s">
        <v>13502</v>
      </c>
    </row>
    <row r="3681" spans="1:2">
      <c r="A3681" t="s">
        <v>13503</v>
      </c>
      <c r="B3681" t="s">
        <v>13504</v>
      </c>
    </row>
    <row r="3682" spans="1:2">
      <c r="A3682" t="s">
        <v>13505</v>
      </c>
      <c r="B3682" t="s">
        <v>13506</v>
      </c>
    </row>
    <row r="3683" spans="1:2">
      <c r="A3683" t="s">
        <v>13507</v>
      </c>
      <c r="B3683" t="s">
        <v>13508</v>
      </c>
    </row>
    <row r="3684" spans="1:2">
      <c r="A3684" t="s">
        <v>13509</v>
      </c>
      <c r="B3684" t="s">
        <v>13510</v>
      </c>
    </row>
    <row r="3685" spans="1:2">
      <c r="A3685" t="s">
        <v>13511</v>
      </c>
      <c r="B3685" t="s">
        <v>13512</v>
      </c>
    </row>
    <row r="3686" spans="1:2">
      <c r="A3686" t="s">
        <v>13513</v>
      </c>
      <c r="B3686" t="s">
        <v>13514</v>
      </c>
    </row>
    <row r="3687" spans="1:2">
      <c r="A3687" t="s">
        <v>13515</v>
      </c>
      <c r="B3687" t="s">
        <v>13500</v>
      </c>
    </row>
    <row r="3688" spans="1:2">
      <c r="A3688" t="s">
        <v>13516</v>
      </c>
      <c r="B3688" t="s">
        <v>13517</v>
      </c>
    </row>
    <row r="3689" spans="1:2">
      <c r="A3689" t="s">
        <v>13518</v>
      </c>
      <c r="B3689" t="s">
        <v>13519</v>
      </c>
    </row>
    <row r="3690" spans="1:2">
      <c r="A3690" t="s">
        <v>13520</v>
      </c>
      <c r="B3690" t="s">
        <v>13521</v>
      </c>
    </row>
    <row r="3691" spans="1:2">
      <c r="A3691" t="s">
        <v>13522</v>
      </c>
      <c r="B3691" t="s">
        <v>13523</v>
      </c>
    </row>
    <row r="3692" spans="1:2">
      <c r="A3692" t="s">
        <v>13524</v>
      </c>
      <c r="B3692" t="s">
        <v>13525</v>
      </c>
    </row>
    <row r="3693" spans="1:2">
      <c r="A3693" t="s">
        <v>13526</v>
      </c>
      <c r="B3693" t="s">
        <v>13527</v>
      </c>
    </row>
    <row r="3694" spans="1:2">
      <c r="A3694" t="s">
        <v>13528</v>
      </c>
      <c r="B3694" t="s">
        <v>13529</v>
      </c>
    </row>
    <row r="3695" spans="1:2">
      <c r="A3695" t="s">
        <v>13528</v>
      </c>
      <c r="B3695" t="s">
        <v>13530</v>
      </c>
    </row>
    <row r="3696" spans="1:2">
      <c r="A3696" t="s">
        <v>13531</v>
      </c>
      <c r="B3696" t="s">
        <v>13532</v>
      </c>
    </row>
    <row r="3697" spans="1:2">
      <c r="A3697" t="s">
        <v>13531</v>
      </c>
      <c r="B3697" t="s">
        <v>13533</v>
      </c>
    </row>
    <row r="3698" spans="1:2">
      <c r="A3698" t="s">
        <v>13534</v>
      </c>
      <c r="B3698" t="s">
        <v>13535</v>
      </c>
    </row>
    <row r="3699" spans="1:2">
      <c r="A3699" t="s">
        <v>13534</v>
      </c>
      <c r="B3699" t="s">
        <v>13535</v>
      </c>
    </row>
    <row r="3700" spans="1:2">
      <c r="A3700" t="s">
        <v>13536</v>
      </c>
      <c r="B3700" t="s">
        <v>13537</v>
      </c>
    </row>
    <row r="3701" spans="1:2">
      <c r="A3701" t="s">
        <v>13536</v>
      </c>
      <c r="B3701" t="s">
        <v>13538</v>
      </c>
    </row>
    <row r="3702" spans="1:2">
      <c r="A3702" t="s">
        <v>13539</v>
      </c>
      <c r="B3702" t="s">
        <v>13540</v>
      </c>
    </row>
    <row r="3703" spans="1:2">
      <c r="A3703" t="s">
        <v>13539</v>
      </c>
      <c r="B3703" t="s">
        <v>13540</v>
      </c>
    </row>
    <row r="3704" spans="1:2">
      <c r="A3704" t="s">
        <v>13541</v>
      </c>
      <c r="B3704" t="s">
        <v>13542</v>
      </c>
    </row>
    <row r="3705" spans="1:2">
      <c r="A3705" t="s">
        <v>13541</v>
      </c>
      <c r="B3705" t="s">
        <v>13543</v>
      </c>
    </row>
    <row r="3706" spans="1:2">
      <c r="A3706" t="s">
        <v>13544</v>
      </c>
      <c r="B3706" t="s">
        <v>13545</v>
      </c>
    </row>
    <row r="3707" spans="1:2">
      <c r="A3707" t="s">
        <v>13544</v>
      </c>
      <c r="B3707" t="s">
        <v>13545</v>
      </c>
    </row>
    <row r="3708" spans="1:2">
      <c r="A3708" t="s">
        <v>13546</v>
      </c>
      <c r="B3708" t="s">
        <v>13547</v>
      </c>
    </row>
    <row r="3709" spans="1:2">
      <c r="A3709" t="s">
        <v>13546</v>
      </c>
      <c r="B3709" t="s">
        <v>13548</v>
      </c>
    </row>
    <row r="3710" spans="1:2">
      <c r="A3710" t="s">
        <v>13549</v>
      </c>
      <c r="B3710" t="s">
        <v>13550</v>
      </c>
    </row>
    <row r="3711" spans="1:2">
      <c r="A3711" t="s">
        <v>13549</v>
      </c>
      <c r="B3711" t="s">
        <v>13551</v>
      </c>
    </row>
    <row r="3712" spans="1:2">
      <c r="A3712" t="s">
        <v>13552</v>
      </c>
      <c r="B3712" t="s">
        <v>13553</v>
      </c>
    </row>
    <row r="3713" spans="1:2">
      <c r="A3713" t="s">
        <v>13552</v>
      </c>
      <c r="B3713" t="s">
        <v>13554</v>
      </c>
    </row>
    <row r="3714" spans="1:2">
      <c r="A3714" t="s">
        <v>13555</v>
      </c>
      <c r="B3714" t="s">
        <v>13556</v>
      </c>
    </row>
    <row r="3715" spans="1:2">
      <c r="A3715" t="s">
        <v>13555</v>
      </c>
      <c r="B3715" t="s">
        <v>13557</v>
      </c>
    </row>
    <row r="3716" spans="1:2">
      <c r="A3716" t="s">
        <v>13558</v>
      </c>
      <c r="B3716" t="s">
        <v>13559</v>
      </c>
    </row>
    <row r="3717" spans="1:2">
      <c r="A3717" t="s">
        <v>13558</v>
      </c>
      <c r="B3717" t="s">
        <v>13560</v>
      </c>
    </row>
    <row r="3718" spans="1:2">
      <c r="A3718" t="s">
        <v>13561</v>
      </c>
      <c r="B3718" t="s">
        <v>13562</v>
      </c>
    </row>
    <row r="3719" spans="1:2">
      <c r="A3719" t="s">
        <v>13561</v>
      </c>
      <c r="B3719" t="s">
        <v>13563</v>
      </c>
    </row>
    <row r="3720" spans="1:2">
      <c r="A3720" t="s">
        <v>13564</v>
      </c>
      <c r="B3720" t="s">
        <v>13565</v>
      </c>
    </row>
    <row r="3721" spans="1:2">
      <c r="A3721" t="s">
        <v>13564</v>
      </c>
      <c r="B3721" t="s">
        <v>13566</v>
      </c>
    </row>
    <row r="3722" spans="1:2">
      <c r="A3722" t="s">
        <v>13567</v>
      </c>
      <c r="B3722" t="s">
        <v>13568</v>
      </c>
    </row>
    <row r="3723" spans="1:2">
      <c r="A3723" t="s">
        <v>13567</v>
      </c>
      <c r="B3723" t="s">
        <v>13569</v>
      </c>
    </row>
    <row r="3724" spans="1:2">
      <c r="A3724" t="s">
        <v>13570</v>
      </c>
      <c r="B3724" t="s">
        <v>13571</v>
      </c>
    </row>
    <row r="3725" spans="1:2">
      <c r="A3725" t="s">
        <v>13570</v>
      </c>
      <c r="B3725" t="s">
        <v>13572</v>
      </c>
    </row>
    <row r="3726" spans="1:2">
      <c r="A3726" t="s">
        <v>13573</v>
      </c>
      <c r="B3726" t="s">
        <v>13574</v>
      </c>
    </row>
    <row r="3727" spans="1:2">
      <c r="A3727" t="s">
        <v>13573</v>
      </c>
      <c r="B3727" t="s">
        <v>13575</v>
      </c>
    </row>
    <row r="3728" spans="1:2">
      <c r="A3728" t="s">
        <v>13576</v>
      </c>
      <c r="B3728" t="s">
        <v>13577</v>
      </c>
    </row>
    <row r="3729" spans="1:2">
      <c r="A3729" t="s">
        <v>13576</v>
      </c>
      <c r="B3729" t="s">
        <v>13578</v>
      </c>
    </row>
    <row r="3730" spans="1:2">
      <c r="A3730" t="s">
        <v>13579</v>
      </c>
      <c r="B3730" t="s">
        <v>13580</v>
      </c>
    </row>
    <row r="3731" spans="1:2">
      <c r="A3731" t="s">
        <v>13579</v>
      </c>
      <c r="B3731" t="s">
        <v>13580</v>
      </c>
    </row>
    <row r="3732" spans="1:2">
      <c r="A3732" t="s">
        <v>13581</v>
      </c>
      <c r="B3732" t="s">
        <v>13582</v>
      </c>
    </row>
    <row r="3733" spans="1:2">
      <c r="A3733" t="s">
        <v>13581</v>
      </c>
      <c r="B3733" t="s">
        <v>13583</v>
      </c>
    </row>
    <row r="3734" spans="1:2">
      <c r="A3734" t="s">
        <v>13584</v>
      </c>
      <c r="B3734" t="s">
        <v>13585</v>
      </c>
    </row>
    <row r="3735" spans="1:2">
      <c r="A3735" t="s">
        <v>13584</v>
      </c>
      <c r="B3735" t="s">
        <v>13586</v>
      </c>
    </row>
    <row r="3736" spans="1:2">
      <c r="A3736" t="s">
        <v>13587</v>
      </c>
      <c r="B3736" t="s">
        <v>13588</v>
      </c>
    </row>
    <row r="3737" spans="1:2">
      <c r="A3737" t="s">
        <v>13587</v>
      </c>
      <c r="B3737" t="s">
        <v>13589</v>
      </c>
    </row>
    <row r="3738" spans="1:2">
      <c r="A3738" t="s">
        <v>13590</v>
      </c>
      <c r="B3738" t="s">
        <v>13591</v>
      </c>
    </row>
    <row r="3739" spans="1:2">
      <c r="A3739" t="s">
        <v>13590</v>
      </c>
      <c r="B3739" t="s">
        <v>13591</v>
      </c>
    </row>
    <row r="3740" spans="1:2">
      <c r="A3740" t="s">
        <v>13592</v>
      </c>
      <c r="B3740" t="s">
        <v>1346</v>
      </c>
    </row>
    <row r="3741" spans="1:2">
      <c r="A3741" t="s">
        <v>13592</v>
      </c>
      <c r="B3741" t="s">
        <v>1346</v>
      </c>
    </row>
    <row r="3742" spans="1:2">
      <c r="A3742" t="s">
        <v>13593</v>
      </c>
      <c r="B3742" t="s">
        <v>13594</v>
      </c>
    </row>
    <row r="3743" spans="1:2">
      <c r="A3743" t="s">
        <v>13593</v>
      </c>
      <c r="B3743" t="s">
        <v>13594</v>
      </c>
    </row>
    <row r="3744" spans="1:2">
      <c r="A3744" t="s">
        <v>13595</v>
      </c>
      <c r="B3744" t="s">
        <v>13596</v>
      </c>
    </row>
    <row r="3745" spans="1:2">
      <c r="A3745" t="s">
        <v>13595</v>
      </c>
      <c r="B3745" t="s">
        <v>13596</v>
      </c>
    </row>
    <row r="3746" spans="1:2">
      <c r="A3746" t="s">
        <v>13597</v>
      </c>
      <c r="B3746" t="s">
        <v>13598</v>
      </c>
    </row>
    <row r="3747" spans="1:2">
      <c r="A3747" t="s">
        <v>13597</v>
      </c>
      <c r="B3747" t="s">
        <v>13598</v>
      </c>
    </row>
    <row r="3748" spans="1:2">
      <c r="A3748" t="s">
        <v>13599</v>
      </c>
      <c r="B3748" t="s">
        <v>13600</v>
      </c>
    </row>
    <row r="3749" spans="1:2">
      <c r="A3749" t="s">
        <v>13599</v>
      </c>
      <c r="B3749" t="s">
        <v>13600</v>
      </c>
    </row>
    <row r="3750" spans="1:2">
      <c r="A3750" t="s">
        <v>13601</v>
      </c>
      <c r="B3750" t="s">
        <v>13602</v>
      </c>
    </row>
    <row r="3751" spans="1:2">
      <c r="A3751" t="s">
        <v>13601</v>
      </c>
      <c r="B3751" t="s">
        <v>13602</v>
      </c>
    </row>
    <row r="3752" spans="1:2">
      <c r="A3752" t="s">
        <v>13603</v>
      </c>
      <c r="B3752" t="s">
        <v>13604</v>
      </c>
    </row>
    <row r="3753" spans="1:2">
      <c r="A3753" t="s">
        <v>13603</v>
      </c>
      <c r="B3753" t="s">
        <v>13604</v>
      </c>
    </row>
    <row r="3754" spans="1:2">
      <c r="A3754" t="s">
        <v>13605</v>
      </c>
      <c r="B3754" t="s">
        <v>13606</v>
      </c>
    </row>
    <row r="3755" spans="1:2">
      <c r="A3755" t="s">
        <v>13605</v>
      </c>
      <c r="B3755" t="s">
        <v>13606</v>
      </c>
    </row>
    <row r="3756" spans="1:2">
      <c r="A3756" t="s">
        <v>13607</v>
      </c>
      <c r="B3756" t="s">
        <v>13608</v>
      </c>
    </row>
    <row r="3757" spans="1:2">
      <c r="A3757" t="s">
        <v>13607</v>
      </c>
      <c r="B3757" t="s">
        <v>13609</v>
      </c>
    </row>
    <row r="3758" spans="1:2">
      <c r="A3758" t="s">
        <v>13610</v>
      </c>
      <c r="B3758" t="s">
        <v>13611</v>
      </c>
    </row>
    <row r="3759" spans="1:2">
      <c r="A3759" t="s">
        <v>13610</v>
      </c>
      <c r="B3759" t="s">
        <v>13611</v>
      </c>
    </row>
    <row r="3760" spans="1:2">
      <c r="A3760" t="s">
        <v>13612</v>
      </c>
      <c r="B3760" t="s">
        <v>13613</v>
      </c>
    </row>
    <row r="3761" spans="1:2">
      <c r="A3761" t="s">
        <v>13612</v>
      </c>
      <c r="B3761" t="s">
        <v>13613</v>
      </c>
    </row>
    <row r="3762" spans="1:2">
      <c r="A3762" t="s">
        <v>13614</v>
      </c>
      <c r="B3762" t="s">
        <v>13615</v>
      </c>
    </row>
    <row r="3763" spans="1:2">
      <c r="A3763" t="s">
        <v>13614</v>
      </c>
      <c r="B3763" t="s">
        <v>13615</v>
      </c>
    </row>
    <row r="3764" spans="1:2">
      <c r="A3764" t="s">
        <v>13616</v>
      </c>
      <c r="B3764" t="s">
        <v>13617</v>
      </c>
    </row>
    <row r="3765" spans="1:2">
      <c r="A3765" t="s">
        <v>13616</v>
      </c>
      <c r="B3765" t="s">
        <v>13617</v>
      </c>
    </row>
    <row r="3766" spans="1:2">
      <c r="A3766" t="s">
        <v>13618</v>
      </c>
      <c r="B3766" t="s">
        <v>13619</v>
      </c>
    </row>
    <row r="3767" spans="1:2">
      <c r="A3767" t="s">
        <v>13618</v>
      </c>
      <c r="B3767" t="s">
        <v>13619</v>
      </c>
    </row>
    <row r="3768" spans="1:2">
      <c r="A3768" t="s">
        <v>13620</v>
      </c>
      <c r="B3768" t="s">
        <v>13621</v>
      </c>
    </row>
    <row r="3769" spans="1:2">
      <c r="A3769" t="s">
        <v>13620</v>
      </c>
      <c r="B3769" t="s">
        <v>13621</v>
      </c>
    </row>
    <row r="3770" spans="1:2">
      <c r="A3770" t="s">
        <v>13622</v>
      </c>
      <c r="B3770" t="s">
        <v>13623</v>
      </c>
    </row>
    <row r="3771" spans="1:2">
      <c r="A3771" t="s">
        <v>13622</v>
      </c>
      <c r="B3771" t="s">
        <v>13624</v>
      </c>
    </row>
    <row r="3772" spans="1:2">
      <c r="A3772" t="s">
        <v>13625</v>
      </c>
      <c r="B3772" t="s">
        <v>13626</v>
      </c>
    </row>
    <row r="3773" spans="1:2">
      <c r="A3773" t="s">
        <v>13625</v>
      </c>
      <c r="B3773" t="s">
        <v>13626</v>
      </c>
    </row>
    <row r="3774" spans="1:2">
      <c r="A3774" t="s">
        <v>13627</v>
      </c>
      <c r="B3774" t="s">
        <v>13628</v>
      </c>
    </row>
    <row r="3775" spans="1:2">
      <c r="A3775" t="s">
        <v>13627</v>
      </c>
      <c r="B3775" t="s">
        <v>13628</v>
      </c>
    </row>
    <row r="3776" spans="1:2">
      <c r="A3776" t="s">
        <v>13629</v>
      </c>
      <c r="B3776" t="s">
        <v>13630</v>
      </c>
    </row>
    <row r="3777" spans="1:2">
      <c r="A3777" t="s">
        <v>13629</v>
      </c>
      <c r="B3777" t="s">
        <v>13630</v>
      </c>
    </row>
    <row r="3778" spans="1:2">
      <c r="A3778" t="s">
        <v>13631</v>
      </c>
      <c r="B3778" t="s">
        <v>13632</v>
      </c>
    </row>
    <row r="3779" spans="1:2">
      <c r="A3779" t="s">
        <v>13631</v>
      </c>
      <c r="B3779" t="s">
        <v>13632</v>
      </c>
    </row>
    <row r="3780" spans="1:2">
      <c r="A3780" t="s">
        <v>13633</v>
      </c>
      <c r="B3780" t="s">
        <v>13634</v>
      </c>
    </row>
    <row r="3781" spans="1:2">
      <c r="A3781" t="s">
        <v>13633</v>
      </c>
      <c r="B3781" t="s">
        <v>13634</v>
      </c>
    </row>
    <row r="3782" spans="1:2">
      <c r="A3782" t="s">
        <v>13635</v>
      </c>
      <c r="B3782" t="s">
        <v>13636</v>
      </c>
    </row>
    <row r="3783" spans="1:2">
      <c r="A3783" t="s">
        <v>13635</v>
      </c>
      <c r="B3783" t="s">
        <v>13636</v>
      </c>
    </row>
    <row r="3784" spans="1:2">
      <c r="A3784" t="s">
        <v>13637</v>
      </c>
      <c r="B3784" t="s">
        <v>13638</v>
      </c>
    </row>
    <row r="3785" spans="1:2">
      <c r="A3785" t="s">
        <v>13637</v>
      </c>
      <c r="B3785" t="s">
        <v>13638</v>
      </c>
    </row>
    <row r="3786" spans="1:2">
      <c r="A3786" t="s">
        <v>13639</v>
      </c>
      <c r="B3786" t="s">
        <v>13640</v>
      </c>
    </row>
    <row r="3787" spans="1:2">
      <c r="A3787" t="s">
        <v>13639</v>
      </c>
      <c r="B3787" t="s">
        <v>13640</v>
      </c>
    </row>
    <row r="3788" spans="1:2">
      <c r="A3788" t="s">
        <v>13641</v>
      </c>
      <c r="B3788" t="s">
        <v>13642</v>
      </c>
    </row>
    <row r="3789" spans="1:2">
      <c r="A3789" t="s">
        <v>13641</v>
      </c>
      <c r="B3789" t="s">
        <v>13642</v>
      </c>
    </row>
    <row r="3790" spans="1:2">
      <c r="A3790" t="s">
        <v>13643</v>
      </c>
      <c r="B3790" t="s">
        <v>13644</v>
      </c>
    </row>
    <row r="3791" spans="1:2">
      <c r="A3791" t="s">
        <v>13643</v>
      </c>
      <c r="B3791" t="s">
        <v>13644</v>
      </c>
    </row>
    <row r="3792" spans="1:2">
      <c r="A3792" t="s">
        <v>13645</v>
      </c>
      <c r="B3792" t="s">
        <v>13646</v>
      </c>
    </row>
    <row r="3793" spans="1:2">
      <c r="A3793" t="s">
        <v>13645</v>
      </c>
      <c r="B3793" t="s">
        <v>13646</v>
      </c>
    </row>
    <row r="3794" spans="1:2">
      <c r="A3794" t="s">
        <v>13647</v>
      </c>
      <c r="B3794" t="s">
        <v>13648</v>
      </c>
    </row>
    <row r="3795" spans="1:2">
      <c r="A3795" t="s">
        <v>13647</v>
      </c>
      <c r="B3795" t="s">
        <v>13648</v>
      </c>
    </row>
    <row r="3796" spans="1:2">
      <c r="A3796" t="s">
        <v>13649</v>
      </c>
      <c r="B3796" t="s">
        <v>13650</v>
      </c>
    </row>
    <row r="3797" spans="1:2">
      <c r="A3797" t="s">
        <v>13649</v>
      </c>
      <c r="B3797" t="s">
        <v>13650</v>
      </c>
    </row>
    <row r="3798" spans="1:2">
      <c r="A3798" t="s">
        <v>13651</v>
      </c>
      <c r="B3798" t="s">
        <v>13652</v>
      </c>
    </row>
    <row r="3799" spans="1:2">
      <c r="A3799" t="s">
        <v>13653</v>
      </c>
      <c r="B3799" t="s">
        <v>13654</v>
      </c>
    </row>
    <row r="3800" spans="1:2">
      <c r="A3800" t="s">
        <v>13655</v>
      </c>
      <c r="B3800" t="s">
        <v>13656</v>
      </c>
    </row>
    <row r="3801" spans="1:2">
      <c r="A3801" t="s">
        <v>13657</v>
      </c>
      <c r="B3801" t="s">
        <v>13658</v>
      </c>
    </row>
    <row r="3802" spans="1:2">
      <c r="A3802" t="s">
        <v>13659</v>
      </c>
      <c r="B3802" t="s">
        <v>13660</v>
      </c>
    </row>
    <row r="3803" spans="1:2">
      <c r="A3803" t="s">
        <v>13661</v>
      </c>
      <c r="B3803" t="s">
        <v>13662</v>
      </c>
    </row>
    <row r="3804" spans="1:2">
      <c r="A3804" t="s">
        <v>13663</v>
      </c>
      <c r="B3804" t="s">
        <v>2549</v>
      </c>
    </row>
    <row r="3805" spans="1:2">
      <c r="A3805" t="s">
        <v>13664</v>
      </c>
      <c r="B3805" t="s">
        <v>13665</v>
      </c>
    </row>
    <row r="3806" spans="1:2">
      <c r="A3806" t="s">
        <v>13666</v>
      </c>
      <c r="B3806" t="s">
        <v>13667</v>
      </c>
    </row>
    <row r="3807" spans="1:2">
      <c r="A3807" t="s">
        <v>13668</v>
      </c>
      <c r="B3807" t="s">
        <v>13669</v>
      </c>
    </row>
    <row r="3808" spans="1:2">
      <c r="A3808" t="s">
        <v>13670</v>
      </c>
      <c r="B3808" t="s">
        <v>13671</v>
      </c>
    </row>
    <row r="3809" spans="1:2">
      <c r="A3809" t="s">
        <v>13672</v>
      </c>
      <c r="B3809" t="s">
        <v>13673</v>
      </c>
    </row>
    <row r="3810" spans="1:2">
      <c r="A3810" t="s">
        <v>13674</v>
      </c>
      <c r="B3810" t="s">
        <v>13675</v>
      </c>
    </row>
    <row r="3811" spans="1:2">
      <c r="A3811" t="s">
        <v>13676</v>
      </c>
      <c r="B3811" t="s">
        <v>13677</v>
      </c>
    </row>
    <row r="3812" spans="1:2">
      <c r="A3812" t="s">
        <v>13678</v>
      </c>
      <c r="B3812" t="s">
        <v>13679</v>
      </c>
    </row>
    <row r="3813" spans="1:2">
      <c r="A3813" t="s">
        <v>13680</v>
      </c>
      <c r="B3813" t="s">
        <v>13681</v>
      </c>
    </row>
    <row r="3814" spans="1:2">
      <c r="A3814" t="s">
        <v>13682</v>
      </c>
      <c r="B3814" t="s">
        <v>13683</v>
      </c>
    </row>
    <row r="3815" spans="1:2">
      <c r="A3815" t="s">
        <v>13684</v>
      </c>
      <c r="B3815" t="s">
        <v>13685</v>
      </c>
    </row>
    <row r="3816" spans="1:2">
      <c r="A3816" t="s">
        <v>13686</v>
      </c>
      <c r="B3816" t="s">
        <v>13687</v>
      </c>
    </row>
    <row r="3817" spans="1:2">
      <c r="A3817" t="s">
        <v>13688</v>
      </c>
      <c r="B3817" t="s">
        <v>13689</v>
      </c>
    </row>
    <row r="3818" spans="1:2">
      <c r="A3818" t="s">
        <v>13690</v>
      </c>
      <c r="B3818" t="s">
        <v>13691</v>
      </c>
    </row>
    <row r="3819" spans="1:2">
      <c r="A3819" t="s">
        <v>13692</v>
      </c>
      <c r="B3819" t="s">
        <v>13693</v>
      </c>
    </row>
    <row r="3820" spans="1:2">
      <c r="A3820" t="s">
        <v>13694</v>
      </c>
      <c r="B3820" t="s">
        <v>13695</v>
      </c>
    </row>
    <row r="3821" spans="1:2">
      <c r="A3821" t="s">
        <v>13696</v>
      </c>
      <c r="B3821" t="s">
        <v>13697</v>
      </c>
    </row>
    <row r="3822" spans="1:2">
      <c r="A3822" t="s">
        <v>13698</v>
      </c>
      <c r="B3822" t="s">
        <v>313</v>
      </c>
    </row>
    <row r="3823" spans="1:2">
      <c r="A3823" t="s">
        <v>13699</v>
      </c>
      <c r="B3823" t="s">
        <v>13700</v>
      </c>
    </row>
    <row r="3824" spans="1:2">
      <c r="A3824" t="s">
        <v>13701</v>
      </c>
      <c r="B3824" t="s">
        <v>1082</v>
      </c>
    </row>
    <row r="3825" spans="1:2">
      <c r="A3825" t="s">
        <v>13702</v>
      </c>
      <c r="B3825" t="s">
        <v>13703</v>
      </c>
    </row>
    <row r="3826" spans="1:2">
      <c r="A3826" t="s">
        <v>13704</v>
      </c>
      <c r="B3826" t="s">
        <v>13705</v>
      </c>
    </row>
    <row r="3827" spans="1:2">
      <c r="A3827" t="s">
        <v>13706</v>
      </c>
      <c r="B3827" t="s">
        <v>13707</v>
      </c>
    </row>
    <row r="3828" spans="1:2">
      <c r="A3828" t="s">
        <v>13708</v>
      </c>
      <c r="B3828" t="s">
        <v>13709</v>
      </c>
    </row>
    <row r="3829" spans="1:2">
      <c r="A3829" t="s">
        <v>13710</v>
      </c>
      <c r="B3829" t="s">
        <v>13711</v>
      </c>
    </row>
    <row r="3830" spans="1:2">
      <c r="A3830" t="s">
        <v>13712</v>
      </c>
      <c r="B3830" t="s">
        <v>13713</v>
      </c>
    </row>
    <row r="3831" spans="1:2">
      <c r="A3831" t="s">
        <v>13714</v>
      </c>
      <c r="B3831" t="s">
        <v>13715</v>
      </c>
    </row>
    <row r="3832" spans="1:2">
      <c r="A3832" t="s">
        <v>13716</v>
      </c>
      <c r="B3832" t="s">
        <v>13717</v>
      </c>
    </row>
    <row r="3833" spans="1:2">
      <c r="A3833" t="s">
        <v>13718</v>
      </c>
      <c r="B3833" t="s">
        <v>585</v>
      </c>
    </row>
    <row r="3834" spans="1:2">
      <c r="A3834" t="s">
        <v>13719</v>
      </c>
      <c r="B3834" t="s">
        <v>13720</v>
      </c>
    </row>
    <row r="3835" spans="1:2">
      <c r="A3835" t="s">
        <v>13721</v>
      </c>
      <c r="B3835" t="s">
        <v>13722</v>
      </c>
    </row>
    <row r="3836" spans="1:2">
      <c r="A3836" t="s">
        <v>13723</v>
      </c>
      <c r="B3836" t="s">
        <v>1977</v>
      </c>
    </row>
    <row r="3837" spans="1:2">
      <c r="A3837" t="s">
        <v>13724</v>
      </c>
      <c r="B3837" t="s">
        <v>13725</v>
      </c>
    </row>
    <row r="3838" spans="1:2">
      <c r="A3838" t="s">
        <v>13726</v>
      </c>
      <c r="B3838" t="s">
        <v>13727</v>
      </c>
    </row>
    <row r="3839" spans="1:2">
      <c r="A3839" t="s">
        <v>13728</v>
      </c>
      <c r="B3839" t="s">
        <v>2275</v>
      </c>
    </row>
    <row r="3840" spans="1:2">
      <c r="A3840" t="s">
        <v>13729</v>
      </c>
      <c r="B3840" t="s">
        <v>13730</v>
      </c>
    </row>
    <row r="3841" spans="1:2">
      <c r="A3841" t="s">
        <v>13731</v>
      </c>
      <c r="B3841" t="s">
        <v>13732</v>
      </c>
    </row>
    <row r="3842" spans="1:2">
      <c r="A3842" t="s">
        <v>13733</v>
      </c>
      <c r="B3842" t="s">
        <v>13734</v>
      </c>
    </row>
    <row r="3843" spans="1:2">
      <c r="A3843" t="s">
        <v>13735</v>
      </c>
      <c r="B3843" t="s">
        <v>13736</v>
      </c>
    </row>
    <row r="3844" spans="1:2">
      <c r="A3844" t="s">
        <v>13737</v>
      </c>
      <c r="B3844" t="s">
        <v>13738</v>
      </c>
    </row>
    <row r="3845" spans="1:2">
      <c r="A3845" t="s">
        <v>13739</v>
      </c>
      <c r="B3845" t="s">
        <v>13740</v>
      </c>
    </row>
    <row r="3846" spans="1:2">
      <c r="A3846" t="s">
        <v>13741</v>
      </c>
      <c r="B3846" t="s">
        <v>13742</v>
      </c>
    </row>
    <row r="3847" spans="1:2">
      <c r="A3847" t="s">
        <v>13743</v>
      </c>
      <c r="B3847" t="s">
        <v>13744</v>
      </c>
    </row>
    <row r="3848" spans="1:2">
      <c r="A3848" t="s">
        <v>13745</v>
      </c>
      <c r="B3848" t="s">
        <v>13746</v>
      </c>
    </row>
    <row r="3849" spans="1:2">
      <c r="A3849" t="s">
        <v>13747</v>
      </c>
      <c r="B3849" t="s">
        <v>13748</v>
      </c>
    </row>
    <row r="3850" spans="1:2">
      <c r="A3850" t="s">
        <v>13749</v>
      </c>
      <c r="B3850" t="s">
        <v>13750</v>
      </c>
    </row>
    <row r="3851" spans="1:2">
      <c r="A3851" t="s">
        <v>13751</v>
      </c>
      <c r="B3851" t="s">
        <v>13742</v>
      </c>
    </row>
    <row r="3852" spans="1:2">
      <c r="A3852" t="s">
        <v>13752</v>
      </c>
      <c r="B3852" t="s">
        <v>13753</v>
      </c>
    </row>
    <row r="3853" spans="1:2">
      <c r="A3853" t="s">
        <v>13754</v>
      </c>
      <c r="B3853" t="s">
        <v>13755</v>
      </c>
    </row>
    <row r="3854" spans="1:2">
      <c r="A3854" t="s">
        <v>13756</v>
      </c>
      <c r="B3854" t="s">
        <v>13757</v>
      </c>
    </row>
    <row r="3855" spans="1:2">
      <c r="A3855" t="s">
        <v>13758</v>
      </c>
      <c r="B3855" t="s">
        <v>13759</v>
      </c>
    </row>
    <row r="3856" spans="1:2">
      <c r="A3856" t="s">
        <v>13760</v>
      </c>
      <c r="B3856" t="s">
        <v>13761</v>
      </c>
    </row>
    <row r="3857" spans="1:2">
      <c r="A3857" t="s">
        <v>13762</v>
      </c>
      <c r="B3857" t="s">
        <v>13763</v>
      </c>
    </row>
    <row r="3858" spans="1:2">
      <c r="A3858" t="s">
        <v>13764</v>
      </c>
      <c r="B3858" t="s">
        <v>13765</v>
      </c>
    </row>
    <row r="3859" spans="1:2">
      <c r="A3859" t="s">
        <v>13766</v>
      </c>
      <c r="B3859" t="s">
        <v>13767</v>
      </c>
    </row>
    <row r="3860" spans="1:2">
      <c r="A3860" t="s">
        <v>13768</v>
      </c>
      <c r="B3860" t="s">
        <v>13769</v>
      </c>
    </row>
    <row r="3861" spans="1:2">
      <c r="A3861" t="s">
        <v>13770</v>
      </c>
      <c r="B3861" t="s">
        <v>13771</v>
      </c>
    </row>
    <row r="3862" spans="1:2">
      <c r="A3862" t="s">
        <v>13772</v>
      </c>
      <c r="B3862" t="s">
        <v>13773</v>
      </c>
    </row>
    <row r="3863" spans="1:2">
      <c r="A3863" t="s">
        <v>13774</v>
      </c>
      <c r="B3863" t="s">
        <v>13775</v>
      </c>
    </row>
    <row r="3864" spans="1:2">
      <c r="A3864" t="s">
        <v>13776</v>
      </c>
      <c r="B3864" t="s">
        <v>13777</v>
      </c>
    </row>
    <row r="3865" spans="1:2">
      <c r="A3865" t="s">
        <v>13778</v>
      </c>
      <c r="B3865" t="s">
        <v>13779</v>
      </c>
    </row>
    <row r="3866" spans="1:2">
      <c r="A3866" t="s">
        <v>13780</v>
      </c>
      <c r="B3866" t="s">
        <v>13781</v>
      </c>
    </row>
    <row r="3867" spans="1:2">
      <c r="A3867" t="s">
        <v>13782</v>
      </c>
      <c r="B3867" t="s">
        <v>13783</v>
      </c>
    </row>
    <row r="3868" spans="1:2">
      <c r="A3868" t="s">
        <v>13784</v>
      </c>
      <c r="B3868" t="s">
        <v>13785</v>
      </c>
    </row>
    <row r="3869" spans="1:2">
      <c r="A3869" t="s">
        <v>13786</v>
      </c>
      <c r="B3869" t="s">
        <v>13787</v>
      </c>
    </row>
    <row r="3870" spans="1:2">
      <c r="A3870" t="s">
        <v>13788</v>
      </c>
      <c r="B3870" t="s">
        <v>13789</v>
      </c>
    </row>
    <row r="3871" spans="1:2">
      <c r="A3871" t="s">
        <v>13790</v>
      </c>
      <c r="B3871" t="s">
        <v>13791</v>
      </c>
    </row>
    <row r="3872" spans="1:2">
      <c r="A3872" t="s">
        <v>13792</v>
      </c>
      <c r="B3872" t="s">
        <v>13793</v>
      </c>
    </row>
    <row r="3873" spans="1:2">
      <c r="A3873" t="s">
        <v>13794</v>
      </c>
      <c r="B3873" t="s">
        <v>13795</v>
      </c>
    </row>
    <row r="3874" spans="1:2">
      <c r="A3874" t="s">
        <v>13796</v>
      </c>
      <c r="B3874" t="s">
        <v>13797</v>
      </c>
    </row>
    <row r="3875" spans="1:2">
      <c r="A3875" t="s">
        <v>13798</v>
      </c>
      <c r="B3875" t="s">
        <v>13799</v>
      </c>
    </row>
    <row r="3876" spans="1:2">
      <c r="A3876" t="s">
        <v>13800</v>
      </c>
      <c r="B3876" t="s">
        <v>13801</v>
      </c>
    </row>
    <row r="3877" spans="1:2">
      <c r="A3877" t="s">
        <v>13802</v>
      </c>
      <c r="B3877" t="s">
        <v>13803</v>
      </c>
    </row>
    <row r="3878" spans="1:2">
      <c r="A3878" t="s">
        <v>13804</v>
      </c>
      <c r="B3878" t="s">
        <v>13805</v>
      </c>
    </row>
    <row r="3879" spans="1:2">
      <c r="A3879" t="s">
        <v>13806</v>
      </c>
      <c r="B3879" t="s">
        <v>13807</v>
      </c>
    </row>
    <row r="3880" spans="1:2">
      <c r="A3880" t="s">
        <v>13808</v>
      </c>
      <c r="B3880" t="s">
        <v>13809</v>
      </c>
    </row>
    <row r="3881" spans="1:2">
      <c r="A3881" t="s">
        <v>13810</v>
      </c>
      <c r="B3881" t="s">
        <v>13811</v>
      </c>
    </row>
    <row r="3882" spans="1:2">
      <c r="A3882" t="s">
        <v>13812</v>
      </c>
      <c r="B3882" t="s">
        <v>13813</v>
      </c>
    </row>
    <row r="3883" spans="1:2">
      <c r="A3883" t="s">
        <v>13814</v>
      </c>
      <c r="B3883" t="s">
        <v>13815</v>
      </c>
    </row>
    <row r="3884" spans="1:2">
      <c r="A3884" t="s">
        <v>13816</v>
      </c>
      <c r="B3884" t="s">
        <v>13817</v>
      </c>
    </row>
    <row r="3885" spans="1:2">
      <c r="A3885" t="s">
        <v>13818</v>
      </c>
      <c r="B3885" t="s">
        <v>13819</v>
      </c>
    </row>
    <row r="3886" spans="1:2">
      <c r="A3886" t="s">
        <v>13820</v>
      </c>
      <c r="B3886" t="s">
        <v>13821</v>
      </c>
    </row>
    <row r="3887" spans="1:2">
      <c r="A3887" t="s">
        <v>13822</v>
      </c>
      <c r="B3887" t="s">
        <v>13823</v>
      </c>
    </row>
    <row r="3888" spans="1:2">
      <c r="A3888" t="s">
        <v>13824</v>
      </c>
      <c r="B3888" t="s">
        <v>13825</v>
      </c>
    </row>
    <row r="3889" spans="1:2">
      <c r="A3889" t="s">
        <v>13826</v>
      </c>
      <c r="B3889" t="s">
        <v>13827</v>
      </c>
    </row>
    <row r="3890" spans="1:2">
      <c r="A3890" t="s">
        <v>13828</v>
      </c>
      <c r="B3890" t="s">
        <v>13829</v>
      </c>
    </row>
    <row r="3891" spans="1:2">
      <c r="A3891" t="s">
        <v>13830</v>
      </c>
      <c r="B3891" t="s">
        <v>13831</v>
      </c>
    </row>
    <row r="3892" spans="1:2">
      <c r="A3892" t="s">
        <v>13832</v>
      </c>
      <c r="B3892" t="s">
        <v>13833</v>
      </c>
    </row>
    <row r="3893" spans="1:2">
      <c r="A3893" t="s">
        <v>13834</v>
      </c>
      <c r="B3893" t="s">
        <v>13835</v>
      </c>
    </row>
    <row r="3894" spans="1:2">
      <c r="A3894" t="s">
        <v>13836</v>
      </c>
      <c r="B3894" t="s">
        <v>13837</v>
      </c>
    </row>
    <row r="3895" spans="1:2">
      <c r="A3895" t="s">
        <v>13838</v>
      </c>
      <c r="B3895" t="s">
        <v>13839</v>
      </c>
    </row>
    <row r="3896" spans="1:2">
      <c r="A3896" t="s">
        <v>13840</v>
      </c>
      <c r="B3896" t="s">
        <v>13841</v>
      </c>
    </row>
    <row r="3897" spans="1:2">
      <c r="A3897" t="s">
        <v>13842</v>
      </c>
      <c r="B3897" t="s">
        <v>13843</v>
      </c>
    </row>
    <row r="3898" spans="1:2">
      <c r="A3898" t="s">
        <v>13844</v>
      </c>
      <c r="B3898" t="s">
        <v>13845</v>
      </c>
    </row>
    <row r="3899" spans="1:2">
      <c r="A3899" t="s">
        <v>13846</v>
      </c>
      <c r="B3899" t="s">
        <v>13847</v>
      </c>
    </row>
    <row r="3900" spans="1:2">
      <c r="A3900" t="s">
        <v>13848</v>
      </c>
      <c r="B3900" t="s">
        <v>13849</v>
      </c>
    </row>
    <row r="3901" spans="1:2">
      <c r="A3901" t="s">
        <v>13850</v>
      </c>
      <c r="B3901" t="s">
        <v>13851</v>
      </c>
    </row>
    <row r="3902" spans="1:2">
      <c r="A3902" t="s">
        <v>13852</v>
      </c>
      <c r="B3902" t="s">
        <v>13853</v>
      </c>
    </row>
    <row r="3903" spans="1:2">
      <c r="A3903" t="s">
        <v>13854</v>
      </c>
      <c r="B3903" t="s">
        <v>13855</v>
      </c>
    </row>
    <row r="3904" spans="1:2">
      <c r="A3904" t="s">
        <v>13856</v>
      </c>
      <c r="B3904" t="s">
        <v>13857</v>
      </c>
    </row>
    <row r="3905" spans="1:2">
      <c r="A3905" t="s">
        <v>13858</v>
      </c>
      <c r="B3905" t="s">
        <v>13859</v>
      </c>
    </row>
    <row r="3906" spans="1:2">
      <c r="A3906" t="s">
        <v>13860</v>
      </c>
      <c r="B3906" t="s">
        <v>13861</v>
      </c>
    </row>
    <row r="3907" spans="1:2">
      <c r="A3907" t="s">
        <v>13862</v>
      </c>
      <c r="B3907" t="s">
        <v>13863</v>
      </c>
    </row>
    <row r="3908" spans="1:2">
      <c r="A3908" t="s">
        <v>13864</v>
      </c>
      <c r="B3908" t="s">
        <v>13865</v>
      </c>
    </row>
    <row r="3909" spans="1:2">
      <c r="A3909" t="s">
        <v>13866</v>
      </c>
      <c r="B3909" t="s">
        <v>7963</v>
      </c>
    </row>
    <row r="3910" spans="1:2">
      <c r="A3910" t="s">
        <v>13867</v>
      </c>
      <c r="B3910" t="s">
        <v>13868</v>
      </c>
    </row>
    <row r="3911" spans="1:2">
      <c r="A3911" t="s">
        <v>13869</v>
      </c>
      <c r="B3911" t="s">
        <v>13870</v>
      </c>
    </row>
    <row r="3912" spans="1:2">
      <c r="A3912" t="s">
        <v>13871</v>
      </c>
      <c r="B3912" t="s">
        <v>13872</v>
      </c>
    </row>
    <row r="3913" spans="1:2">
      <c r="A3913" t="s">
        <v>13873</v>
      </c>
      <c r="B3913" t="s">
        <v>13874</v>
      </c>
    </row>
    <row r="3914" spans="1:2">
      <c r="A3914" t="s">
        <v>13875</v>
      </c>
      <c r="B3914" t="s">
        <v>13876</v>
      </c>
    </row>
    <row r="3915" spans="1:2">
      <c r="A3915" t="s">
        <v>13877</v>
      </c>
      <c r="B3915" t="s">
        <v>13878</v>
      </c>
    </row>
    <row r="3916" spans="1:2">
      <c r="A3916" t="s">
        <v>13879</v>
      </c>
      <c r="B3916" t="s">
        <v>13880</v>
      </c>
    </row>
    <row r="3917" spans="1:2">
      <c r="A3917" t="s">
        <v>13881</v>
      </c>
      <c r="B3917" t="s">
        <v>13882</v>
      </c>
    </row>
    <row r="3918" spans="1:2">
      <c r="A3918" t="s">
        <v>13883</v>
      </c>
      <c r="B3918" t="s">
        <v>13884</v>
      </c>
    </row>
    <row r="3919" spans="1:2">
      <c r="A3919" t="s">
        <v>13885</v>
      </c>
      <c r="B3919" t="s">
        <v>13886</v>
      </c>
    </row>
    <row r="3920" spans="1:2">
      <c r="A3920" t="s">
        <v>13887</v>
      </c>
      <c r="B3920" t="s">
        <v>13888</v>
      </c>
    </row>
    <row r="3921" spans="1:2">
      <c r="A3921" t="s">
        <v>13889</v>
      </c>
      <c r="B3921" t="s">
        <v>9323</v>
      </c>
    </row>
    <row r="3922" spans="1:2">
      <c r="A3922" t="s">
        <v>13890</v>
      </c>
      <c r="B3922" t="s">
        <v>13891</v>
      </c>
    </row>
    <row r="3923" spans="1:2">
      <c r="A3923" t="s">
        <v>13892</v>
      </c>
      <c r="B3923" t="s">
        <v>9354</v>
      </c>
    </row>
    <row r="3924" spans="1:2">
      <c r="A3924" t="s">
        <v>13893</v>
      </c>
      <c r="B3924" t="s">
        <v>13894</v>
      </c>
    </row>
    <row r="3925" spans="1:2">
      <c r="A3925" t="s">
        <v>13895</v>
      </c>
      <c r="B3925" t="s">
        <v>13896</v>
      </c>
    </row>
    <row r="3926" spans="1:2">
      <c r="A3926" t="s">
        <v>13897</v>
      </c>
      <c r="B3926" t="s">
        <v>13898</v>
      </c>
    </row>
    <row r="3927" spans="1:2">
      <c r="A3927" t="s">
        <v>13899</v>
      </c>
      <c r="B3927" t="s">
        <v>13900</v>
      </c>
    </row>
    <row r="3928" spans="1:2">
      <c r="A3928" t="s">
        <v>13901</v>
      </c>
      <c r="B3928" t="s">
        <v>13902</v>
      </c>
    </row>
    <row r="3929" spans="1:2">
      <c r="A3929" t="s">
        <v>13903</v>
      </c>
      <c r="B3929" t="s">
        <v>13904</v>
      </c>
    </row>
    <row r="3930" spans="1:2">
      <c r="A3930" t="s">
        <v>13905</v>
      </c>
      <c r="B3930" t="s">
        <v>13906</v>
      </c>
    </row>
    <row r="3931" spans="1:2">
      <c r="A3931" t="s">
        <v>13907</v>
      </c>
      <c r="B3931" t="s">
        <v>13908</v>
      </c>
    </row>
    <row r="3932" spans="1:2">
      <c r="A3932" t="s">
        <v>13909</v>
      </c>
      <c r="B3932" t="s">
        <v>13910</v>
      </c>
    </row>
    <row r="3933" spans="1:2">
      <c r="A3933" t="s">
        <v>13911</v>
      </c>
      <c r="B3933" t="s">
        <v>13912</v>
      </c>
    </row>
    <row r="3934" spans="1:2">
      <c r="A3934" t="s">
        <v>13913</v>
      </c>
      <c r="B3934" t="s">
        <v>13914</v>
      </c>
    </row>
    <row r="3935" spans="1:2">
      <c r="A3935" t="s">
        <v>13915</v>
      </c>
      <c r="B3935" t="s">
        <v>13916</v>
      </c>
    </row>
    <row r="3936" spans="1:2">
      <c r="A3936" t="s">
        <v>13917</v>
      </c>
      <c r="B3936" t="s">
        <v>13918</v>
      </c>
    </row>
    <row r="3937" spans="1:2">
      <c r="A3937" t="s">
        <v>13919</v>
      </c>
      <c r="B3937" t="s">
        <v>13920</v>
      </c>
    </row>
    <row r="3938" spans="1:2">
      <c r="A3938" t="s">
        <v>13921</v>
      </c>
      <c r="B3938" t="s">
        <v>7709</v>
      </c>
    </row>
    <row r="3939" spans="1:2">
      <c r="A3939" t="s">
        <v>13922</v>
      </c>
      <c r="B3939" t="s">
        <v>849</v>
      </c>
    </row>
    <row r="3940" spans="1:2">
      <c r="A3940" t="s">
        <v>13923</v>
      </c>
      <c r="B3940" t="s">
        <v>787</v>
      </c>
    </row>
    <row r="3941" spans="1:2">
      <c r="A3941" t="s">
        <v>13924</v>
      </c>
      <c r="B3941" t="s">
        <v>13925</v>
      </c>
    </row>
    <row r="3942" spans="1:2">
      <c r="A3942" t="s">
        <v>13926</v>
      </c>
      <c r="B3942" t="s">
        <v>13927</v>
      </c>
    </row>
    <row r="3943" spans="1:2">
      <c r="A3943" t="s">
        <v>13928</v>
      </c>
      <c r="B3943" t="s">
        <v>13929</v>
      </c>
    </row>
    <row r="3944" spans="1:2">
      <c r="A3944" t="s">
        <v>13930</v>
      </c>
      <c r="B3944" t="s">
        <v>13931</v>
      </c>
    </row>
    <row r="3945" spans="1:2">
      <c r="A3945" t="s">
        <v>13932</v>
      </c>
      <c r="B3945" t="s">
        <v>13933</v>
      </c>
    </row>
    <row r="3946" spans="1:2">
      <c r="A3946" t="s">
        <v>13934</v>
      </c>
      <c r="B3946" t="s">
        <v>13935</v>
      </c>
    </row>
    <row r="3947" spans="1:2">
      <c r="A3947" t="s">
        <v>13936</v>
      </c>
      <c r="B3947" t="s">
        <v>13937</v>
      </c>
    </row>
    <row r="3948" spans="1:2">
      <c r="A3948" t="s">
        <v>13938</v>
      </c>
      <c r="B3948" t="s">
        <v>13939</v>
      </c>
    </row>
    <row r="3949" spans="1:2">
      <c r="A3949" t="s">
        <v>13940</v>
      </c>
      <c r="B3949" t="s">
        <v>13941</v>
      </c>
    </row>
    <row r="3950" spans="1:2">
      <c r="A3950" t="s">
        <v>13942</v>
      </c>
      <c r="B3950" t="s">
        <v>13943</v>
      </c>
    </row>
    <row r="3951" spans="1:2">
      <c r="A3951" t="s">
        <v>13944</v>
      </c>
      <c r="B3951" t="s">
        <v>13945</v>
      </c>
    </row>
    <row r="3952" spans="1:2">
      <c r="A3952" t="s">
        <v>13944</v>
      </c>
      <c r="B3952" t="s">
        <v>13945</v>
      </c>
    </row>
    <row r="3953" spans="1:2">
      <c r="A3953" t="s">
        <v>13946</v>
      </c>
      <c r="B3953" t="s">
        <v>13947</v>
      </c>
    </row>
    <row r="3954" spans="1:2">
      <c r="A3954" t="s">
        <v>13946</v>
      </c>
      <c r="B3954" t="s">
        <v>13947</v>
      </c>
    </row>
    <row r="3955" spans="1:2">
      <c r="A3955" t="s">
        <v>13948</v>
      </c>
      <c r="B3955" t="s">
        <v>13949</v>
      </c>
    </row>
    <row r="3956" spans="1:2">
      <c r="A3956" t="s">
        <v>13948</v>
      </c>
      <c r="B3956" t="s">
        <v>13949</v>
      </c>
    </row>
    <row r="3957" spans="1:2">
      <c r="A3957" t="s">
        <v>13950</v>
      </c>
      <c r="B3957" t="s">
        <v>13951</v>
      </c>
    </row>
    <row r="3958" spans="1:2">
      <c r="A3958" t="s">
        <v>13950</v>
      </c>
      <c r="B3958" t="s">
        <v>13951</v>
      </c>
    </row>
    <row r="3959" spans="1:2">
      <c r="A3959" t="s">
        <v>13952</v>
      </c>
      <c r="B3959" t="s">
        <v>13953</v>
      </c>
    </row>
    <row r="3960" spans="1:2">
      <c r="A3960" t="s">
        <v>13952</v>
      </c>
      <c r="B3960" t="s">
        <v>13953</v>
      </c>
    </row>
    <row r="3961" spans="1:2">
      <c r="A3961" t="s">
        <v>13954</v>
      </c>
      <c r="B3961" t="s">
        <v>13955</v>
      </c>
    </row>
    <row r="3962" spans="1:2">
      <c r="A3962" t="s">
        <v>13954</v>
      </c>
      <c r="B3962" t="s">
        <v>13955</v>
      </c>
    </row>
    <row r="3963" spans="1:2">
      <c r="A3963" t="s">
        <v>13956</v>
      </c>
      <c r="B3963" t="s">
        <v>13957</v>
      </c>
    </row>
    <row r="3964" spans="1:2">
      <c r="A3964" t="s">
        <v>13956</v>
      </c>
      <c r="B3964" t="s">
        <v>13957</v>
      </c>
    </row>
    <row r="3965" spans="1:2">
      <c r="A3965" t="s">
        <v>13958</v>
      </c>
      <c r="B3965" t="s">
        <v>13959</v>
      </c>
    </row>
    <row r="3966" spans="1:2">
      <c r="A3966" t="s">
        <v>13958</v>
      </c>
      <c r="B3966" t="s">
        <v>13959</v>
      </c>
    </row>
    <row r="3967" spans="1:2">
      <c r="A3967" t="s">
        <v>13960</v>
      </c>
      <c r="B3967" t="s">
        <v>13961</v>
      </c>
    </row>
    <row r="3968" spans="1:2">
      <c r="A3968" t="s">
        <v>13960</v>
      </c>
      <c r="B3968" t="s">
        <v>13961</v>
      </c>
    </row>
    <row r="3969" spans="1:2">
      <c r="A3969" t="s">
        <v>13962</v>
      </c>
      <c r="B3969" t="s">
        <v>13963</v>
      </c>
    </row>
    <row r="3970" spans="1:2">
      <c r="A3970" t="s">
        <v>13962</v>
      </c>
      <c r="B3970" t="s">
        <v>13963</v>
      </c>
    </row>
    <row r="3971" spans="1:2">
      <c r="A3971" t="s">
        <v>13964</v>
      </c>
      <c r="B3971" t="s">
        <v>13965</v>
      </c>
    </row>
    <row r="3972" spans="1:2">
      <c r="A3972" t="s">
        <v>13964</v>
      </c>
      <c r="B3972" t="s">
        <v>13965</v>
      </c>
    </row>
    <row r="3973" spans="1:2">
      <c r="A3973" t="s">
        <v>13966</v>
      </c>
      <c r="B3973" t="s">
        <v>13967</v>
      </c>
    </row>
    <row r="3974" spans="1:2">
      <c r="A3974" t="s">
        <v>13966</v>
      </c>
      <c r="B3974" t="s">
        <v>13967</v>
      </c>
    </row>
    <row r="3975" spans="1:2">
      <c r="A3975" t="s">
        <v>13968</v>
      </c>
      <c r="B3975" t="s">
        <v>13969</v>
      </c>
    </row>
    <row r="3976" spans="1:2">
      <c r="A3976" t="s">
        <v>13968</v>
      </c>
      <c r="B3976" t="s">
        <v>13969</v>
      </c>
    </row>
    <row r="3977" spans="1:2">
      <c r="A3977" t="s">
        <v>13970</v>
      </c>
      <c r="B3977" t="s">
        <v>13971</v>
      </c>
    </row>
    <row r="3978" spans="1:2">
      <c r="A3978" t="s">
        <v>13970</v>
      </c>
      <c r="B3978" t="s">
        <v>13971</v>
      </c>
    </row>
    <row r="3979" spans="1:2">
      <c r="A3979" t="s">
        <v>13972</v>
      </c>
      <c r="B3979" t="s">
        <v>13973</v>
      </c>
    </row>
    <row r="3980" spans="1:2">
      <c r="A3980" t="s">
        <v>13972</v>
      </c>
      <c r="B3980" t="s">
        <v>13973</v>
      </c>
    </row>
    <row r="3981" spans="1:2">
      <c r="A3981" t="s">
        <v>13974</v>
      </c>
      <c r="B3981" t="s">
        <v>13975</v>
      </c>
    </row>
    <row r="3982" spans="1:2">
      <c r="A3982" t="s">
        <v>13974</v>
      </c>
      <c r="B3982" t="s">
        <v>13975</v>
      </c>
    </row>
    <row r="3983" spans="1:2">
      <c r="A3983" t="s">
        <v>13974</v>
      </c>
      <c r="B3983" t="s">
        <v>13976</v>
      </c>
    </row>
    <row r="3984" spans="1:2">
      <c r="A3984" t="s">
        <v>13977</v>
      </c>
      <c r="B3984" t="s">
        <v>13978</v>
      </c>
    </row>
    <row r="3985" spans="1:2">
      <c r="A3985" t="s">
        <v>13977</v>
      </c>
      <c r="B3985" t="s">
        <v>13978</v>
      </c>
    </row>
    <row r="3986" spans="1:2">
      <c r="A3986" t="s">
        <v>13977</v>
      </c>
      <c r="B3986" t="s">
        <v>13979</v>
      </c>
    </row>
    <row r="3987" spans="1:2">
      <c r="A3987" t="s">
        <v>13980</v>
      </c>
      <c r="B3987" t="s">
        <v>13981</v>
      </c>
    </row>
    <row r="3988" spans="1:2">
      <c r="A3988" t="s">
        <v>13980</v>
      </c>
      <c r="B3988" t="s">
        <v>13981</v>
      </c>
    </row>
    <row r="3989" spans="1:2">
      <c r="A3989" t="s">
        <v>13982</v>
      </c>
      <c r="B3989" t="s">
        <v>13983</v>
      </c>
    </row>
    <row r="3990" spans="1:2">
      <c r="A3990" t="s">
        <v>13982</v>
      </c>
      <c r="B3990" t="s">
        <v>13983</v>
      </c>
    </row>
    <row r="3991" spans="1:2">
      <c r="A3991" t="s">
        <v>13984</v>
      </c>
      <c r="B3991" t="s">
        <v>13985</v>
      </c>
    </row>
    <row r="3992" spans="1:2">
      <c r="A3992" t="s">
        <v>13984</v>
      </c>
      <c r="B3992" t="s">
        <v>13985</v>
      </c>
    </row>
    <row r="3993" spans="1:2">
      <c r="A3993" t="s">
        <v>13986</v>
      </c>
      <c r="B3993" t="s">
        <v>8152</v>
      </c>
    </row>
    <row r="3994" spans="1:2">
      <c r="A3994" t="s">
        <v>13986</v>
      </c>
      <c r="B3994" t="s">
        <v>13987</v>
      </c>
    </row>
    <row r="3995" spans="1:2">
      <c r="A3995" t="s">
        <v>13988</v>
      </c>
      <c r="B3995" t="s">
        <v>13989</v>
      </c>
    </row>
    <row r="3996" spans="1:2">
      <c r="A3996" t="s">
        <v>13990</v>
      </c>
      <c r="B3996" t="s">
        <v>13991</v>
      </c>
    </row>
    <row r="3997" spans="1:2">
      <c r="A3997" t="s">
        <v>13992</v>
      </c>
      <c r="B3997" t="s">
        <v>13993</v>
      </c>
    </row>
    <row r="3998" spans="1:2">
      <c r="A3998" t="s">
        <v>13994</v>
      </c>
      <c r="B3998" t="s">
        <v>13995</v>
      </c>
    </row>
    <row r="3999" spans="1:2">
      <c r="A3999" t="s">
        <v>13994</v>
      </c>
      <c r="B3999" t="s">
        <v>13996</v>
      </c>
    </row>
    <row r="4000" spans="1:2">
      <c r="A4000" t="s">
        <v>13997</v>
      </c>
      <c r="B4000" t="s">
        <v>13998</v>
      </c>
    </row>
    <row r="4001" spans="1:2">
      <c r="A4001" t="s">
        <v>13999</v>
      </c>
      <c r="B4001" t="s">
        <v>14000</v>
      </c>
    </row>
    <row r="4002" spans="1:2">
      <c r="A4002" t="s">
        <v>14001</v>
      </c>
      <c r="B4002" t="s">
        <v>14002</v>
      </c>
    </row>
    <row r="4003" spans="1:2">
      <c r="A4003" t="s">
        <v>14003</v>
      </c>
      <c r="B4003" t="s">
        <v>9573</v>
      </c>
    </row>
    <row r="4004" spans="1:2">
      <c r="A4004" t="s">
        <v>14003</v>
      </c>
      <c r="B4004" t="s">
        <v>14004</v>
      </c>
    </row>
    <row r="4005" spans="1:2">
      <c r="A4005" t="s">
        <v>14005</v>
      </c>
      <c r="B4005" t="s">
        <v>14006</v>
      </c>
    </row>
    <row r="4006" spans="1:2">
      <c r="A4006" t="s">
        <v>14007</v>
      </c>
      <c r="B4006" t="s">
        <v>14008</v>
      </c>
    </row>
    <row r="4007" spans="1:2">
      <c r="A4007" t="s">
        <v>14009</v>
      </c>
      <c r="B4007" t="s">
        <v>14010</v>
      </c>
    </row>
    <row r="4008" spans="1:2">
      <c r="A4008" t="s">
        <v>14011</v>
      </c>
      <c r="B4008" t="s">
        <v>9557</v>
      </c>
    </row>
    <row r="4009" spans="1:2">
      <c r="A4009" t="s">
        <v>14011</v>
      </c>
      <c r="B4009" t="s">
        <v>14012</v>
      </c>
    </row>
    <row r="4010" spans="1:2">
      <c r="A4010" t="s">
        <v>14013</v>
      </c>
      <c r="B4010" t="s">
        <v>14014</v>
      </c>
    </row>
    <row r="4011" spans="1:2">
      <c r="A4011" t="s">
        <v>14015</v>
      </c>
      <c r="B4011" t="s">
        <v>14016</v>
      </c>
    </row>
    <row r="4012" spans="1:2">
      <c r="A4012" t="s">
        <v>14017</v>
      </c>
      <c r="B4012" t="s">
        <v>14018</v>
      </c>
    </row>
    <row r="4013" spans="1:2">
      <c r="A4013" t="s">
        <v>14019</v>
      </c>
      <c r="B4013" t="s">
        <v>14020</v>
      </c>
    </row>
    <row r="4014" spans="1:2">
      <c r="A4014" t="s">
        <v>14019</v>
      </c>
      <c r="B4014" t="s">
        <v>14021</v>
      </c>
    </row>
    <row r="4015" spans="1:2">
      <c r="A4015" t="s">
        <v>14022</v>
      </c>
      <c r="B4015" t="s">
        <v>14023</v>
      </c>
    </row>
    <row r="4016" spans="1:2">
      <c r="A4016" t="s">
        <v>14024</v>
      </c>
      <c r="B4016" t="s">
        <v>14025</v>
      </c>
    </row>
    <row r="4017" spans="1:2">
      <c r="A4017" t="s">
        <v>14026</v>
      </c>
      <c r="B4017" t="s">
        <v>14027</v>
      </c>
    </row>
    <row r="4018" spans="1:2">
      <c r="A4018" t="s">
        <v>14026</v>
      </c>
      <c r="B4018" t="s">
        <v>14028</v>
      </c>
    </row>
    <row r="4019" spans="1:2">
      <c r="A4019" t="s">
        <v>14029</v>
      </c>
      <c r="B4019" t="s">
        <v>14030</v>
      </c>
    </row>
    <row r="4020" spans="1:2">
      <c r="A4020" t="s">
        <v>14029</v>
      </c>
      <c r="B4020" t="s">
        <v>14031</v>
      </c>
    </row>
    <row r="4021" spans="1:2">
      <c r="A4021" t="s">
        <v>14032</v>
      </c>
      <c r="B4021" t="s">
        <v>14033</v>
      </c>
    </row>
    <row r="4022" spans="1:2">
      <c r="A4022" t="s">
        <v>14032</v>
      </c>
      <c r="B4022" t="s">
        <v>14034</v>
      </c>
    </row>
    <row r="4023" spans="1:2">
      <c r="A4023" t="s">
        <v>14035</v>
      </c>
      <c r="B4023" t="s">
        <v>14008</v>
      </c>
    </row>
    <row r="4024" spans="1:2">
      <c r="A4024" t="s">
        <v>14035</v>
      </c>
      <c r="B4024" t="s">
        <v>14008</v>
      </c>
    </row>
    <row r="4025" spans="1:2">
      <c r="A4025" t="s">
        <v>14036</v>
      </c>
      <c r="B4025" t="s">
        <v>14037</v>
      </c>
    </row>
    <row r="4026" spans="1:2">
      <c r="A4026" t="s">
        <v>14036</v>
      </c>
      <c r="B4026" t="s">
        <v>14038</v>
      </c>
    </row>
    <row r="4027" spans="1:2">
      <c r="A4027" t="s">
        <v>14039</v>
      </c>
      <c r="B4027" t="s">
        <v>14000</v>
      </c>
    </row>
    <row r="4028" spans="1:2">
      <c r="A4028" t="s">
        <v>14039</v>
      </c>
      <c r="B4028" t="s">
        <v>14000</v>
      </c>
    </row>
    <row r="4029" spans="1:2">
      <c r="A4029" t="s">
        <v>14040</v>
      </c>
      <c r="B4029" t="s">
        <v>14041</v>
      </c>
    </row>
    <row r="4030" spans="1:2">
      <c r="A4030" t="s">
        <v>14040</v>
      </c>
      <c r="B4030" t="s">
        <v>14042</v>
      </c>
    </row>
    <row r="4031" spans="1:2">
      <c r="A4031" t="s">
        <v>14043</v>
      </c>
      <c r="B4031" t="s">
        <v>14044</v>
      </c>
    </row>
    <row r="4032" spans="1:2">
      <c r="A4032" t="s">
        <v>14043</v>
      </c>
      <c r="B4032" t="s">
        <v>14044</v>
      </c>
    </row>
    <row r="4033" spans="1:2">
      <c r="A4033" t="s">
        <v>14045</v>
      </c>
      <c r="B4033" t="s">
        <v>14046</v>
      </c>
    </row>
    <row r="4034" spans="1:2">
      <c r="A4034" t="s">
        <v>14045</v>
      </c>
      <c r="B4034" t="s">
        <v>14046</v>
      </c>
    </row>
    <row r="4035" spans="1:2">
      <c r="A4035" t="s">
        <v>14047</v>
      </c>
      <c r="B4035" t="s">
        <v>14048</v>
      </c>
    </row>
    <row r="4036" spans="1:2">
      <c r="A4036" t="s">
        <v>14047</v>
      </c>
      <c r="B4036" t="s">
        <v>14048</v>
      </c>
    </row>
    <row r="4037" spans="1:2">
      <c r="A4037" t="s">
        <v>14049</v>
      </c>
      <c r="B4037" t="s">
        <v>14050</v>
      </c>
    </row>
    <row r="4038" spans="1:2">
      <c r="A4038" t="s">
        <v>14049</v>
      </c>
      <c r="B4038" t="s">
        <v>14050</v>
      </c>
    </row>
    <row r="4039" spans="1:2">
      <c r="A4039" t="s">
        <v>14051</v>
      </c>
      <c r="B4039" t="s">
        <v>14052</v>
      </c>
    </row>
    <row r="4040" spans="1:2">
      <c r="A4040" t="s">
        <v>14051</v>
      </c>
      <c r="B4040" t="s">
        <v>14052</v>
      </c>
    </row>
    <row r="4041" spans="1:2">
      <c r="A4041" t="s">
        <v>14053</v>
      </c>
      <c r="B4041" t="s">
        <v>14054</v>
      </c>
    </row>
    <row r="4042" spans="1:2">
      <c r="A4042" t="s">
        <v>14053</v>
      </c>
      <c r="B4042" t="s">
        <v>14054</v>
      </c>
    </row>
    <row r="4043" spans="1:2">
      <c r="A4043" t="s">
        <v>14055</v>
      </c>
      <c r="B4043" t="s">
        <v>14056</v>
      </c>
    </row>
    <row r="4044" spans="1:2">
      <c r="A4044" t="s">
        <v>14055</v>
      </c>
      <c r="B4044" t="s">
        <v>14056</v>
      </c>
    </row>
    <row r="4045" spans="1:2">
      <c r="A4045" t="s">
        <v>14057</v>
      </c>
      <c r="B4045" t="s">
        <v>14058</v>
      </c>
    </row>
    <row r="4046" spans="1:2">
      <c r="A4046" t="s">
        <v>14057</v>
      </c>
      <c r="B4046" t="s">
        <v>14058</v>
      </c>
    </row>
    <row r="4047" spans="1:2">
      <c r="A4047" t="s">
        <v>14059</v>
      </c>
      <c r="B4047" t="s">
        <v>14060</v>
      </c>
    </row>
    <row r="4048" spans="1:2">
      <c r="A4048" t="s">
        <v>14059</v>
      </c>
      <c r="B4048" t="s">
        <v>14060</v>
      </c>
    </row>
    <row r="4049" spans="1:2">
      <c r="A4049" t="s">
        <v>14061</v>
      </c>
      <c r="B4049" t="s">
        <v>14062</v>
      </c>
    </row>
    <row r="4050" spans="1:2">
      <c r="A4050" t="s">
        <v>14061</v>
      </c>
      <c r="B4050" t="s">
        <v>14062</v>
      </c>
    </row>
    <row r="4051" spans="1:2">
      <c r="A4051" t="s">
        <v>14063</v>
      </c>
      <c r="B4051" t="s">
        <v>14064</v>
      </c>
    </row>
    <row r="4052" spans="1:2">
      <c r="A4052" t="s">
        <v>14063</v>
      </c>
      <c r="B4052" t="s">
        <v>14064</v>
      </c>
    </row>
    <row r="4053" spans="1:2">
      <c r="A4053" t="s">
        <v>14065</v>
      </c>
      <c r="B4053" t="s">
        <v>14066</v>
      </c>
    </row>
    <row r="4054" spans="1:2">
      <c r="A4054" t="s">
        <v>14065</v>
      </c>
      <c r="B4054" t="s">
        <v>14066</v>
      </c>
    </row>
    <row r="4055" spans="1:2">
      <c r="A4055" t="s">
        <v>14067</v>
      </c>
      <c r="B4055" t="s">
        <v>14068</v>
      </c>
    </row>
    <row r="4056" spans="1:2">
      <c r="A4056" t="s">
        <v>14067</v>
      </c>
      <c r="B4056" t="s">
        <v>14068</v>
      </c>
    </row>
    <row r="4057" spans="1:2">
      <c r="A4057" t="s">
        <v>14069</v>
      </c>
      <c r="B4057" t="s">
        <v>14070</v>
      </c>
    </row>
    <row r="4058" spans="1:2">
      <c r="A4058" t="s">
        <v>14069</v>
      </c>
      <c r="B4058" t="s">
        <v>14070</v>
      </c>
    </row>
    <row r="4059" spans="1:2">
      <c r="A4059" t="s">
        <v>14071</v>
      </c>
      <c r="B4059" t="s">
        <v>2198</v>
      </c>
    </row>
    <row r="4060" spans="1:2">
      <c r="A4060" t="s">
        <v>14071</v>
      </c>
      <c r="B4060" t="s">
        <v>14072</v>
      </c>
    </row>
    <row r="4061" spans="1:2">
      <c r="A4061" t="s">
        <v>14073</v>
      </c>
      <c r="B4061" t="s">
        <v>14074</v>
      </c>
    </row>
    <row r="4062" spans="1:2">
      <c r="A4062" t="s">
        <v>14073</v>
      </c>
      <c r="B4062" t="s">
        <v>14075</v>
      </c>
    </row>
    <row r="4063" spans="1:2">
      <c r="A4063" t="s">
        <v>14076</v>
      </c>
      <c r="B4063" t="s">
        <v>14077</v>
      </c>
    </row>
    <row r="4064" spans="1:2">
      <c r="A4064" t="s">
        <v>14076</v>
      </c>
      <c r="B4064" t="s">
        <v>14078</v>
      </c>
    </row>
    <row r="4065" spans="1:2">
      <c r="A4065" t="s">
        <v>14079</v>
      </c>
      <c r="B4065" t="s">
        <v>14080</v>
      </c>
    </row>
    <row r="4066" spans="1:2">
      <c r="A4066" t="s">
        <v>14079</v>
      </c>
      <c r="B4066" t="s">
        <v>14081</v>
      </c>
    </row>
    <row r="4067" spans="1:2">
      <c r="A4067" t="s">
        <v>14082</v>
      </c>
      <c r="B4067" t="s">
        <v>14083</v>
      </c>
    </row>
    <row r="4068" spans="1:2">
      <c r="A4068" t="s">
        <v>14082</v>
      </c>
      <c r="B4068" t="s">
        <v>14084</v>
      </c>
    </row>
    <row r="4069" spans="1:2">
      <c r="A4069" t="s">
        <v>14085</v>
      </c>
      <c r="B4069" t="s">
        <v>14086</v>
      </c>
    </row>
    <row r="4070" spans="1:2">
      <c r="A4070" t="s">
        <v>14087</v>
      </c>
      <c r="B4070" t="s">
        <v>14088</v>
      </c>
    </row>
    <row r="4071" spans="1:2">
      <c r="A4071" t="s">
        <v>14087</v>
      </c>
      <c r="B4071" t="s">
        <v>14089</v>
      </c>
    </row>
    <row r="4072" spans="1:2">
      <c r="A4072" t="s">
        <v>14090</v>
      </c>
      <c r="B4072" t="s">
        <v>14091</v>
      </c>
    </row>
    <row r="4073" spans="1:2">
      <c r="A4073" t="s">
        <v>14090</v>
      </c>
      <c r="B4073" t="s">
        <v>14092</v>
      </c>
    </row>
    <row r="4074" spans="1:2">
      <c r="A4074" t="s">
        <v>14093</v>
      </c>
      <c r="B4074" t="s">
        <v>14094</v>
      </c>
    </row>
    <row r="4075" spans="1:2">
      <c r="A4075" t="s">
        <v>14093</v>
      </c>
      <c r="B4075" t="s">
        <v>14095</v>
      </c>
    </row>
    <row r="4076" spans="1:2">
      <c r="A4076" t="s">
        <v>14096</v>
      </c>
      <c r="B4076" t="s">
        <v>14097</v>
      </c>
    </row>
    <row r="4077" spans="1:2">
      <c r="A4077" t="s">
        <v>14096</v>
      </c>
      <c r="B4077" t="s">
        <v>14098</v>
      </c>
    </row>
    <row r="4078" spans="1:2">
      <c r="A4078" t="s">
        <v>14099</v>
      </c>
      <c r="B4078" t="s">
        <v>14100</v>
      </c>
    </row>
    <row r="4079" spans="1:2">
      <c r="A4079" t="s">
        <v>14099</v>
      </c>
      <c r="B4079" t="s">
        <v>14101</v>
      </c>
    </row>
    <row r="4080" spans="1:2">
      <c r="A4080" t="s">
        <v>14102</v>
      </c>
      <c r="B4080" t="s">
        <v>14103</v>
      </c>
    </row>
    <row r="4081" spans="1:2">
      <c r="A4081" t="s">
        <v>14104</v>
      </c>
      <c r="B4081" t="s">
        <v>14105</v>
      </c>
    </row>
    <row r="4082" spans="1:2">
      <c r="A4082" t="s">
        <v>14104</v>
      </c>
      <c r="B4082" t="s">
        <v>14105</v>
      </c>
    </row>
    <row r="4083" spans="1:2">
      <c r="A4083" t="s">
        <v>14106</v>
      </c>
      <c r="B4083" t="s">
        <v>14107</v>
      </c>
    </row>
    <row r="4084" spans="1:2">
      <c r="A4084" t="s">
        <v>14106</v>
      </c>
      <c r="B4084" t="s">
        <v>14108</v>
      </c>
    </row>
    <row r="4085" spans="1:2">
      <c r="A4085" t="s">
        <v>14109</v>
      </c>
      <c r="B4085" t="s">
        <v>14110</v>
      </c>
    </row>
    <row r="4086" spans="1:2">
      <c r="A4086" t="s">
        <v>14111</v>
      </c>
      <c r="B4086" t="s">
        <v>14112</v>
      </c>
    </row>
    <row r="4087" spans="1:2">
      <c r="A4087" t="s">
        <v>14111</v>
      </c>
      <c r="B4087" t="s">
        <v>14113</v>
      </c>
    </row>
    <row r="4088" spans="1:2">
      <c r="A4088" t="s">
        <v>14114</v>
      </c>
      <c r="B4088" t="s">
        <v>14115</v>
      </c>
    </row>
    <row r="4089" spans="1:2">
      <c r="A4089" t="s">
        <v>14114</v>
      </c>
      <c r="B4089" t="s">
        <v>14116</v>
      </c>
    </row>
    <row r="4090" spans="1:2">
      <c r="A4090" t="s">
        <v>14117</v>
      </c>
      <c r="B4090" t="s">
        <v>14118</v>
      </c>
    </row>
    <row r="4091" spans="1:2">
      <c r="A4091" t="s">
        <v>14119</v>
      </c>
      <c r="B4091" t="s">
        <v>14120</v>
      </c>
    </row>
    <row r="4092" spans="1:2">
      <c r="A4092" t="s">
        <v>14121</v>
      </c>
      <c r="B4092" t="s">
        <v>14122</v>
      </c>
    </row>
    <row r="4093" spans="1:2">
      <c r="A4093" t="s">
        <v>14123</v>
      </c>
      <c r="B4093" t="s">
        <v>14124</v>
      </c>
    </row>
    <row r="4094" spans="1:2">
      <c r="A4094" t="s">
        <v>14125</v>
      </c>
      <c r="B4094" t="s">
        <v>14126</v>
      </c>
    </row>
    <row r="4095" spans="1:2">
      <c r="A4095" t="s">
        <v>14127</v>
      </c>
      <c r="B4095" t="s">
        <v>14128</v>
      </c>
    </row>
    <row r="4096" spans="1:2">
      <c r="A4096" t="s">
        <v>14129</v>
      </c>
      <c r="B4096" t="s">
        <v>14130</v>
      </c>
    </row>
    <row r="4097" spans="1:2">
      <c r="A4097" t="s">
        <v>14131</v>
      </c>
      <c r="B4097" t="s">
        <v>14132</v>
      </c>
    </row>
    <row r="4098" spans="1:2">
      <c r="A4098" t="s">
        <v>14133</v>
      </c>
      <c r="B4098" t="s">
        <v>14134</v>
      </c>
    </row>
    <row r="4099" spans="1:2">
      <c r="A4099" t="s">
        <v>14135</v>
      </c>
      <c r="B4099" t="s">
        <v>14136</v>
      </c>
    </row>
    <row r="4100" spans="1:2">
      <c r="A4100" t="s">
        <v>14137</v>
      </c>
      <c r="B4100" t="s">
        <v>14138</v>
      </c>
    </row>
    <row r="4101" spans="1:2">
      <c r="A4101" t="s">
        <v>14139</v>
      </c>
      <c r="B4101" t="s">
        <v>14140</v>
      </c>
    </row>
    <row r="4102" spans="1:2">
      <c r="A4102" t="s">
        <v>14141</v>
      </c>
      <c r="B4102" t="s">
        <v>14142</v>
      </c>
    </row>
    <row r="4103" spans="1:2">
      <c r="A4103" t="s">
        <v>14143</v>
      </c>
      <c r="B4103" t="s">
        <v>14144</v>
      </c>
    </row>
    <row r="4104" spans="1:2">
      <c r="A4104" t="s">
        <v>14145</v>
      </c>
      <c r="B4104" t="s">
        <v>14146</v>
      </c>
    </row>
    <row r="4105" spans="1:2">
      <c r="A4105" t="s">
        <v>14147</v>
      </c>
      <c r="B4105" t="s">
        <v>14148</v>
      </c>
    </row>
    <row r="4106" spans="1:2">
      <c r="A4106" t="s">
        <v>14149</v>
      </c>
      <c r="B4106" t="s">
        <v>14150</v>
      </c>
    </row>
    <row r="4107" spans="1:2">
      <c r="A4107" t="s">
        <v>14151</v>
      </c>
      <c r="B4107" t="s">
        <v>10587</v>
      </c>
    </row>
    <row r="4108" spans="1:2">
      <c r="A4108" t="s">
        <v>14152</v>
      </c>
      <c r="B4108" t="s">
        <v>14153</v>
      </c>
    </row>
    <row r="4109" spans="1:2">
      <c r="A4109" t="s">
        <v>14154</v>
      </c>
      <c r="B4109" t="s">
        <v>14155</v>
      </c>
    </row>
    <row r="4110" spans="1:2">
      <c r="A4110" t="s">
        <v>14156</v>
      </c>
      <c r="B4110" t="s">
        <v>14157</v>
      </c>
    </row>
    <row r="4111" spans="1:2">
      <c r="A4111" t="s">
        <v>14158</v>
      </c>
      <c r="B4111" t="s">
        <v>14159</v>
      </c>
    </row>
    <row r="4112" spans="1:2">
      <c r="A4112" t="s">
        <v>14160</v>
      </c>
      <c r="B4112" t="s">
        <v>14161</v>
      </c>
    </row>
    <row r="4113" spans="1:2">
      <c r="A4113" t="s">
        <v>14162</v>
      </c>
      <c r="B4113" t="s">
        <v>14163</v>
      </c>
    </row>
    <row r="4114" spans="1:2">
      <c r="A4114" t="s">
        <v>14164</v>
      </c>
      <c r="B4114" t="s">
        <v>14165</v>
      </c>
    </row>
    <row r="4115" spans="1:2">
      <c r="A4115" t="s">
        <v>14164</v>
      </c>
      <c r="B4115" t="s">
        <v>14166</v>
      </c>
    </row>
    <row r="4116" spans="1:2">
      <c r="A4116" t="s">
        <v>14164</v>
      </c>
      <c r="B4116" t="s">
        <v>1577</v>
      </c>
    </row>
    <row r="4117" spans="1:2">
      <c r="A4117" t="s">
        <v>14167</v>
      </c>
      <c r="B4117" t="s">
        <v>14168</v>
      </c>
    </row>
    <row r="4118" spans="1:2">
      <c r="A4118" t="s">
        <v>14167</v>
      </c>
      <c r="B4118" t="s">
        <v>14169</v>
      </c>
    </row>
    <row r="4119" spans="1:2">
      <c r="A4119" t="s">
        <v>14167</v>
      </c>
      <c r="B4119" t="s">
        <v>14170</v>
      </c>
    </row>
    <row r="4120" spans="1:2">
      <c r="A4120" t="s">
        <v>14171</v>
      </c>
      <c r="B4120" t="s">
        <v>14172</v>
      </c>
    </row>
    <row r="4121" spans="1:2">
      <c r="A4121" t="s">
        <v>14171</v>
      </c>
      <c r="B4121" t="s">
        <v>14172</v>
      </c>
    </row>
    <row r="4122" spans="1:2">
      <c r="A4122" t="s">
        <v>14171</v>
      </c>
      <c r="B4122" t="s">
        <v>14173</v>
      </c>
    </row>
    <row r="4123" spans="1:2">
      <c r="A4123" t="s">
        <v>14174</v>
      </c>
      <c r="B4123" t="s">
        <v>14175</v>
      </c>
    </row>
    <row r="4124" spans="1:2">
      <c r="A4124" t="s">
        <v>14174</v>
      </c>
      <c r="B4124" t="s">
        <v>14176</v>
      </c>
    </row>
    <row r="4125" spans="1:2">
      <c r="A4125" t="s">
        <v>14174</v>
      </c>
      <c r="B4125" t="s">
        <v>14177</v>
      </c>
    </row>
    <row r="4126" spans="1:2">
      <c r="A4126" t="s">
        <v>14178</v>
      </c>
      <c r="B4126" t="s">
        <v>14179</v>
      </c>
    </row>
    <row r="4127" spans="1:2">
      <c r="A4127" t="s">
        <v>14178</v>
      </c>
      <c r="B4127" t="s">
        <v>14180</v>
      </c>
    </row>
    <row r="4128" spans="1:2">
      <c r="A4128" t="s">
        <v>14178</v>
      </c>
      <c r="B4128" t="s">
        <v>14181</v>
      </c>
    </row>
    <row r="4129" spans="1:2">
      <c r="A4129" t="s">
        <v>14182</v>
      </c>
      <c r="B4129" t="s">
        <v>14183</v>
      </c>
    </row>
    <row r="4130" spans="1:2">
      <c r="A4130" t="s">
        <v>14182</v>
      </c>
      <c r="B4130" t="s">
        <v>14184</v>
      </c>
    </row>
    <row r="4131" spans="1:2">
      <c r="A4131" t="s">
        <v>14182</v>
      </c>
      <c r="B4131" t="s">
        <v>14185</v>
      </c>
    </row>
    <row r="4132" spans="1:2">
      <c r="A4132" t="s">
        <v>14186</v>
      </c>
      <c r="B4132" t="s">
        <v>14187</v>
      </c>
    </row>
    <row r="4133" spans="1:2">
      <c r="A4133" t="s">
        <v>14186</v>
      </c>
      <c r="B4133" t="s">
        <v>14188</v>
      </c>
    </row>
    <row r="4134" spans="1:2">
      <c r="A4134" t="s">
        <v>14186</v>
      </c>
      <c r="B4134" t="s">
        <v>14189</v>
      </c>
    </row>
    <row r="4135" spans="1:2">
      <c r="A4135" t="s">
        <v>14190</v>
      </c>
      <c r="B4135" t="s">
        <v>14191</v>
      </c>
    </row>
    <row r="4136" spans="1:2">
      <c r="A4136" t="s">
        <v>14190</v>
      </c>
      <c r="B4136" t="s">
        <v>14192</v>
      </c>
    </row>
    <row r="4137" spans="1:2">
      <c r="A4137" t="s">
        <v>14190</v>
      </c>
      <c r="B4137" t="s">
        <v>14193</v>
      </c>
    </row>
    <row r="4138" spans="1:2">
      <c r="A4138" t="s">
        <v>14194</v>
      </c>
      <c r="B4138" t="s">
        <v>14195</v>
      </c>
    </row>
    <row r="4139" spans="1:2">
      <c r="A4139" t="s">
        <v>14194</v>
      </c>
      <c r="B4139" t="s">
        <v>14195</v>
      </c>
    </row>
    <row r="4140" spans="1:2">
      <c r="A4140" t="s">
        <v>14194</v>
      </c>
      <c r="B4140" t="s">
        <v>14196</v>
      </c>
    </row>
    <row r="4141" spans="1:2">
      <c r="A4141" t="s">
        <v>14197</v>
      </c>
      <c r="B4141" t="s">
        <v>14198</v>
      </c>
    </row>
    <row r="4142" spans="1:2">
      <c r="A4142" t="s">
        <v>14197</v>
      </c>
      <c r="B4142" t="s">
        <v>14199</v>
      </c>
    </row>
    <row r="4143" spans="1:2">
      <c r="A4143" t="s">
        <v>14197</v>
      </c>
      <c r="B4143" t="s">
        <v>14200</v>
      </c>
    </row>
    <row r="4144" spans="1:2">
      <c r="A4144" t="s">
        <v>14201</v>
      </c>
      <c r="B4144" t="s">
        <v>2334</v>
      </c>
    </row>
    <row r="4145" spans="1:2">
      <c r="A4145" t="s">
        <v>14201</v>
      </c>
      <c r="B4145" t="s">
        <v>2334</v>
      </c>
    </row>
    <row r="4146" spans="1:2">
      <c r="A4146" t="s">
        <v>14201</v>
      </c>
      <c r="B4146" t="s">
        <v>2047</v>
      </c>
    </row>
    <row r="4147" spans="1:2">
      <c r="A4147" t="s">
        <v>14202</v>
      </c>
      <c r="B4147" t="s">
        <v>14203</v>
      </c>
    </row>
    <row r="4148" spans="1:2">
      <c r="A4148" t="s">
        <v>14202</v>
      </c>
      <c r="B4148" t="s">
        <v>14204</v>
      </c>
    </row>
    <row r="4149" spans="1:2">
      <c r="A4149" t="s">
        <v>14202</v>
      </c>
      <c r="B4149" t="s">
        <v>14205</v>
      </c>
    </row>
    <row r="4150" spans="1:2">
      <c r="A4150" t="s">
        <v>14206</v>
      </c>
      <c r="B4150" t="s">
        <v>14207</v>
      </c>
    </row>
    <row r="4151" spans="1:2">
      <c r="A4151" t="s">
        <v>14206</v>
      </c>
      <c r="B4151" t="s">
        <v>14208</v>
      </c>
    </row>
    <row r="4152" spans="1:2">
      <c r="A4152" t="s">
        <v>14206</v>
      </c>
      <c r="B4152" t="s">
        <v>14207</v>
      </c>
    </row>
    <row r="4153" spans="1:2">
      <c r="A4153" t="s">
        <v>14209</v>
      </c>
      <c r="B4153" t="s">
        <v>14210</v>
      </c>
    </row>
    <row r="4154" spans="1:2">
      <c r="A4154" t="s">
        <v>14209</v>
      </c>
      <c r="B4154" t="s">
        <v>14211</v>
      </c>
    </row>
    <row r="4155" spans="1:2">
      <c r="A4155" t="s">
        <v>14209</v>
      </c>
      <c r="B4155" t="s">
        <v>14210</v>
      </c>
    </row>
    <row r="4156" spans="1:2">
      <c r="A4156" t="s">
        <v>14212</v>
      </c>
      <c r="B4156" t="s">
        <v>14213</v>
      </c>
    </row>
    <row r="4157" spans="1:2">
      <c r="A4157" t="s">
        <v>14212</v>
      </c>
      <c r="B4157" t="s">
        <v>14213</v>
      </c>
    </row>
    <row r="4158" spans="1:2">
      <c r="A4158" t="s">
        <v>14212</v>
      </c>
      <c r="B4158" t="s">
        <v>14213</v>
      </c>
    </row>
    <row r="4159" spans="1:2">
      <c r="A4159" t="s">
        <v>14214</v>
      </c>
      <c r="B4159" t="s">
        <v>14215</v>
      </c>
    </row>
    <row r="4160" spans="1:2">
      <c r="A4160" t="s">
        <v>14214</v>
      </c>
      <c r="B4160" t="s">
        <v>14215</v>
      </c>
    </row>
    <row r="4161" spans="1:2">
      <c r="A4161" t="s">
        <v>14214</v>
      </c>
      <c r="B4161" t="s">
        <v>14216</v>
      </c>
    </row>
    <row r="4162" spans="1:2">
      <c r="A4162" t="s">
        <v>14217</v>
      </c>
      <c r="B4162" t="s">
        <v>14218</v>
      </c>
    </row>
    <row r="4163" spans="1:2">
      <c r="A4163" t="s">
        <v>14217</v>
      </c>
      <c r="B4163" t="s">
        <v>14219</v>
      </c>
    </row>
    <row r="4164" spans="1:2">
      <c r="A4164" t="s">
        <v>14217</v>
      </c>
      <c r="B4164" t="s">
        <v>14218</v>
      </c>
    </row>
    <row r="4165" spans="1:2">
      <c r="A4165" t="s">
        <v>14220</v>
      </c>
      <c r="B4165" t="s">
        <v>14221</v>
      </c>
    </row>
    <row r="4166" spans="1:2">
      <c r="A4166" t="s">
        <v>14220</v>
      </c>
      <c r="B4166" t="s">
        <v>14222</v>
      </c>
    </row>
    <row r="4167" spans="1:2">
      <c r="A4167" t="s">
        <v>14220</v>
      </c>
      <c r="B4167" t="s">
        <v>14223</v>
      </c>
    </row>
    <row r="4168" spans="1:2">
      <c r="A4168" t="s">
        <v>14224</v>
      </c>
      <c r="B4168" t="s">
        <v>14225</v>
      </c>
    </row>
    <row r="4169" spans="1:2">
      <c r="A4169" t="s">
        <v>14224</v>
      </c>
      <c r="B4169" t="s">
        <v>14225</v>
      </c>
    </row>
    <row r="4170" spans="1:2">
      <c r="A4170" t="s">
        <v>14224</v>
      </c>
      <c r="B4170" t="s">
        <v>14226</v>
      </c>
    </row>
    <row r="4171" spans="1:2">
      <c r="A4171" t="s">
        <v>14227</v>
      </c>
      <c r="B4171" t="s">
        <v>14228</v>
      </c>
    </row>
    <row r="4172" spans="1:2">
      <c r="A4172" t="s">
        <v>14227</v>
      </c>
      <c r="B4172" t="s">
        <v>14229</v>
      </c>
    </row>
    <row r="4173" spans="1:2">
      <c r="A4173" t="s">
        <v>14227</v>
      </c>
      <c r="B4173" t="s">
        <v>14228</v>
      </c>
    </row>
    <row r="4174" spans="1:2">
      <c r="A4174" t="s">
        <v>14230</v>
      </c>
      <c r="B4174" t="s">
        <v>14231</v>
      </c>
    </row>
    <row r="4175" spans="1:2">
      <c r="A4175" t="s">
        <v>14230</v>
      </c>
      <c r="B4175" t="s">
        <v>14232</v>
      </c>
    </row>
    <row r="4176" spans="1:2">
      <c r="A4176" t="s">
        <v>14230</v>
      </c>
      <c r="B4176" t="s">
        <v>14231</v>
      </c>
    </row>
    <row r="4177" spans="1:2">
      <c r="A4177" t="s">
        <v>14233</v>
      </c>
      <c r="B4177" t="s">
        <v>14234</v>
      </c>
    </row>
    <row r="4178" spans="1:2">
      <c r="A4178" t="s">
        <v>14233</v>
      </c>
      <c r="B4178" t="s">
        <v>14235</v>
      </c>
    </row>
    <row r="4179" spans="1:2">
      <c r="A4179" t="s">
        <v>14233</v>
      </c>
      <c r="B4179" t="s">
        <v>14234</v>
      </c>
    </row>
    <row r="4180" spans="1:2">
      <c r="A4180" t="s">
        <v>14236</v>
      </c>
      <c r="B4180" t="s">
        <v>14237</v>
      </c>
    </row>
    <row r="4181" spans="1:2">
      <c r="A4181" t="s">
        <v>14236</v>
      </c>
      <c r="B4181" t="s">
        <v>14238</v>
      </c>
    </row>
    <row r="4182" spans="1:2">
      <c r="A4182" t="s">
        <v>14236</v>
      </c>
      <c r="B4182" t="s">
        <v>14239</v>
      </c>
    </row>
    <row r="4183" spans="1:2">
      <c r="A4183" t="s">
        <v>14240</v>
      </c>
      <c r="B4183" t="s">
        <v>14241</v>
      </c>
    </row>
    <row r="4184" spans="1:2">
      <c r="A4184" t="s">
        <v>14240</v>
      </c>
      <c r="B4184" t="s">
        <v>14242</v>
      </c>
    </row>
    <row r="4185" spans="1:2">
      <c r="A4185" t="s">
        <v>14240</v>
      </c>
      <c r="B4185" t="s">
        <v>14241</v>
      </c>
    </row>
    <row r="4186" spans="1:2">
      <c r="A4186" t="s">
        <v>14243</v>
      </c>
      <c r="B4186" t="s">
        <v>14244</v>
      </c>
    </row>
    <row r="4187" spans="1:2">
      <c r="A4187" t="s">
        <v>14243</v>
      </c>
      <c r="B4187" t="s">
        <v>14244</v>
      </c>
    </row>
    <row r="4188" spans="1:2">
      <c r="A4188" t="s">
        <v>14243</v>
      </c>
      <c r="B4188" t="s">
        <v>14245</v>
      </c>
    </row>
    <row r="4189" spans="1:2">
      <c r="A4189" t="s">
        <v>14246</v>
      </c>
      <c r="B4189" t="s">
        <v>14247</v>
      </c>
    </row>
    <row r="4190" spans="1:2">
      <c r="A4190" t="s">
        <v>14246</v>
      </c>
      <c r="B4190" t="s">
        <v>14248</v>
      </c>
    </row>
    <row r="4191" spans="1:2">
      <c r="A4191" t="s">
        <v>14246</v>
      </c>
      <c r="B4191" t="s">
        <v>14249</v>
      </c>
    </row>
    <row r="4192" spans="1:2">
      <c r="A4192" t="s">
        <v>14250</v>
      </c>
      <c r="B4192" t="s">
        <v>14251</v>
      </c>
    </row>
    <row r="4193" spans="1:2">
      <c r="A4193" t="s">
        <v>14252</v>
      </c>
      <c r="B4193" t="s">
        <v>14253</v>
      </c>
    </row>
    <row r="4194" spans="1:2">
      <c r="A4194" t="s">
        <v>14254</v>
      </c>
      <c r="B4194" t="s">
        <v>8152</v>
      </c>
    </row>
    <row r="4195" spans="1:2">
      <c r="A4195" t="s">
        <v>14255</v>
      </c>
      <c r="B4195" t="s">
        <v>14256</v>
      </c>
    </row>
    <row r="4196" spans="1:2">
      <c r="A4196" t="s">
        <v>14257</v>
      </c>
      <c r="B4196" t="s">
        <v>14258</v>
      </c>
    </row>
    <row r="4197" spans="1:2">
      <c r="A4197" t="s">
        <v>14259</v>
      </c>
      <c r="B4197" t="s">
        <v>14260</v>
      </c>
    </row>
    <row r="4198" spans="1:2">
      <c r="A4198" t="s">
        <v>14261</v>
      </c>
      <c r="B4198" t="s">
        <v>14262</v>
      </c>
    </row>
    <row r="4199" spans="1:2">
      <c r="A4199" t="s">
        <v>14263</v>
      </c>
      <c r="B4199" t="s">
        <v>14264</v>
      </c>
    </row>
    <row r="4200" spans="1:2">
      <c r="A4200" t="s">
        <v>14265</v>
      </c>
      <c r="B4200" t="s">
        <v>14266</v>
      </c>
    </row>
    <row r="4201" spans="1:2">
      <c r="A4201" t="s">
        <v>14267</v>
      </c>
      <c r="B4201" t="s">
        <v>14268</v>
      </c>
    </row>
    <row r="4202" spans="1:2">
      <c r="A4202" t="s">
        <v>14269</v>
      </c>
      <c r="B4202" t="s">
        <v>14270</v>
      </c>
    </row>
    <row r="4203" spans="1:2">
      <c r="A4203" t="s">
        <v>14271</v>
      </c>
      <c r="B4203" t="s">
        <v>14272</v>
      </c>
    </row>
    <row r="4204" spans="1:2">
      <c r="A4204" t="s">
        <v>14273</v>
      </c>
      <c r="B4204" t="s">
        <v>14274</v>
      </c>
    </row>
    <row r="4205" spans="1:2">
      <c r="A4205" t="s">
        <v>14275</v>
      </c>
      <c r="B4205" t="s">
        <v>14276</v>
      </c>
    </row>
    <row r="4206" spans="1:2">
      <c r="A4206" t="s">
        <v>14277</v>
      </c>
      <c r="B4206" t="s">
        <v>14278</v>
      </c>
    </row>
    <row r="4207" spans="1:2">
      <c r="A4207" t="s">
        <v>14279</v>
      </c>
      <c r="B4207" t="s">
        <v>9565</v>
      </c>
    </row>
    <row r="4208" spans="1:2">
      <c r="A4208" t="s">
        <v>14280</v>
      </c>
      <c r="B4208" t="s">
        <v>14281</v>
      </c>
    </row>
    <row r="4209" spans="1:2">
      <c r="A4209" t="s">
        <v>14282</v>
      </c>
      <c r="B4209" t="s">
        <v>14283</v>
      </c>
    </row>
    <row r="4210" spans="1:2">
      <c r="A4210" t="s">
        <v>14284</v>
      </c>
      <c r="B4210" t="s">
        <v>14285</v>
      </c>
    </row>
    <row r="4211" spans="1:2">
      <c r="A4211" t="s">
        <v>14286</v>
      </c>
      <c r="B4211" t="s">
        <v>14287</v>
      </c>
    </row>
    <row r="4212" spans="1:2">
      <c r="A4212" t="s">
        <v>14288</v>
      </c>
      <c r="B4212" t="s">
        <v>9573</v>
      </c>
    </row>
    <row r="4213" spans="1:2">
      <c r="A4213" t="s">
        <v>14289</v>
      </c>
      <c r="B4213" t="s">
        <v>14290</v>
      </c>
    </row>
    <row r="4214" spans="1:2">
      <c r="A4214" t="s">
        <v>14291</v>
      </c>
      <c r="B4214" t="s">
        <v>14292</v>
      </c>
    </row>
    <row r="4215" spans="1:2">
      <c r="A4215" t="s">
        <v>14291</v>
      </c>
      <c r="B4215" t="s">
        <v>14293</v>
      </c>
    </row>
    <row r="4216" spans="1:2">
      <c r="A4216" t="s">
        <v>14294</v>
      </c>
      <c r="B4216" t="s">
        <v>14295</v>
      </c>
    </row>
    <row r="4217" spans="1:2">
      <c r="A4217" t="s">
        <v>14294</v>
      </c>
      <c r="B4217" t="s">
        <v>14296</v>
      </c>
    </row>
    <row r="4218" spans="1:2">
      <c r="A4218" t="s">
        <v>14297</v>
      </c>
      <c r="B4218" t="s">
        <v>14298</v>
      </c>
    </row>
    <row r="4219" spans="1:2">
      <c r="A4219" t="s">
        <v>14297</v>
      </c>
      <c r="B4219" t="s">
        <v>14299</v>
      </c>
    </row>
    <row r="4220" spans="1:2">
      <c r="A4220" t="s">
        <v>14300</v>
      </c>
      <c r="B4220" t="s">
        <v>14301</v>
      </c>
    </row>
    <row r="4221" spans="1:2">
      <c r="A4221" t="s">
        <v>14300</v>
      </c>
      <c r="B4221" t="s">
        <v>14302</v>
      </c>
    </row>
    <row r="4222" spans="1:2">
      <c r="A4222" t="s">
        <v>14303</v>
      </c>
      <c r="B4222" t="s">
        <v>14304</v>
      </c>
    </row>
    <row r="4223" spans="1:2">
      <c r="A4223" t="s">
        <v>14303</v>
      </c>
      <c r="B4223" t="s">
        <v>14305</v>
      </c>
    </row>
    <row r="4224" spans="1:2">
      <c r="A4224" t="s">
        <v>14306</v>
      </c>
      <c r="B4224" t="s">
        <v>14307</v>
      </c>
    </row>
    <row r="4225" spans="1:2">
      <c r="A4225" t="s">
        <v>14306</v>
      </c>
      <c r="B4225" t="s">
        <v>14307</v>
      </c>
    </row>
    <row r="4226" spans="1:2">
      <c r="A4226" t="s">
        <v>14308</v>
      </c>
      <c r="B4226" t="s">
        <v>14309</v>
      </c>
    </row>
    <row r="4227" spans="1:2">
      <c r="A4227" t="s">
        <v>14308</v>
      </c>
      <c r="B4227" t="s">
        <v>14310</v>
      </c>
    </row>
    <row r="4228" spans="1:2">
      <c r="A4228" t="s">
        <v>14311</v>
      </c>
      <c r="B4228" t="s">
        <v>14312</v>
      </c>
    </row>
    <row r="4229" spans="1:2">
      <c r="A4229" t="s">
        <v>14311</v>
      </c>
      <c r="B4229" t="s">
        <v>14312</v>
      </c>
    </row>
    <row r="4230" spans="1:2">
      <c r="A4230" t="s">
        <v>14313</v>
      </c>
      <c r="B4230" t="s">
        <v>14314</v>
      </c>
    </row>
    <row r="4231" spans="1:2">
      <c r="A4231" t="s">
        <v>14313</v>
      </c>
      <c r="B4231" t="s">
        <v>14315</v>
      </c>
    </row>
    <row r="4232" spans="1:2">
      <c r="A4232" t="s">
        <v>14316</v>
      </c>
      <c r="B4232" t="s">
        <v>14317</v>
      </c>
    </row>
    <row r="4233" spans="1:2">
      <c r="A4233" t="s">
        <v>14316</v>
      </c>
      <c r="B4233" t="s">
        <v>14317</v>
      </c>
    </row>
    <row r="4234" spans="1:2">
      <c r="A4234" t="s">
        <v>14318</v>
      </c>
      <c r="B4234" t="s">
        <v>14319</v>
      </c>
    </row>
    <row r="4235" spans="1:2">
      <c r="A4235" t="s">
        <v>14318</v>
      </c>
      <c r="B4235" t="s">
        <v>14320</v>
      </c>
    </row>
    <row r="4236" spans="1:2">
      <c r="A4236" t="s">
        <v>14321</v>
      </c>
      <c r="B4236" t="s">
        <v>14322</v>
      </c>
    </row>
    <row r="4237" spans="1:2">
      <c r="A4237" t="s">
        <v>14321</v>
      </c>
      <c r="B4237" t="s">
        <v>14323</v>
      </c>
    </row>
    <row r="4238" spans="1:2">
      <c r="A4238" t="s">
        <v>14324</v>
      </c>
      <c r="B4238" t="s">
        <v>14325</v>
      </c>
    </row>
    <row r="4239" spans="1:2">
      <c r="A4239" t="s">
        <v>14324</v>
      </c>
      <c r="B4239" t="s">
        <v>14326</v>
      </c>
    </row>
    <row r="4240" spans="1:2">
      <c r="A4240" t="s">
        <v>14327</v>
      </c>
      <c r="B4240" t="s">
        <v>14328</v>
      </c>
    </row>
    <row r="4241" spans="1:2">
      <c r="A4241" t="s">
        <v>14327</v>
      </c>
      <c r="B4241" t="s">
        <v>14328</v>
      </c>
    </row>
    <row r="4242" spans="1:2">
      <c r="A4242" t="s">
        <v>14329</v>
      </c>
      <c r="B4242" t="s">
        <v>14330</v>
      </c>
    </row>
    <row r="4243" spans="1:2">
      <c r="A4243" t="s">
        <v>14329</v>
      </c>
      <c r="B4243" t="s">
        <v>14330</v>
      </c>
    </row>
    <row r="4244" spans="1:2">
      <c r="A4244" t="s">
        <v>14331</v>
      </c>
      <c r="B4244" t="s">
        <v>2406</v>
      </c>
    </row>
    <row r="4245" spans="1:2">
      <c r="A4245" t="s">
        <v>14331</v>
      </c>
      <c r="B4245" t="s">
        <v>14332</v>
      </c>
    </row>
    <row r="4246" spans="1:2">
      <c r="A4246" t="s">
        <v>14333</v>
      </c>
      <c r="B4246" t="s">
        <v>14334</v>
      </c>
    </row>
    <row r="4247" spans="1:2">
      <c r="A4247" t="s">
        <v>14333</v>
      </c>
      <c r="B4247" t="s">
        <v>14335</v>
      </c>
    </row>
    <row r="4248" spans="1:2">
      <c r="A4248" t="s">
        <v>14336</v>
      </c>
      <c r="B4248" t="s">
        <v>14337</v>
      </c>
    </row>
    <row r="4249" spans="1:2">
      <c r="A4249" t="s">
        <v>14336</v>
      </c>
      <c r="B4249" t="s">
        <v>14337</v>
      </c>
    </row>
    <row r="4250" spans="1:2">
      <c r="A4250" t="s">
        <v>14338</v>
      </c>
      <c r="B4250" t="s">
        <v>14339</v>
      </c>
    </row>
    <row r="4251" spans="1:2">
      <c r="A4251" t="s">
        <v>14338</v>
      </c>
      <c r="B4251" t="s">
        <v>14340</v>
      </c>
    </row>
    <row r="4252" spans="1:2">
      <c r="A4252" t="s">
        <v>14341</v>
      </c>
      <c r="B4252" t="s">
        <v>14342</v>
      </c>
    </row>
    <row r="4253" spans="1:2">
      <c r="A4253" t="s">
        <v>14341</v>
      </c>
      <c r="B4253" t="s">
        <v>14343</v>
      </c>
    </row>
    <row r="4254" spans="1:2">
      <c r="A4254" t="s">
        <v>14344</v>
      </c>
      <c r="B4254" t="s">
        <v>14345</v>
      </c>
    </row>
    <row r="4255" spans="1:2">
      <c r="A4255" t="s">
        <v>14344</v>
      </c>
      <c r="B4255" t="s">
        <v>14346</v>
      </c>
    </row>
    <row r="4256" spans="1:2">
      <c r="A4256" t="s">
        <v>14347</v>
      </c>
      <c r="B4256" t="s">
        <v>14348</v>
      </c>
    </row>
    <row r="4257" spans="1:2">
      <c r="A4257" t="s">
        <v>14347</v>
      </c>
      <c r="B4257" t="s">
        <v>14348</v>
      </c>
    </row>
    <row r="4258" spans="1:2">
      <c r="A4258" t="s">
        <v>14349</v>
      </c>
      <c r="B4258" t="s">
        <v>14350</v>
      </c>
    </row>
    <row r="4259" spans="1:2">
      <c r="A4259" t="s">
        <v>14349</v>
      </c>
      <c r="B4259" t="s">
        <v>14351</v>
      </c>
    </row>
    <row r="4260" spans="1:2">
      <c r="A4260" t="s">
        <v>14352</v>
      </c>
      <c r="B4260" t="s">
        <v>14353</v>
      </c>
    </row>
    <row r="4261" spans="1:2">
      <c r="A4261" t="s">
        <v>14352</v>
      </c>
      <c r="B4261" t="s">
        <v>14354</v>
      </c>
    </row>
    <row r="4262" spans="1:2">
      <c r="A4262" t="s">
        <v>14355</v>
      </c>
      <c r="B4262" t="s">
        <v>14356</v>
      </c>
    </row>
    <row r="4263" spans="1:2">
      <c r="A4263" t="s">
        <v>14355</v>
      </c>
      <c r="B4263" t="s">
        <v>14357</v>
      </c>
    </row>
    <row r="4264" spans="1:2">
      <c r="A4264" t="s">
        <v>14358</v>
      </c>
      <c r="B4264" t="s">
        <v>14359</v>
      </c>
    </row>
    <row r="4265" spans="1:2">
      <c r="A4265" t="s">
        <v>14358</v>
      </c>
      <c r="B4265" t="s">
        <v>14359</v>
      </c>
    </row>
    <row r="4266" spans="1:2">
      <c r="A4266" t="s">
        <v>14360</v>
      </c>
      <c r="B4266" t="s">
        <v>14361</v>
      </c>
    </row>
    <row r="4267" spans="1:2">
      <c r="A4267" t="s">
        <v>14360</v>
      </c>
      <c r="B4267" t="s">
        <v>14361</v>
      </c>
    </row>
    <row r="4268" spans="1:2">
      <c r="A4268" t="s">
        <v>14362</v>
      </c>
      <c r="B4268" t="s">
        <v>14363</v>
      </c>
    </row>
    <row r="4269" spans="1:2">
      <c r="A4269" t="s">
        <v>14362</v>
      </c>
      <c r="B4269" t="s">
        <v>14364</v>
      </c>
    </row>
    <row r="4270" spans="1:2">
      <c r="A4270" t="s">
        <v>14365</v>
      </c>
      <c r="B4270" t="s">
        <v>14366</v>
      </c>
    </row>
    <row r="4271" spans="1:2">
      <c r="A4271" t="s">
        <v>14365</v>
      </c>
      <c r="B4271" t="s">
        <v>14366</v>
      </c>
    </row>
    <row r="4272" spans="1:2">
      <c r="A4272" t="s">
        <v>14367</v>
      </c>
      <c r="B4272" t="s">
        <v>14368</v>
      </c>
    </row>
    <row r="4273" spans="1:2">
      <c r="A4273" t="s">
        <v>14367</v>
      </c>
      <c r="B4273" t="s">
        <v>14369</v>
      </c>
    </row>
    <row r="4274" spans="1:2">
      <c r="A4274" t="s">
        <v>14370</v>
      </c>
      <c r="B4274" t="s">
        <v>14371</v>
      </c>
    </row>
    <row r="4275" spans="1:2">
      <c r="A4275" t="s">
        <v>14370</v>
      </c>
      <c r="B4275" t="s">
        <v>14372</v>
      </c>
    </row>
    <row r="4276" spans="1:2">
      <c r="A4276" t="s">
        <v>14373</v>
      </c>
      <c r="B4276" t="s">
        <v>14374</v>
      </c>
    </row>
    <row r="4277" spans="1:2">
      <c r="A4277" t="s">
        <v>14373</v>
      </c>
      <c r="B4277" t="s">
        <v>14375</v>
      </c>
    </row>
    <row r="4278" spans="1:2">
      <c r="A4278" t="s">
        <v>14376</v>
      </c>
      <c r="B4278" t="s">
        <v>14377</v>
      </c>
    </row>
    <row r="4279" spans="1:2">
      <c r="A4279" t="s">
        <v>14376</v>
      </c>
      <c r="B4279" t="s">
        <v>14377</v>
      </c>
    </row>
    <row r="4280" spans="1:2">
      <c r="A4280" t="s">
        <v>14378</v>
      </c>
      <c r="B4280" t="s">
        <v>14379</v>
      </c>
    </row>
    <row r="4281" spans="1:2">
      <c r="A4281" t="s">
        <v>14378</v>
      </c>
      <c r="B4281" t="s">
        <v>14380</v>
      </c>
    </row>
    <row r="4282" spans="1:2">
      <c r="A4282" t="s">
        <v>14381</v>
      </c>
      <c r="B4282" t="s">
        <v>14382</v>
      </c>
    </row>
    <row r="4283" spans="1:2">
      <c r="A4283" t="s">
        <v>14381</v>
      </c>
      <c r="B4283" t="s">
        <v>14383</v>
      </c>
    </row>
    <row r="4284" spans="1:2">
      <c r="A4284" t="s">
        <v>14384</v>
      </c>
      <c r="B4284" t="s">
        <v>14385</v>
      </c>
    </row>
    <row r="4285" spans="1:2">
      <c r="A4285" t="s">
        <v>14384</v>
      </c>
      <c r="B4285" t="s">
        <v>14385</v>
      </c>
    </row>
    <row r="4286" spans="1:2">
      <c r="A4286" t="s">
        <v>14386</v>
      </c>
      <c r="B4286" t="s">
        <v>14387</v>
      </c>
    </row>
    <row r="4287" spans="1:2">
      <c r="A4287" t="s">
        <v>14386</v>
      </c>
      <c r="B4287" t="s">
        <v>14388</v>
      </c>
    </row>
    <row r="4288" spans="1:2">
      <c r="A4288" t="s">
        <v>14389</v>
      </c>
      <c r="B4288" t="s">
        <v>14390</v>
      </c>
    </row>
    <row r="4289" spans="1:2">
      <c r="A4289" t="s">
        <v>14389</v>
      </c>
      <c r="B4289" t="s">
        <v>14391</v>
      </c>
    </row>
    <row r="4290" spans="1:2">
      <c r="A4290" t="s">
        <v>14392</v>
      </c>
      <c r="B4290" t="s">
        <v>14393</v>
      </c>
    </row>
    <row r="4291" spans="1:2">
      <c r="A4291" t="s">
        <v>14392</v>
      </c>
      <c r="B4291" t="s">
        <v>14394</v>
      </c>
    </row>
    <row r="4292" spans="1:2">
      <c r="A4292" t="s">
        <v>14395</v>
      </c>
      <c r="B4292" t="s">
        <v>14396</v>
      </c>
    </row>
    <row r="4293" spans="1:2">
      <c r="A4293" t="s">
        <v>14395</v>
      </c>
      <c r="B4293" t="s">
        <v>14397</v>
      </c>
    </row>
    <row r="4294" spans="1:2">
      <c r="A4294" t="s">
        <v>14398</v>
      </c>
      <c r="B4294" t="s">
        <v>14399</v>
      </c>
    </row>
    <row r="4295" spans="1:2">
      <c r="A4295" t="s">
        <v>14398</v>
      </c>
      <c r="B4295" t="s">
        <v>14399</v>
      </c>
    </row>
    <row r="4296" spans="1:2">
      <c r="A4296" t="s">
        <v>14400</v>
      </c>
      <c r="B4296" t="s">
        <v>14401</v>
      </c>
    </row>
    <row r="4297" spans="1:2">
      <c r="A4297" t="s">
        <v>14400</v>
      </c>
      <c r="B4297" t="s">
        <v>14402</v>
      </c>
    </row>
    <row r="4298" spans="1:2">
      <c r="A4298" t="s">
        <v>14403</v>
      </c>
      <c r="B4298" t="s">
        <v>14404</v>
      </c>
    </row>
    <row r="4299" spans="1:2">
      <c r="A4299" t="s">
        <v>14403</v>
      </c>
      <c r="B4299" t="s">
        <v>14404</v>
      </c>
    </row>
    <row r="4300" spans="1:2">
      <c r="A4300" t="s">
        <v>14405</v>
      </c>
      <c r="B4300" t="s">
        <v>14406</v>
      </c>
    </row>
    <row r="4301" spans="1:2">
      <c r="A4301" t="s">
        <v>14405</v>
      </c>
      <c r="B4301" t="s">
        <v>14407</v>
      </c>
    </row>
    <row r="4302" spans="1:2">
      <c r="A4302" t="s">
        <v>14408</v>
      </c>
      <c r="B4302" t="s">
        <v>14409</v>
      </c>
    </row>
    <row r="4303" spans="1:2">
      <c r="A4303" t="s">
        <v>14408</v>
      </c>
      <c r="B4303" t="s">
        <v>14410</v>
      </c>
    </row>
    <row r="4304" spans="1:2">
      <c r="A4304" t="s">
        <v>14411</v>
      </c>
      <c r="B4304" t="s">
        <v>14412</v>
      </c>
    </row>
    <row r="4305" spans="1:2">
      <c r="A4305" t="s">
        <v>14411</v>
      </c>
      <c r="B4305" t="s">
        <v>14412</v>
      </c>
    </row>
    <row r="4306" spans="1:2">
      <c r="A4306" t="s">
        <v>14413</v>
      </c>
      <c r="B4306" t="s">
        <v>14414</v>
      </c>
    </row>
    <row r="4307" spans="1:2">
      <c r="A4307" t="s">
        <v>14413</v>
      </c>
      <c r="B4307" t="s">
        <v>14415</v>
      </c>
    </row>
    <row r="4308" spans="1:2">
      <c r="A4308" t="s">
        <v>14416</v>
      </c>
      <c r="B4308" t="s">
        <v>14417</v>
      </c>
    </row>
    <row r="4309" spans="1:2">
      <c r="A4309" t="s">
        <v>14416</v>
      </c>
      <c r="B4309" t="s">
        <v>14417</v>
      </c>
    </row>
    <row r="4310" spans="1:2">
      <c r="A4310" t="s">
        <v>14418</v>
      </c>
      <c r="B4310" t="s">
        <v>14419</v>
      </c>
    </row>
    <row r="4311" spans="1:2">
      <c r="A4311" t="s">
        <v>14418</v>
      </c>
      <c r="B4311" t="s">
        <v>14420</v>
      </c>
    </row>
    <row r="4312" spans="1:2">
      <c r="A4312" t="s">
        <v>14421</v>
      </c>
      <c r="B4312" t="s">
        <v>14422</v>
      </c>
    </row>
    <row r="4313" spans="1:2">
      <c r="A4313" t="s">
        <v>14421</v>
      </c>
      <c r="B4313" t="s">
        <v>14423</v>
      </c>
    </row>
    <row r="4314" spans="1:2">
      <c r="A4314" t="s">
        <v>14424</v>
      </c>
      <c r="B4314" t="s">
        <v>14425</v>
      </c>
    </row>
    <row r="4315" spans="1:2">
      <c r="A4315" t="s">
        <v>14424</v>
      </c>
      <c r="B4315" t="s">
        <v>14426</v>
      </c>
    </row>
    <row r="4316" spans="1:2">
      <c r="A4316" t="s">
        <v>14427</v>
      </c>
      <c r="B4316" t="s">
        <v>14428</v>
      </c>
    </row>
    <row r="4317" spans="1:2">
      <c r="A4317" t="s">
        <v>14427</v>
      </c>
      <c r="B4317" t="s">
        <v>14429</v>
      </c>
    </row>
    <row r="4318" spans="1:2">
      <c r="A4318" t="s">
        <v>14430</v>
      </c>
      <c r="B4318" t="s">
        <v>14431</v>
      </c>
    </row>
    <row r="4319" spans="1:2">
      <c r="A4319" t="s">
        <v>14430</v>
      </c>
      <c r="B4319" t="s">
        <v>14431</v>
      </c>
    </row>
    <row r="4320" spans="1:2">
      <c r="A4320" t="s">
        <v>14432</v>
      </c>
      <c r="B4320" t="s">
        <v>14433</v>
      </c>
    </row>
    <row r="4321" spans="1:2">
      <c r="A4321" t="s">
        <v>14432</v>
      </c>
      <c r="B4321" t="s">
        <v>14434</v>
      </c>
    </row>
    <row r="4322" spans="1:2">
      <c r="A4322" t="s">
        <v>14435</v>
      </c>
      <c r="B4322" t="s">
        <v>14436</v>
      </c>
    </row>
    <row r="4323" spans="1:2">
      <c r="A4323" t="s">
        <v>14435</v>
      </c>
      <c r="B4323" t="s">
        <v>14437</v>
      </c>
    </row>
    <row r="4324" spans="1:2">
      <c r="A4324" t="s">
        <v>14438</v>
      </c>
      <c r="B4324" t="s">
        <v>14439</v>
      </c>
    </row>
    <row r="4325" spans="1:2">
      <c r="A4325" t="s">
        <v>14438</v>
      </c>
      <c r="B4325" t="s">
        <v>14440</v>
      </c>
    </row>
    <row r="4326" spans="1:2">
      <c r="A4326" t="s">
        <v>14441</v>
      </c>
      <c r="B4326" t="s">
        <v>14442</v>
      </c>
    </row>
    <row r="4327" spans="1:2">
      <c r="A4327" t="s">
        <v>14441</v>
      </c>
      <c r="B4327" t="s">
        <v>14443</v>
      </c>
    </row>
    <row r="4328" spans="1:2">
      <c r="A4328" t="s">
        <v>14444</v>
      </c>
      <c r="B4328" t="s">
        <v>14445</v>
      </c>
    </row>
    <row r="4329" spans="1:2">
      <c r="A4329" t="s">
        <v>14444</v>
      </c>
      <c r="B4329" t="s">
        <v>14446</v>
      </c>
    </row>
    <row r="4330" spans="1:2">
      <c r="A4330" t="s">
        <v>14447</v>
      </c>
      <c r="B4330" t="s">
        <v>14448</v>
      </c>
    </row>
    <row r="4331" spans="1:2">
      <c r="A4331" t="s">
        <v>14447</v>
      </c>
      <c r="B4331" t="s">
        <v>14449</v>
      </c>
    </row>
    <row r="4332" spans="1:2">
      <c r="A4332" t="s">
        <v>14450</v>
      </c>
      <c r="B4332" t="s">
        <v>14451</v>
      </c>
    </row>
    <row r="4333" spans="1:2">
      <c r="A4333" t="s">
        <v>14450</v>
      </c>
      <c r="B4333" t="s">
        <v>14452</v>
      </c>
    </row>
    <row r="4334" spans="1:2">
      <c r="A4334" t="s">
        <v>14453</v>
      </c>
      <c r="B4334" t="s">
        <v>14454</v>
      </c>
    </row>
    <row r="4335" spans="1:2">
      <c r="A4335" t="s">
        <v>14453</v>
      </c>
      <c r="B4335" t="s">
        <v>14455</v>
      </c>
    </row>
    <row r="4336" spans="1:2">
      <c r="A4336" t="s">
        <v>14456</v>
      </c>
      <c r="B4336" t="s">
        <v>14457</v>
      </c>
    </row>
    <row r="4337" spans="1:2">
      <c r="A4337" t="s">
        <v>14456</v>
      </c>
      <c r="B4337" t="s">
        <v>14458</v>
      </c>
    </row>
    <row r="4338" spans="1:2">
      <c r="A4338" t="s">
        <v>14459</v>
      </c>
      <c r="B4338" t="s">
        <v>14460</v>
      </c>
    </row>
    <row r="4339" spans="1:2">
      <c r="A4339" t="s">
        <v>14459</v>
      </c>
      <c r="B4339" t="s">
        <v>14460</v>
      </c>
    </row>
    <row r="4340" spans="1:2">
      <c r="A4340" t="s">
        <v>14461</v>
      </c>
      <c r="B4340" t="s">
        <v>14462</v>
      </c>
    </row>
    <row r="4341" spans="1:2">
      <c r="A4341" t="s">
        <v>14461</v>
      </c>
      <c r="B4341" t="s">
        <v>14463</v>
      </c>
    </row>
    <row r="4342" spans="1:2">
      <c r="A4342" t="s">
        <v>14464</v>
      </c>
      <c r="B4342" t="s">
        <v>14465</v>
      </c>
    </row>
    <row r="4343" spans="1:2">
      <c r="A4343" t="s">
        <v>14464</v>
      </c>
      <c r="B4343" t="s">
        <v>14466</v>
      </c>
    </row>
    <row r="4344" spans="1:2">
      <c r="A4344" t="s">
        <v>14467</v>
      </c>
      <c r="B4344" t="s">
        <v>14468</v>
      </c>
    </row>
    <row r="4345" spans="1:2">
      <c r="A4345" t="s">
        <v>14467</v>
      </c>
      <c r="B4345" t="s">
        <v>14469</v>
      </c>
    </row>
    <row r="4346" spans="1:2">
      <c r="A4346" t="s">
        <v>14470</v>
      </c>
      <c r="B4346" t="s">
        <v>14471</v>
      </c>
    </row>
    <row r="4347" spans="1:2">
      <c r="A4347" t="s">
        <v>14470</v>
      </c>
      <c r="B4347" t="s">
        <v>14472</v>
      </c>
    </row>
    <row r="4348" spans="1:2">
      <c r="A4348" t="s">
        <v>14473</v>
      </c>
      <c r="B4348" t="s">
        <v>14474</v>
      </c>
    </row>
    <row r="4349" spans="1:2">
      <c r="A4349" t="s">
        <v>14473</v>
      </c>
      <c r="B4349" t="s">
        <v>14474</v>
      </c>
    </row>
    <row r="4350" spans="1:2">
      <c r="A4350" t="s">
        <v>14475</v>
      </c>
      <c r="B4350" t="s">
        <v>14476</v>
      </c>
    </row>
    <row r="4351" spans="1:2">
      <c r="A4351" t="s">
        <v>14475</v>
      </c>
      <c r="B4351" t="s">
        <v>14477</v>
      </c>
    </row>
    <row r="4352" spans="1:2">
      <c r="A4352" t="s">
        <v>14478</v>
      </c>
      <c r="B4352" t="s">
        <v>14479</v>
      </c>
    </row>
    <row r="4353" spans="1:2">
      <c r="A4353" t="s">
        <v>14478</v>
      </c>
      <c r="B4353" t="s">
        <v>14480</v>
      </c>
    </row>
    <row r="4354" spans="1:2">
      <c r="A4354" t="s">
        <v>14481</v>
      </c>
      <c r="B4354" t="s">
        <v>14482</v>
      </c>
    </row>
    <row r="4355" spans="1:2">
      <c r="A4355" t="s">
        <v>14481</v>
      </c>
      <c r="B4355" t="s">
        <v>14483</v>
      </c>
    </row>
    <row r="4356" spans="1:2">
      <c r="A4356" t="s">
        <v>14484</v>
      </c>
      <c r="B4356" t="s">
        <v>14485</v>
      </c>
    </row>
    <row r="4357" spans="1:2">
      <c r="A4357" t="s">
        <v>14484</v>
      </c>
      <c r="B4357" t="s">
        <v>14486</v>
      </c>
    </row>
    <row r="4358" spans="1:2">
      <c r="A4358" t="s">
        <v>14487</v>
      </c>
      <c r="B4358" t="s">
        <v>14488</v>
      </c>
    </row>
    <row r="4359" spans="1:2">
      <c r="A4359" t="s">
        <v>14487</v>
      </c>
      <c r="B4359" t="s">
        <v>14489</v>
      </c>
    </row>
    <row r="4360" spans="1:2">
      <c r="A4360" t="s">
        <v>14490</v>
      </c>
      <c r="B4360" t="s">
        <v>14491</v>
      </c>
    </row>
    <row r="4361" spans="1:2">
      <c r="A4361" t="s">
        <v>14490</v>
      </c>
      <c r="B4361" t="s">
        <v>14492</v>
      </c>
    </row>
    <row r="4362" spans="1:2">
      <c r="A4362" t="s">
        <v>14493</v>
      </c>
      <c r="B4362" t="s">
        <v>14494</v>
      </c>
    </row>
    <row r="4363" spans="1:2">
      <c r="A4363" t="s">
        <v>14493</v>
      </c>
      <c r="B4363" t="s">
        <v>14495</v>
      </c>
    </row>
    <row r="4364" spans="1:2">
      <c r="A4364" t="s">
        <v>14496</v>
      </c>
      <c r="B4364" t="s">
        <v>14497</v>
      </c>
    </row>
    <row r="4365" spans="1:2">
      <c r="A4365" t="s">
        <v>14496</v>
      </c>
      <c r="B4365" t="s">
        <v>14498</v>
      </c>
    </row>
    <row r="4366" spans="1:2">
      <c r="A4366" t="s">
        <v>14499</v>
      </c>
      <c r="B4366" t="s">
        <v>14500</v>
      </c>
    </row>
    <row r="4367" spans="1:2">
      <c r="A4367" t="s">
        <v>14499</v>
      </c>
      <c r="B4367" t="s">
        <v>14501</v>
      </c>
    </row>
    <row r="4368" spans="1:2">
      <c r="A4368" t="s">
        <v>14502</v>
      </c>
      <c r="B4368" t="s">
        <v>14503</v>
      </c>
    </row>
    <row r="4369" spans="1:2">
      <c r="A4369" t="s">
        <v>14502</v>
      </c>
      <c r="B4369" t="s">
        <v>14503</v>
      </c>
    </row>
    <row r="4370" spans="1:2">
      <c r="A4370" t="s">
        <v>14504</v>
      </c>
      <c r="B4370" t="s">
        <v>14505</v>
      </c>
    </row>
    <row r="4371" spans="1:2">
      <c r="A4371" t="s">
        <v>14504</v>
      </c>
      <c r="B4371" t="s">
        <v>14505</v>
      </c>
    </row>
    <row r="4372" spans="1:2">
      <c r="A4372" t="s">
        <v>14506</v>
      </c>
      <c r="B4372" t="s">
        <v>14507</v>
      </c>
    </row>
    <row r="4373" spans="1:2">
      <c r="A4373" t="s">
        <v>14506</v>
      </c>
      <c r="B4373" t="s">
        <v>14508</v>
      </c>
    </row>
    <row r="4374" spans="1:2">
      <c r="A4374" t="s">
        <v>14509</v>
      </c>
      <c r="B4374" t="s">
        <v>14510</v>
      </c>
    </row>
    <row r="4375" spans="1:2">
      <c r="A4375" t="s">
        <v>14509</v>
      </c>
      <c r="B4375" t="s">
        <v>14510</v>
      </c>
    </row>
    <row r="4376" spans="1:2">
      <c r="A4376" t="s">
        <v>14511</v>
      </c>
      <c r="B4376" t="s">
        <v>14512</v>
      </c>
    </row>
    <row r="4377" spans="1:2">
      <c r="A4377" t="s">
        <v>14511</v>
      </c>
      <c r="B4377" t="s">
        <v>14513</v>
      </c>
    </row>
    <row r="4378" spans="1:2">
      <c r="A4378" t="s">
        <v>14514</v>
      </c>
      <c r="B4378" t="s">
        <v>14515</v>
      </c>
    </row>
    <row r="4379" spans="1:2">
      <c r="A4379" t="s">
        <v>14514</v>
      </c>
      <c r="B4379" t="s">
        <v>14516</v>
      </c>
    </row>
    <row r="4380" spans="1:2">
      <c r="A4380" t="s">
        <v>14517</v>
      </c>
      <c r="B4380" t="s">
        <v>14518</v>
      </c>
    </row>
    <row r="4381" spans="1:2">
      <c r="A4381" t="s">
        <v>14517</v>
      </c>
      <c r="B4381" t="s">
        <v>14519</v>
      </c>
    </row>
    <row r="4382" spans="1:2">
      <c r="A4382" t="s">
        <v>14520</v>
      </c>
      <c r="B4382" t="s">
        <v>14521</v>
      </c>
    </row>
    <row r="4383" spans="1:2">
      <c r="A4383" t="s">
        <v>14520</v>
      </c>
      <c r="B4383" t="s">
        <v>14521</v>
      </c>
    </row>
    <row r="4384" spans="1:2">
      <c r="A4384" t="s">
        <v>14522</v>
      </c>
      <c r="B4384" t="s">
        <v>14523</v>
      </c>
    </row>
    <row r="4385" spans="1:2">
      <c r="A4385" t="s">
        <v>14522</v>
      </c>
      <c r="B4385" t="s">
        <v>14524</v>
      </c>
    </row>
    <row r="4386" spans="1:2">
      <c r="A4386" t="s">
        <v>14525</v>
      </c>
      <c r="B4386" t="s">
        <v>14526</v>
      </c>
    </row>
    <row r="4387" spans="1:2">
      <c r="A4387" t="s">
        <v>14525</v>
      </c>
      <c r="B4387" t="s">
        <v>14527</v>
      </c>
    </row>
    <row r="4388" spans="1:2">
      <c r="A4388" t="s">
        <v>14528</v>
      </c>
      <c r="B4388" t="s">
        <v>14529</v>
      </c>
    </row>
    <row r="4389" spans="1:2">
      <c r="A4389" t="s">
        <v>14528</v>
      </c>
      <c r="B4389" t="s">
        <v>14529</v>
      </c>
    </row>
    <row r="4390" spans="1:2">
      <c r="A4390" t="s">
        <v>14530</v>
      </c>
      <c r="B4390" t="s">
        <v>2444</v>
      </c>
    </row>
    <row r="4391" spans="1:2">
      <c r="A4391" t="s">
        <v>14530</v>
      </c>
      <c r="B4391" t="s">
        <v>14531</v>
      </c>
    </row>
    <row r="4392" spans="1:2">
      <c r="A4392" t="s">
        <v>14532</v>
      </c>
      <c r="B4392" t="s">
        <v>14533</v>
      </c>
    </row>
    <row r="4393" spans="1:2">
      <c r="A4393" t="s">
        <v>14532</v>
      </c>
      <c r="B4393" t="s">
        <v>14533</v>
      </c>
    </row>
    <row r="4394" spans="1:2">
      <c r="A4394" t="s">
        <v>14534</v>
      </c>
      <c r="B4394" t="s">
        <v>14535</v>
      </c>
    </row>
    <row r="4395" spans="1:2">
      <c r="A4395" t="s">
        <v>14534</v>
      </c>
      <c r="B4395" t="s">
        <v>14536</v>
      </c>
    </row>
    <row r="4396" spans="1:2">
      <c r="A4396" t="s">
        <v>14537</v>
      </c>
      <c r="B4396" t="s">
        <v>1317</v>
      </c>
    </row>
    <row r="4397" spans="1:2">
      <c r="A4397" t="s">
        <v>14537</v>
      </c>
      <c r="B4397" t="s">
        <v>14538</v>
      </c>
    </row>
    <row r="4398" spans="1:2">
      <c r="A4398" t="s">
        <v>14539</v>
      </c>
      <c r="B4398" t="s">
        <v>14540</v>
      </c>
    </row>
    <row r="4399" spans="1:2">
      <c r="A4399" t="s">
        <v>14539</v>
      </c>
      <c r="B4399" t="s">
        <v>14541</v>
      </c>
    </row>
    <row r="4400" spans="1:2">
      <c r="A4400" t="s">
        <v>14542</v>
      </c>
      <c r="B4400" t="s">
        <v>14543</v>
      </c>
    </row>
    <row r="4401" spans="1:2">
      <c r="A4401" t="s">
        <v>14542</v>
      </c>
      <c r="B4401" t="s">
        <v>14544</v>
      </c>
    </row>
    <row r="4402" spans="1:2">
      <c r="A4402" t="s">
        <v>14545</v>
      </c>
      <c r="B4402" t="s">
        <v>14546</v>
      </c>
    </row>
    <row r="4403" spans="1:2">
      <c r="A4403" t="s">
        <v>14545</v>
      </c>
      <c r="B4403" t="s">
        <v>14547</v>
      </c>
    </row>
    <row r="4404" spans="1:2">
      <c r="A4404" t="s">
        <v>14548</v>
      </c>
      <c r="B4404" t="s">
        <v>14549</v>
      </c>
    </row>
    <row r="4405" spans="1:2">
      <c r="A4405" t="s">
        <v>14548</v>
      </c>
      <c r="B4405" t="s">
        <v>14550</v>
      </c>
    </row>
    <row r="4406" spans="1:2">
      <c r="A4406" t="s">
        <v>14551</v>
      </c>
      <c r="B4406" t="s">
        <v>14552</v>
      </c>
    </row>
    <row r="4407" spans="1:2">
      <c r="A4407" t="s">
        <v>14551</v>
      </c>
      <c r="B4407" t="s">
        <v>14552</v>
      </c>
    </row>
    <row r="4408" spans="1:2">
      <c r="A4408" t="s">
        <v>14553</v>
      </c>
      <c r="B4408" t="s">
        <v>14554</v>
      </c>
    </row>
    <row r="4409" spans="1:2">
      <c r="A4409" t="s">
        <v>14553</v>
      </c>
      <c r="B4409" t="s">
        <v>14554</v>
      </c>
    </row>
    <row r="4410" spans="1:2">
      <c r="A4410" t="s">
        <v>14555</v>
      </c>
      <c r="B4410" t="s">
        <v>14556</v>
      </c>
    </row>
    <row r="4411" spans="1:2">
      <c r="A4411" t="s">
        <v>14555</v>
      </c>
      <c r="B4411" t="s">
        <v>14557</v>
      </c>
    </row>
    <row r="4412" spans="1:2">
      <c r="A4412" t="s">
        <v>14558</v>
      </c>
      <c r="B4412" t="s">
        <v>14559</v>
      </c>
    </row>
    <row r="4413" spans="1:2">
      <c r="A4413" t="s">
        <v>14558</v>
      </c>
      <c r="B4413" t="s">
        <v>14560</v>
      </c>
    </row>
    <row r="4414" spans="1:2">
      <c r="A4414" t="s">
        <v>14561</v>
      </c>
      <c r="B4414" t="s">
        <v>14562</v>
      </c>
    </row>
    <row r="4415" spans="1:2">
      <c r="A4415" t="s">
        <v>14561</v>
      </c>
      <c r="B4415" t="s">
        <v>14563</v>
      </c>
    </row>
    <row r="4416" spans="1:2">
      <c r="A4416" t="s">
        <v>14564</v>
      </c>
      <c r="B4416" t="s">
        <v>14565</v>
      </c>
    </row>
    <row r="4417" spans="1:2">
      <c r="A4417" t="s">
        <v>14564</v>
      </c>
      <c r="B4417" t="s">
        <v>14566</v>
      </c>
    </row>
    <row r="4418" spans="1:2">
      <c r="A4418" t="s">
        <v>14567</v>
      </c>
      <c r="B4418" t="s">
        <v>14568</v>
      </c>
    </row>
    <row r="4419" spans="1:2">
      <c r="A4419" t="s">
        <v>14567</v>
      </c>
      <c r="B4419" t="s">
        <v>14569</v>
      </c>
    </row>
    <row r="4420" spans="1:2">
      <c r="A4420" t="s">
        <v>14570</v>
      </c>
      <c r="B4420" t="s">
        <v>10998</v>
      </c>
    </row>
    <row r="4421" spans="1:2">
      <c r="A4421" t="s">
        <v>14570</v>
      </c>
      <c r="B4421" t="s">
        <v>14571</v>
      </c>
    </row>
    <row r="4422" spans="1:2">
      <c r="A4422" t="s">
        <v>14572</v>
      </c>
      <c r="B4422" t="s">
        <v>14573</v>
      </c>
    </row>
    <row r="4423" spans="1:2">
      <c r="A4423" t="s">
        <v>14572</v>
      </c>
      <c r="B4423" t="s">
        <v>14573</v>
      </c>
    </row>
    <row r="4424" spans="1:2">
      <c r="A4424" t="s">
        <v>14574</v>
      </c>
      <c r="B4424" t="s">
        <v>1371</v>
      </c>
    </row>
    <row r="4425" spans="1:2">
      <c r="A4425" t="s">
        <v>14575</v>
      </c>
      <c r="B4425" t="s">
        <v>14576</v>
      </c>
    </row>
    <row r="4426" spans="1:2">
      <c r="A4426" t="s">
        <v>14577</v>
      </c>
      <c r="B4426" t="s">
        <v>14578</v>
      </c>
    </row>
    <row r="4427" spans="1:2">
      <c r="A4427" t="s">
        <v>14579</v>
      </c>
      <c r="B4427" t="s">
        <v>14580</v>
      </c>
    </row>
    <row r="4428" spans="1:2">
      <c r="A4428" t="s">
        <v>14581</v>
      </c>
      <c r="B4428" t="s">
        <v>14582</v>
      </c>
    </row>
    <row r="4429" spans="1:2">
      <c r="A4429" t="s">
        <v>14583</v>
      </c>
      <c r="B4429" t="s">
        <v>14584</v>
      </c>
    </row>
    <row r="4430" spans="1:2">
      <c r="A4430" t="s">
        <v>14585</v>
      </c>
      <c r="B4430" t="s">
        <v>14586</v>
      </c>
    </row>
    <row r="4431" spans="1:2">
      <c r="A4431" t="s">
        <v>14587</v>
      </c>
      <c r="B4431" t="s">
        <v>14588</v>
      </c>
    </row>
    <row r="4432" spans="1:2">
      <c r="A4432" t="s">
        <v>14589</v>
      </c>
      <c r="B4432" t="s">
        <v>2045</v>
      </c>
    </row>
    <row r="4433" spans="1:2">
      <c r="A4433" t="s">
        <v>14590</v>
      </c>
      <c r="B4433" t="s">
        <v>14591</v>
      </c>
    </row>
    <row r="4434" spans="1:2">
      <c r="A4434" t="s">
        <v>14592</v>
      </c>
      <c r="B4434" t="s">
        <v>14593</v>
      </c>
    </row>
    <row r="4435" spans="1:2">
      <c r="A4435" t="s">
        <v>14594</v>
      </c>
      <c r="B4435" t="s">
        <v>14595</v>
      </c>
    </row>
    <row r="4436" spans="1:2">
      <c r="A4436" t="s">
        <v>14596</v>
      </c>
      <c r="B4436" t="s">
        <v>14597</v>
      </c>
    </row>
    <row r="4437" spans="1:2">
      <c r="A4437" t="s">
        <v>14598</v>
      </c>
      <c r="B4437" t="s">
        <v>14599</v>
      </c>
    </row>
    <row r="4438" spans="1:2">
      <c r="A4438" t="s">
        <v>14600</v>
      </c>
      <c r="B4438" t="s">
        <v>14601</v>
      </c>
    </row>
    <row r="4439" spans="1:2">
      <c r="A4439" t="s">
        <v>14602</v>
      </c>
      <c r="B4439" t="s">
        <v>14603</v>
      </c>
    </row>
    <row r="4440" spans="1:2">
      <c r="A4440" t="s">
        <v>14604</v>
      </c>
      <c r="B4440" t="s">
        <v>14605</v>
      </c>
    </row>
    <row r="4441" spans="1:2">
      <c r="A4441" t="s">
        <v>14604</v>
      </c>
      <c r="B4441" t="s">
        <v>14606</v>
      </c>
    </row>
    <row r="4442" spans="1:2">
      <c r="A4442" t="s">
        <v>14607</v>
      </c>
      <c r="B4442" t="s">
        <v>14608</v>
      </c>
    </row>
    <row r="4443" spans="1:2">
      <c r="A4443" t="s">
        <v>14607</v>
      </c>
      <c r="B4443" t="s">
        <v>14609</v>
      </c>
    </row>
    <row r="4444" spans="1:2">
      <c r="A4444" t="s">
        <v>14610</v>
      </c>
      <c r="B4444" t="s">
        <v>14611</v>
      </c>
    </row>
    <row r="4445" spans="1:2">
      <c r="A4445" t="s">
        <v>14610</v>
      </c>
      <c r="B4445" t="s">
        <v>13748</v>
      </c>
    </row>
    <row r="4446" spans="1:2">
      <c r="A4446" t="s">
        <v>14612</v>
      </c>
      <c r="B4446" t="s">
        <v>14613</v>
      </c>
    </row>
    <row r="4447" spans="1:2">
      <c r="A4447" t="s">
        <v>14612</v>
      </c>
      <c r="B4447" t="s">
        <v>14614</v>
      </c>
    </row>
    <row r="4448" spans="1:2">
      <c r="A4448" t="s">
        <v>14615</v>
      </c>
      <c r="B4448" t="s">
        <v>10939</v>
      </c>
    </row>
    <row r="4449" spans="1:2">
      <c r="A4449" t="s">
        <v>14615</v>
      </c>
      <c r="B4449" t="s">
        <v>14616</v>
      </c>
    </row>
    <row r="4450" spans="1:2">
      <c r="A4450" t="s">
        <v>14617</v>
      </c>
      <c r="B4450" t="s">
        <v>14618</v>
      </c>
    </row>
    <row r="4451" spans="1:2">
      <c r="A4451" t="s">
        <v>14617</v>
      </c>
      <c r="B4451" t="s">
        <v>14619</v>
      </c>
    </row>
    <row r="4452" spans="1:2">
      <c r="A4452" t="s">
        <v>14620</v>
      </c>
      <c r="B4452" t="s">
        <v>14621</v>
      </c>
    </row>
    <row r="4453" spans="1:2">
      <c r="A4453" t="s">
        <v>14620</v>
      </c>
      <c r="B4453" t="s">
        <v>14622</v>
      </c>
    </row>
    <row r="4454" spans="1:2">
      <c r="A4454" t="s">
        <v>14623</v>
      </c>
      <c r="B4454" t="s">
        <v>14624</v>
      </c>
    </row>
    <row r="4455" spans="1:2">
      <c r="A4455" t="s">
        <v>14623</v>
      </c>
      <c r="B4455" t="s">
        <v>14625</v>
      </c>
    </row>
    <row r="4456" spans="1:2">
      <c r="A4456" t="s">
        <v>14626</v>
      </c>
      <c r="B4456" t="s">
        <v>14627</v>
      </c>
    </row>
    <row r="4457" spans="1:2">
      <c r="A4457" t="s">
        <v>14626</v>
      </c>
      <c r="B4457" t="s">
        <v>14628</v>
      </c>
    </row>
    <row r="4458" spans="1:2">
      <c r="A4458" t="s">
        <v>14629</v>
      </c>
      <c r="B4458" t="s">
        <v>14630</v>
      </c>
    </row>
    <row r="4459" spans="1:2">
      <c r="A4459" t="s">
        <v>14629</v>
      </c>
      <c r="B4459" t="s">
        <v>14631</v>
      </c>
    </row>
    <row r="4460" spans="1:2">
      <c r="A4460" t="s">
        <v>14632</v>
      </c>
      <c r="B4460" t="s">
        <v>14633</v>
      </c>
    </row>
    <row r="4461" spans="1:2">
      <c r="A4461" t="s">
        <v>14632</v>
      </c>
      <c r="B4461" t="s">
        <v>14634</v>
      </c>
    </row>
    <row r="4462" spans="1:2">
      <c r="A4462" t="s">
        <v>14635</v>
      </c>
      <c r="B4462" t="s">
        <v>14636</v>
      </c>
    </row>
    <row r="4463" spans="1:2">
      <c r="A4463" t="s">
        <v>14635</v>
      </c>
      <c r="B4463" t="s">
        <v>14637</v>
      </c>
    </row>
    <row r="4464" spans="1:2">
      <c r="A4464" t="s">
        <v>14638</v>
      </c>
      <c r="B4464" t="s">
        <v>14639</v>
      </c>
    </row>
    <row r="4465" spans="1:2">
      <c r="A4465" t="s">
        <v>14638</v>
      </c>
      <c r="B4465" t="s">
        <v>14640</v>
      </c>
    </row>
    <row r="4466" spans="1:2">
      <c r="A4466" t="s">
        <v>14641</v>
      </c>
      <c r="B4466" t="s">
        <v>14642</v>
      </c>
    </row>
    <row r="4467" spans="1:2">
      <c r="A4467" t="s">
        <v>14641</v>
      </c>
      <c r="B4467" t="s">
        <v>14643</v>
      </c>
    </row>
    <row r="4468" spans="1:2">
      <c r="A4468" t="s">
        <v>14644</v>
      </c>
      <c r="B4468" t="s">
        <v>14645</v>
      </c>
    </row>
    <row r="4469" spans="1:2">
      <c r="A4469" t="s">
        <v>14644</v>
      </c>
      <c r="B4469" t="s">
        <v>14646</v>
      </c>
    </row>
    <row r="4470" spans="1:2">
      <c r="A4470" t="s">
        <v>14647</v>
      </c>
      <c r="B4470" t="s">
        <v>14648</v>
      </c>
    </row>
    <row r="4471" spans="1:2">
      <c r="A4471" t="s">
        <v>14647</v>
      </c>
      <c r="B4471" t="s">
        <v>14649</v>
      </c>
    </row>
    <row r="4472" spans="1:2">
      <c r="A4472" t="s">
        <v>14650</v>
      </c>
      <c r="B4472" t="s">
        <v>14651</v>
      </c>
    </row>
    <row r="4473" spans="1:2">
      <c r="A4473" t="s">
        <v>14652</v>
      </c>
      <c r="B4473" t="s">
        <v>14653</v>
      </c>
    </row>
    <row r="4474" spans="1:2">
      <c r="A4474" t="s">
        <v>14654</v>
      </c>
      <c r="B4474" t="s">
        <v>14655</v>
      </c>
    </row>
    <row r="4475" spans="1:2">
      <c r="A4475" t="s">
        <v>14656</v>
      </c>
      <c r="B4475" t="s">
        <v>14657</v>
      </c>
    </row>
    <row r="4476" spans="1:2">
      <c r="A4476" t="s">
        <v>14658</v>
      </c>
      <c r="B4476" t="s">
        <v>14659</v>
      </c>
    </row>
    <row r="4477" spans="1:2">
      <c r="A4477" t="s">
        <v>14660</v>
      </c>
      <c r="B4477" t="s">
        <v>14661</v>
      </c>
    </row>
    <row r="4478" spans="1:2">
      <c r="A4478" t="s">
        <v>14662</v>
      </c>
      <c r="B4478" t="s">
        <v>14663</v>
      </c>
    </row>
    <row r="4479" spans="1:2">
      <c r="A4479" t="s">
        <v>14664</v>
      </c>
      <c r="B4479" t="s">
        <v>14665</v>
      </c>
    </row>
    <row r="4480" spans="1:2">
      <c r="A4480" t="s">
        <v>14666</v>
      </c>
      <c r="B4480" t="s">
        <v>14667</v>
      </c>
    </row>
    <row r="4481" spans="1:2">
      <c r="A4481" t="s">
        <v>14668</v>
      </c>
      <c r="B4481" t="s">
        <v>14669</v>
      </c>
    </row>
    <row r="4482" spans="1:2">
      <c r="A4482" t="s">
        <v>14670</v>
      </c>
      <c r="B4482" t="s">
        <v>14671</v>
      </c>
    </row>
    <row r="4483" spans="1:2">
      <c r="A4483" t="s">
        <v>14672</v>
      </c>
      <c r="B4483" t="s">
        <v>14673</v>
      </c>
    </row>
    <row r="4484" spans="1:2">
      <c r="A4484" t="s">
        <v>14674</v>
      </c>
      <c r="B4484" t="s">
        <v>14675</v>
      </c>
    </row>
    <row r="4485" spans="1:2">
      <c r="A4485" t="s">
        <v>14676</v>
      </c>
      <c r="B4485" t="s">
        <v>14677</v>
      </c>
    </row>
    <row r="4486" spans="1:2">
      <c r="A4486" t="s">
        <v>14678</v>
      </c>
      <c r="B4486" t="s">
        <v>214</v>
      </c>
    </row>
    <row r="4487" spans="1:2">
      <c r="A4487" t="s">
        <v>14679</v>
      </c>
      <c r="B4487" t="s">
        <v>14680</v>
      </c>
    </row>
    <row r="4488" spans="1:2">
      <c r="A4488" t="s">
        <v>14681</v>
      </c>
      <c r="B4488" t="s">
        <v>14682</v>
      </c>
    </row>
    <row r="4489" spans="1:2">
      <c r="A4489" t="s">
        <v>14683</v>
      </c>
      <c r="B4489" t="s">
        <v>14684</v>
      </c>
    </row>
    <row r="4490" spans="1:2">
      <c r="A4490" t="s">
        <v>14685</v>
      </c>
      <c r="B4490" t="s">
        <v>14686</v>
      </c>
    </row>
    <row r="4491" spans="1:2">
      <c r="A4491" t="s">
        <v>14687</v>
      </c>
      <c r="B4491" t="s">
        <v>14688</v>
      </c>
    </row>
    <row r="4492" spans="1:2">
      <c r="A4492" t="s">
        <v>14689</v>
      </c>
      <c r="B4492" t="s">
        <v>14690</v>
      </c>
    </row>
    <row r="4493" spans="1:2">
      <c r="A4493" t="s">
        <v>14689</v>
      </c>
      <c r="B4493" t="s">
        <v>14690</v>
      </c>
    </row>
    <row r="4494" spans="1:2">
      <c r="A4494" t="s">
        <v>14691</v>
      </c>
      <c r="B4494" t="s">
        <v>14692</v>
      </c>
    </row>
    <row r="4495" spans="1:2">
      <c r="A4495" t="s">
        <v>14691</v>
      </c>
      <c r="B4495" t="s">
        <v>14692</v>
      </c>
    </row>
    <row r="4496" spans="1:2">
      <c r="A4496" t="s">
        <v>14693</v>
      </c>
      <c r="B4496" t="s">
        <v>14694</v>
      </c>
    </row>
    <row r="4497" spans="1:2">
      <c r="A4497" t="s">
        <v>14693</v>
      </c>
      <c r="B4497" t="s">
        <v>14694</v>
      </c>
    </row>
    <row r="4498" spans="1:2">
      <c r="A4498" t="s">
        <v>14695</v>
      </c>
      <c r="B4498" t="s">
        <v>14696</v>
      </c>
    </row>
    <row r="4499" spans="1:2">
      <c r="A4499" t="s">
        <v>14695</v>
      </c>
      <c r="B4499" t="s">
        <v>14696</v>
      </c>
    </row>
    <row r="4500" spans="1:2">
      <c r="A4500" t="s">
        <v>14697</v>
      </c>
      <c r="B4500" t="s">
        <v>14698</v>
      </c>
    </row>
    <row r="4501" spans="1:2">
      <c r="A4501" t="s">
        <v>14697</v>
      </c>
      <c r="B4501" t="s">
        <v>14698</v>
      </c>
    </row>
    <row r="4502" spans="1:2">
      <c r="A4502" t="s">
        <v>14699</v>
      </c>
      <c r="B4502" t="s">
        <v>14700</v>
      </c>
    </row>
    <row r="4503" spans="1:2">
      <c r="A4503" t="s">
        <v>14699</v>
      </c>
      <c r="B4503" t="s">
        <v>14700</v>
      </c>
    </row>
    <row r="4504" spans="1:2">
      <c r="A4504" t="s">
        <v>14701</v>
      </c>
      <c r="B4504" t="s">
        <v>14702</v>
      </c>
    </row>
    <row r="4505" spans="1:2">
      <c r="A4505" t="s">
        <v>14701</v>
      </c>
      <c r="B4505" t="s">
        <v>14702</v>
      </c>
    </row>
    <row r="4506" spans="1:2">
      <c r="A4506" t="s">
        <v>14703</v>
      </c>
      <c r="B4506" t="s">
        <v>14704</v>
      </c>
    </row>
    <row r="4507" spans="1:2">
      <c r="A4507" t="s">
        <v>14703</v>
      </c>
      <c r="B4507" t="s">
        <v>14704</v>
      </c>
    </row>
    <row r="4508" spans="1:2">
      <c r="A4508" t="s">
        <v>14705</v>
      </c>
      <c r="B4508" t="s">
        <v>14706</v>
      </c>
    </row>
    <row r="4509" spans="1:2">
      <c r="A4509" t="s">
        <v>14705</v>
      </c>
      <c r="B4509" t="s">
        <v>14706</v>
      </c>
    </row>
    <row r="4510" spans="1:2">
      <c r="A4510" t="s">
        <v>14707</v>
      </c>
      <c r="B4510" t="s">
        <v>14708</v>
      </c>
    </row>
    <row r="4511" spans="1:2">
      <c r="A4511" t="s">
        <v>14707</v>
      </c>
      <c r="B4511" t="s">
        <v>14708</v>
      </c>
    </row>
    <row r="4512" spans="1:2">
      <c r="A4512" t="s">
        <v>14709</v>
      </c>
      <c r="B4512" t="s">
        <v>14710</v>
      </c>
    </row>
    <row r="4513" spans="1:2">
      <c r="A4513" t="s">
        <v>14709</v>
      </c>
      <c r="B4513" t="s">
        <v>14710</v>
      </c>
    </row>
    <row r="4514" spans="1:2">
      <c r="A4514" t="s">
        <v>14711</v>
      </c>
      <c r="B4514" t="s">
        <v>14712</v>
      </c>
    </row>
    <row r="4515" spans="1:2">
      <c r="A4515" t="s">
        <v>14711</v>
      </c>
      <c r="B4515" t="s">
        <v>14712</v>
      </c>
    </row>
    <row r="4516" spans="1:2">
      <c r="A4516" t="s">
        <v>14713</v>
      </c>
      <c r="B4516" t="s">
        <v>14714</v>
      </c>
    </row>
    <row r="4517" spans="1:2">
      <c r="A4517" t="s">
        <v>14713</v>
      </c>
      <c r="B4517" t="s">
        <v>14714</v>
      </c>
    </row>
    <row r="4518" spans="1:2">
      <c r="A4518" t="s">
        <v>14715</v>
      </c>
      <c r="B4518" t="s">
        <v>14716</v>
      </c>
    </row>
    <row r="4519" spans="1:2">
      <c r="A4519" t="s">
        <v>14715</v>
      </c>
      <c r="B4519" t="s">
        <v>14716</v>
      </c>
    </row>
    <row r="4520" spans="1:2">
      <c r="A4520" t="s">
        <v>14717</v>
      </c>
      <c r="B4520" t="s">
        <v>14718</v>
      </c>
    </row>
    <row r="4521" spans="1:2">
      <c r="A4521" t="s">
        <v>14717</v>
      </c>
      <c r="B4521" t="s">
        <v>14718</v>
      </c>
    </row>
    <row r="4522" spans="1:2">
      <c r="A4522" t="s">
        <v>14719</v>
      </c>
      <c r="B4522" t="s">
        <v>14720</v>
      </c>
    </row>
    <row r="4523" spans="1:2">
      <c r="A4523" t="s">
        <v>14719</v>
      </c>
      <c r="B4523" t="s">
        <v>14720</v>
      </c>
    </row>
    <row r="4524" spans="1:2">
      <c r="A4524" t="s">
        <v>14721</v>
      </c>
      <c r="B4524" t="s">
        <v>14722</v>
      </c>
    </row>
    <row r="4525" spans="1:2">
      <c r="A4525" t="s">
        <v>14723</v>
      </c>
      <c r="B4525" t="s">
        <v>14724</v>
      </c>
    </row>
    <row r="4526" spans="1:2">
      <c r="A4526" t="s">
        <v>14725</v>
      </c>
      <c r="B4526" t="s">
        <v>8152</v>
      </c>
    </row>
    <row r="4527" spans="1:2">
      <c r="A4527" t="s">
        <v>14726</v>
      </c>
      <c r="B4527" t="s">
        <v>14727</v>
      </c>
    </row>
    <row r="4528" spans="1:2">
      <c r="A4528" t="s">
        <v>14728</v>
      </c>
      <c r="B4528" t="s">
        <v>14729</v>
      </c>
    </row>
    <row r="4529" spans="1:2">
      <c r="A4529" t="s">
        <v>14730</v>
      </c>
      <c r="B4529" t="s">
        <v>14731</v>
      </c>
    </row>
    <row r="4530" spans="1:2">
      <c r="A4530" t="s">
        <v>14732</v>
      </c>
      <c r="B4530" t="s">
        <v>14733</v>
      </c>
    </row>
    <row r="4531" spans="1:2">
      <c r="A4531" t="s">
        <v>14734</v>
      </c>
      <c r="B4531" t="s">
        <v>14735</v>
      </c>
    </row>
    <row r="4532" spans="1:2">
      <c r="A4532" t="s">
        <v>14736</v>
      </c>
      <c r="B4532" t="s">
        <v>14737</v>
      </c>
    </row>
    <row r="4533" spans="1:2">
      <c r="A4533" t="s">
        <v>14738</v>
      </c>
      <c r="B4533" t="s">
        <v>14739</v>
      </c>
    </row>
    <row r="4534" spans="1:2">
      <c r="A4534" t="s">
        <v>14740</v>
      </c>
      <c r="B4534" t="s">
        <v>14741</v>
      </c>
    </row>
    <row r="4535" spans="1:2">
      <c r="A4535" t="s">
        <v>14742</v>
      </c>
      <c r="B4535" t="s">
        <v>14743</v>
      </c>
    </row>
    <row r="4536" spans="1:2">
      <c r="A4536" t="s">
        <v>14744</v>
      </c>
      <c r="B4536" t="s">
        <v>14745</v>
      </c>
    </row>
    <row r="4537" spans="1:2">
      <c r="A4537" t="s">
        <v>14746</v>
      </c>
      <c r="B4537" t="s">
        <v>14747</v>
      </c>
    </row>
    <row r="4538" spans="1:2">
      <c r="A4538" t="s">
        <v>14748</v>
      </c>
      <c r="B4538" t="s">
        <v>14749</v>
      </c>
    </row>
    <row r="4539" spans="1:2">
      <c r="A4539" t="s">
        <v>14750</v>
      </c>
      <c r="B4539" t="s">
        <v>7334</v>
      </c>
    </row>
    <row r="4540" spans="1:2">
      <c r="A4540" t="s">
        <v>14751</v>
      </c>
      <c r="B4540" t="s">
        <v>14752</v>
      </c>
    </row>
    <row r="4541" spans="1:2">
      <c r="A4541" t="s">
        <v>14753</v>
      </c>
      <c r="B4541" t="s">
        <v>14754</v>
      </c>
    </row>
    <row r="4542" spans="1:2">
      <c r="A4542" t="s">
        <v>14755</v>
      </c>
      <c r="B4542" t="s">
        <v>14756</v>
      </c>
    </row>
    <row r="4543" spans="1:2">
      <c r="A4543" t="s">
        <v>14757</v>
      </c>
      <c r="B4543" t="s">
        <v>14758</v>
      </c>
    </row>
    <row r="4544" spans="1:2">
      <c r="A4544" t="s">
        <v>14759</v>
      </c>
      <c r="B4544" t="s">
        <v>14760</v>
      </c>
    </row>
    <row r="4545" spans="1:2">
      <c r="A4545" t="s">
        <v>14761</v>
      </c>
      <c r="B4545" t="s">
        <v>14762</v>
      </c>
    </row>
    <row r="4546" spans="1:2">
      <c r="A4546" t="s">
        <v>14763</v>
      </c>
      <c r="B4546" t="s">
        <v>14764</v>
      </c>
    </row>
    <row r="4547" spans="1:2">
      <c r="A4547" t="s">
        <v>14765</v>
      </c>
      <c r="B4547" t="s">
        <v>14766</v>
      </c>
    </row>
    <row r="4548" spans="1:2">
      <c r="A4548" t="s">
        <v>14767</v>
      </c>
      <c r="B4548" t="s">
        <v>14768</v>
      </c>
    </row>
    <row r="4549" spans="1:2">
      <c r="A4549" t="s">
        <v>14769</v>
      </c>
      <c r="B4549" t="s">
        <v>14770</v>
      </c>
    </row>
    <row r="4550" spans="1:2">
      <c r="A4550" t="s">
        <v>14771</v>
      </c>
      <c r="B4550" t="s">
        <v>14772</v>
      </c>
    </row>
    <row r="4551" spans="1:2">
      <c r="A4551" t="s">
        <v>14773</v>
      </c>
      <c r="B4551" t="s">
        <v>14774</v>
      </c>
    </row>
    <row r="4552" spans="1:2">
      <c r="A4552" t="s">
        <v>14775</v>
      </c>
      <c r="B4552" t="s">
        <v>14776</v>
      </c>
    </row>
    <row r="4553" spans="1:2">
      <c r="A4553" t="s">
        <v>14777</v>
      </c>
      <c r="B4553" t="s">
        <v>14778</v>
      </c>
    </row>
    <row r="4554" spans="1:2">
      <c r="A4554" t="s">
        <v>14779</v>
      </c>
      <c r="B4554" t="s">
        <v>14780</v>
      </c>
    </row>
    <row r="4555" spans="1:2">
      <c r="A4555" t="s">
        <v>14781</v>
      </c>
      <c r="B4555" t="s">
        <v>14782</v>
      </c>
    </row>
    <row r="4556" spans="1:2">
      <c r="A4556" t="s">
        <v>14783</v>
      </c>
      <c r="B4556" t="s">
        <v>14784</v>
      </c>
    </row>
    <row r="4557" spans="1:2">
      <c r="A4557" t="s">
        <v>14785</v>
      </c>
      <c r="B4557" t="s">
        <v>14786</v>
      </c>
    </row>
    <row r="4558" spans="1:2">
      <c r="A4558" t="s">
        <v>14787</v>
      </c>
      <c r="B4558" t="s">
        <v>14788</v>
      </c>
    </row>
    <row r="4559" spans="1:2">
      <c r="A4559" t="s">
        <v>14789</v>
      </c>
      <c r="B4559" t="s">
        <v>14790</v>
      </c>
    </row>
    <row r="4560" spans="1:2">
      <c r="A4560" t="s">
        <v>14791</v>
      </c>
      <c r="B4560" t="s">
        <v>14792</v>
      </c>
    </row>
    <row r="4561" spans="1:2">
      <c r="A4561" t="s">
        <v>14793</v>
      </c>
      <c r="B4561" t="s">
        <v>12872</v>
      </c>
    </row>
    <row r="4562" spans="1:2">
      <c r="A4562" t="s">
        <v>14794</v>
      </c>
      <c r="B4562" t="s">
        <v>14795</v>
      </c>
    </row>
    <row r="4563" spans="1:2">
      <c r="A4563" t="s">
        <v>14796</v>
      </c>
      <c r="B4563" t="s">
        <v>14797</v>
      </c>
    </row>
    <row r="4564" spans="1:2">
      <c r="A4564" t="s">
        <v>14798</v>
      </c>
      <c r="B4564" t="s">
        <v>14799</v>
      </c>
    </row>
    <row r="4565" spans="1:2">
      <c r="A4565" t="s">
        <v>14800</v>
      </c>
      <c r="B4565" t="s">
        <v>14801</v>
      </c>
    </row>
    <row r="4566" spans="1:2">
      <c r="A4566" t="s">
        <v>14802</v>
      </c>
      <c r="B4566" t="s">
        <v>14803</v>
      </c>
    </row>
    <row r="4567" spans="1:2">
      <c r="A4567" t="s">
        <v>14804</v>
      </c>
      <c r="B4567" t="s">
        <v>14805</v>
      </c>
    </row>
    <row r="4568" spans="1:2">
      <c r="A4568" t="s">
        <v>14806</v>
      </c>
      <c r="B4568" t="s">
        <v>14807</v>
      </c>
    </row>
    <row r="4569" spans="1:2">
      <c r="A4569" t="s">
        <v>14808</v>
      </c>
      <c r="B4569" t="s">
        <v>14809</v>
      </c>
    </row>
    <row r="4570" spans="1:2">
      <c r="A4570" t="s">
        <v>14810</v>
      </c>
      <c r="B4570" t="s">
        <v>14811</v>
      </c>
    </row>
    <row r="4571" spans="1:2">
      <c r="A4571" t="s">
        <v>14812</v>
      </c>
      <c r="B4571" t="s">
        <v>14813</v>
      </c>
    </row>
    <row r="4572" spans="1:2">
      <c r="A4572" t="s">
        <v>14814</v>
      </c>
      <c r="B4572" t="s">
        <v>14815</v>
      </c>
    </row>
    <row r="4573" spans="1:2">
      <c r="A4573" t="s">
        <v>14816</v>
      </c>
      <c r="B4573" t="s">
        <v>14817</v>
      </c>
    </row>
    <row r="4574" spans="1:2">
      <c r="A4574" t="s">
        <v>14818</v>
      </c>
      <c r="B4574" t="s">
        <v>14819</v>
      </c>
    </row>
    <row r="4575" spans="1:2">
      <c r="A4575" t="s">
        <v>14820</v>
      </c>
      <c r="B4575" t="s">
        <v>14821</v>
      </c>
    </row>
    <row r="4576" spans="1:2">
      <c r="A4576" t="s">
        <v>14822</v>
      </c>
      <c r="B4576" t="s">
        <v>14823</v>
      </c>
    </row>
    <row r="4577" spans="1:2">
      <c r="A4577" t="s">
        <v>14824</v>
      </c>
      <c r="B4577" t="s">
        <v>14825</v>
      </c>
    </row>
    <row r="4578" spans="1:2">
      <c r="A4578" t="s">
        <v>14826</v>
      </c>
      <c r="B4578" t="s">
        <v>14827</v>
      </c>
    </row>
    <row r="4579" spans="1:2">
      <c r="A4579" t="s">
        <v>14828</v>
      </c>
      <c r="B4579" t="s">
        <v>14829</v>
      </c>
    </row>
    <row r="4580" spans="1:2">
      <c r="A4580" t="s">
        <v>14830</v>
      </c>
      <c r="B4580" t="s">
        <v>14831</v>
      </c>
    </row>
    <row r="4581" spans="1:2">
      <c r="A4581" t="s">
        <v>14832</v>
      </c>
      <c r="B4581" t="s">
        <v>14833</v>
      </c>
    </row>
    <row r="4582" spans="1:2">
      <c r="A4582" t="s">
        <v>14834</v>
      </c>
      <c r="B4582" t="s">
        <v>14835</v>
      </c>
    </row>
    <row r="4583" spans="1:2">
      <c r="A4583" t="s">
        <v>14836</v>
      </c>
      <c r="B4583" t="s">
        <v>14837</v>
      </c>
    </row>
    <row r="4584" spans="1:2">
      <c r="A4584" t="s">
        <v>14838</v>
      </c>
      <c r="B4584" t="s">
        <v>14839</v>
      </c>
    </row>
    <row r="4585" spans="1:2">
      <c r="A4585" t="s">
        <v>14840</v>
      </c>
      <c r="B4585" t="s">
        <v>14841</v>
      </c>
    </row>
    <row r="4586" spans="1:2">
      <c r="A4586" t="s">
        <v>14842</v>
      </c>
      <c r="B4586" t="s">
        <v>14843</v>
      </c>
    </row>
    <row r="4587" spans="1:2">
      <c r="A4587" t="s">
        <v>14844</v>
      </c>
      <c r="B4587" t="s">
        <v>14845</v>
      </c>
    </row>
    <row r="4588" spans="1:2">
      <c r="A4588" t="s">
        <v>14846</v>
      </c>
      <c r="B4588" t="s">
        <v>14847</v>
      </c>
    </row>
    <row r="4589" spans="1:2">
      <c r="A4589" t="s">
        <v>14848</v>
      </c>
      <c r="B4589" t="s">
        <v>14849</v>
      </c>
    </row>
    <row r="4590" spans="1:2">
      <c r="A4590" t="s">
        <v>14850</v>
      </c>
      <c r="B4590" t="s">
        <v>14851</v>
      </c>
    </row>
    <row r="4591" spans="1:2">
      <c r="A4591" t="s">
        <v>14852</v>
      </c>
      <c r="B4591" t="s">
        <v>14853</v>
      </c>
    </row>
    <row r="4592" spans="1:2">
      <c r="A4592" t="s">
        <v>14854</v>
      </c>
      <c r="B4592" t="s">
        <v>14855</v>
      </c>
    </row>
    <row r="4593" spans="1:2">
      <c r="A4593" t="s">
        <v>14856</v>
      </c>
      <c r="B4593" t="s">
        <v>14857</v>
      </c>
    </row>
    <row r="4594" spans="1:2">
      <c r="A4594" t="s">
        <v>14858</v>
      </c>
      <c r="B4594" t="s">
        <v>14859</v>
      </c>
    </row>
    <row r="4595" spans="1:2">
      <c r="A4595" t="s">
        <v>14860</v>
      </c>
      <c r="B4595" t="s">
        <v>14861</v>
      </c>
    </row>
    <row r="4596" spans="1:2">
      <c r="A4596" t="s">
        <v>14862</v>
      </c>
      <c r="B4596" t="s">
        <v>14863</v>
      </c>
    </row>
    <row r="4597" spans="1:2">
      <c r="A4597" t="s">
        <v>14864</v>
      </c>
      <c r="B4597" t="s">
        <v>14865</v>
      </c>
    </row>
    <row r="4598" spans="1:2">
      <c r="A4598" t="s">
        <v>14866</v>
      </c>
      <c r="B4598" t="s">
        <v>14867</v>
      </c>
    </row>
    <row r="4599" spans="1:2">
      <c r="A4599" t="s">
        <v>14868</v>
      </c>
      <c r="B4599" t="s">
        <v>14869</v>
      </c>
    </row>
    <row r="4600" spans="1:2">
      <c r="A4600" t="s">
        <v>14870</v>
      </c>
      <c r="B4600" t="s">
        <v>14871</v>
      </c>
    </row>
    <row r="4601" spans="1:2">
      <c r="A4601" t="s">
        <v>14872</v>
      </c>
      <c r="B4601" t="s">
        <v>14873</v>
      </c>
    </row>
    <row r="4602" spans="1:2">
      <c r="A4602" t="s">
        <v>14874</v>
      </c>
      <c r="B4602" t="s">
        <v>14875</v>
      </c>
    </row>
    <row r="4603" spans="1:2">
      <c r="A4603" t="s">
        <v>14876</v>
      </c>
      <c r="B4603" t="s">
        <v>14877</v>
      </c>
    </row>
    <row r="4604" spans="1:2">
      <c r="A4604" t="s">
        <v>14878</v>
      </c>
      <c r="B4604" t="s">
        <v>14879</v>
      </c>
    </row>
    <row r="4605" spans="1:2">
      <c r="A4605" t="s">
        <v>14880</v>
      </c>
      <c r="B4605" t="s">
        <v>14881</v>
      </c>
    </row>
    <row r="4606" spans="1:2">
      <c r="A4606" t="s">
        <v>14882</v>
      </c>
      <c r="B4606" t="s">
        <v>14883</v>
      </c>
    </row>
    <row r="4607" spans="1:2">
      <c r="A4607" t="s">
        <v>14884</v>
      </c>
      <c r="B4607" t="s">
        <v>14885</v>
      </c>
    </row>
    <row r="4608" spans="1:2">
      <c r="A4608" t="s">
        <v>14886</v>
      </c>
      <c r="B4608" t="s">
        <v>14887</v>
      </c>
    </row>
    <row r="4609" spans="1:2">
      <c r="A4609" t="s">
        <v>14888</v>
      </c>
      <c r="B4609" t="s">
        <v>14889</v>
      </c>
    </row>
    <row r="4610" spans="1:2">
      <c r="A4610" t="s">
        <v>14890</v>
      </c>
      <c r="B4610" t="s">
        <v>14891</v>
      </c>
    </row>
    <row r="4611" spans="1:2">
      <c r="A4611" t="s">
        <v>14892</v>
      </c>
      <c r="B4611" t="s">
        <v>14893</v>
      </c>
    </row>
    <row r="4612" spans="1:2">
      <c r="A4612" t="s">
        <v>14894</v>
      </c>
      <c r="B4612" t="s">
        <v>14895</v>
      </c>
    </row>
    <row r="4613" spans="1:2">
      <c r="A4613" t="s">
        <v>14896</v>
      </c>
      <c r="B4613" t="s">
        <v>14897</v>
      </c>
    </row>
    <row r="4614" spans="1:2">
      <c r="A4614" t="s">
        <v>14898</v>
      </c>
      <c r="B4614" t="s">
        <v>14899</v>
      </c>
    </row>
    <row r="4615" spans="1:2">
      <c r="A4615" t="s">
        <v>14900</v>
      </c>
      <c r="B4615" t="s">
        <v>14901</v>
      </c>
    </row>
    <row r="4616" spans="1:2">
      <c r="A4616" t="s">
        <v>14902</v>
      </c>
      <c r="B4616" t="s">
        <v>14903</v>
      </c>
    </row>
    <row r="4617" spans="1:2">
      <c r="A4617" t="s">
        <v>14904</v>
      </c>
      <c r="B4617" t="s">
        <v>14905</v>
      </c>
    </row>
    <row r="4618" spans="1:2">
      <c r="A4618" t="s">
        <v>14906</v>
      </c>
      <c r="B4618" t="s">
        <v>14907</v>
      </c>
    </row>
    <row r="4619" spans="1:2">
      <c r="A4619" t="s">
        <v>14908</v>
      </c>
      <c r="B4619" t="s">
        <v>14909</v>
      </c>
    </row>
    <row r="4620" spans="1:2">
      <c r="A4620" t="s">
        <v>14910</v>
      </c>
      <c r="B4620" t="s">
        <v>14911</v>
      </c>
    </row>
    <row r="4621" spans="1:2">
      <c r="A4621" t="s">
        <v>14912</v>
      </c>
      <c r="B4621" t="s">
        <v>14913</v>
      </c>
    </row>
    <row r="4622" spans="1:2">
      <c r="A4622" t="s">
        <v>14914</v>
      </c>
      <c r="B4622" t="s">
        <v>14915</v>
      </c>
    </row>
    <row r="4623" spans="1:2">
      <c r="A4623" t="s">
        <v>14916</v>
      </c>
      <c r="B4623" t="s">
        <v>14917</v>
      </c>
    </row>
    <row r="4624" spans="1:2">
      <c r="A4624" t="s">
        <v>14918</v>
      </c>
      <c r="B4624" t="s">
        <v>14919</v>
      </c>
    </row>
    <row r="4625" spans="1:2">
      <c r="A4625" t="s">
        <v>14918</v>
      </c>
      <c r="B4625" t="s">
        <v>14920</v>
      </c>
    </row>
    <row r="4626" spans="1:2">
      <c r="A4626" t="s">
        <v>14921</v>
      </c>
      <c r="B4626" t="s">
        <v>14922</v>
      </c>
    </row>
    <row r="4627" spans="1:2">
      <c r="A4627" t="s">
        <v>14921</v>
      </c>
      <c r="B4627" t="s">
        <v>14923</v>
      </c>
    </row>
    <row r="4628" spans="1:2">
      <c r="A4628" t="s">
        <v>14924</v>
      </c>
      <c r="B4628" t="s">
        <v>14925</v>
      </c>
    </row>
    <row r="4629" spans="1:2">
      <c r="A4629" t="s">
        <v>14924</v>
      </c>
      <c r="B4629" t="s">
        <v>14926</v>
      </c>
    </row>
    <row r="4630" spans="1:2">
      <c r="A4630" t="s">
        <v>14927</v>
      </c>
      <c r="B4630" t="s">
        <v>14928</v>
      </c>
    </row>
    <row r="4631" spans="1:2">
      <c r="A4631" t="s">
        <v>14927</v>
      </c>
      <c r="B4631" t="s">
        <v>14929</v>
      </c>
    </row>
    <row r="4632" spans="1:2">
      <c r="A4632" t="s">
        <v>14930</v>
      </c>
      <c r="B4632" t="s">
        <v>2419</v>
      </c>
    </row>
    <row r="4633" spans="1:2">
      <c r="A4633" t="s">
        <v>14930</v>
      </c>
      <c r="B4633" t="s">
        <v>14931</v>
      </c>
    </row>
    <row r="4634" spans="1:2">
      <c r="A4634" t="s">
        <v>14932</v>
      </c>
      <c r="B4634" t="s">
        <v>14933</v>
      </c>
    </row>
    <row r="4635" spans="1:2">
      <c r="A4635" t="s">
        <v>14932</v>
      </c>
      <c r="B4635" t="s">
        <v>3142</v>
      </c>
    </row>
    <row r="4636" spans="1:2">
      <c r="A4636" t="s">
        <v>14934</v>
      </c>
      <c r="B4636" t="s">
        <v>14935</v>
      </c>
    </row>
    <row r="4637" spans="1:2">
      <c r="A4637" t="s">
        <v>14934</v>
      </c>
      <c r="B4637" t="s">
        <v>14936</v>
      </c>
    </row>
    <row r="4638" spans="1:2">
      <c r="A4638" t="s">
        <v>14937</v>
      </c>
      <c r="B4638" t="s">
        <v>14938</v>
      </c>
    </row>
    <row r="4639" spans="1:2">
      <c r="A4639" t="s">
        <v>14937</v>
      </c>
      <c r="B4639" t="s">
        <v>14939</v>
      </c>
    </row>
    <row r="4640" spans="1:2">
      <c r="A4640" t="s">
        <v>14940</v>
      </c>
      <c r="B4640" t="s">
        <v>14941</v>
      </c>
    </row>
    <row r="4641" spans="1:2">
      <c r="A4641" t="s">
        <v>14940</v>
      </c>
      <c r="B4641" t="s">
        <v>14942</v>
      </c>
    </row>
    <row r="4642" spans="1:2">
      <c r="A4642" t="s">
        <v>14943</v>
      </c>
      <c r="B4642" t="s">
        <v>14944</v>
      </c>
    </row>
    <row r="4643" spans="1:2">
      <c r="A4643" t="s">
        <v>14943</v>
      </c>
      <c r="B4643" t="s">
        <v>14945</v>
      </c>
    </row>
    <row r="4644" spans="1:2">
      <c r="A4644" t="s">
        <v>14946</v>
      </c>
      <c r="B4644" t="s">
        <v>14947</v>
      </c>
    </row>
    <row r="4645" spans="1:2">
      <c r="A4645" t="s">
        <v>14946</v>
      </c>
      <c r="B4645" t="s">
        <v>14948</v>
      </c>
    </row>
    <row r="4646" spans="1:2">
      <c r="A4646" t="s">
        <v>14949</v>
      </c>
      <c r="B4646" t="s">
        <v>14950</v>
      </c>
    </row>
    <row r="4647" spans="1:2">
      <c r="A4647" t="s">
        <v>14949</v>
      </c>
      <c r="B4647" t="s">
        <v>14951</v>
      </c>
    </row>
    <row r="4648" spans="1:2">
      <c r="A4648" t="s">
        <v>14952</v>
      </c>
      <c r="B4648" t="s">
        <v>14953</v>
      </c>
    </row>
    <row r="4649" spans="1:2">
      <c r="A4649" t="s">
        <v>14952</v>
      </c>
      <c r="B4649" t="s">
        <v>14954</v>
      </c>
    </row>
    <row r="4650" spans="1:2">
      <c r="A4650" t="s">
        <v>14955</v>
      </c>
      <c r="B4650" t="s">
        <v>3486</v>
      </c>
    </row>
    <row r="4651" spans="1:2">
      <c r="A4651" t="s">
        <v>14955</v>
      </c>
      <c r="B4651" t="s">
        <v>14956</v>
      </c>
    </row>
    <row r="4652" spans="1:2">
      <c r="A4652" t="s">
        <v>14957</v>
      </c>
      <c r="B4652" t="s">
        <v>14958</v>
      </c>
    </row>
    <row r="4653" spans="1:2">
      <c r="A4653" t="s">
        <v>14957</v>
      </c>
      <c r="B4653" t="s">
        <v>14959</v>
      </c>
    </row>
    <row r="4654" spans="1:2">
      <c r="A4654" t="s">
        <v>14960</v>
      </c>
      <c r="B4654" t="s">
        <v>14961</v>
      </c>
    </row>
    <row r="4655" spans="1:2">
      <c r="A4655" t="s">
        <v>14960</v>
      </c>
      <c r="B4655" t="s">
        <v>14962</v>
      </c>
    </row>
    <row r="4656" spans="1:2">
      <c r="A4656" t="s">
        <v>14963</v>
      </c>
      <c r="B4656" t="s">
        <v>14964</v>
      </c>
    </row>
    <row r="4657" spans="1:2">
      <c r="A4657" t="s">
        <v>14963</v>
      </c>
      <c r="B4657" t="s">
        <v>14965</v>
      </c>
    </row>
    <row r="4658" spans="1:2">
      <c r="A4658" t="s">
        <v>14966</v>
      </c>
      <c r="B4658" t="s">
        <v>14967</v>
      </c>
    </row>
    <row r="4659" spans="1:2">
      <c r="A4659" t="s">
        <v>14966</v>
      </c>
      <c r="B4659" t="s">
        <v>14968</v>
      </c>
    </row>
    <row r="4660" spans="1:2">
      <c r="A4660" t="s">
        <v>14969</v>
      </c>
      <c r="B4660" t="s">
        <v>14970</v>
      </c>
    </row>
    <row r="4661" spans="1:2">
      <c r="A4661" t="s">
        <v>14969</v>
      </c>
      <c r="B4661" t="s">
        <v>2389</v>
      </c>
    </row>
    <row r="4662" spans="1:2">
      <c r="A4662" t="s">
        <v>14971</v>
      </c>
      <c r="B4662" t="s">
        <v>14972</v>
      </c>
    </row>
    <row r="4663" spans="1:2">
      <c r="A4663" t="s">
        <v>14971</v>
      </c>
      <c r="B4663" t="s">
        <v>14973</v>
      </c>
    </row>
    <row r="4664" spans="1:2">
      <c r="A4664" t="s">
        <v>14974</v>
      </c>
      <c r="B4664" t="s">
        <v>14975</v>
      </c>
    </row>
    <row r="4665" spans="1:2">
      <c r="A4665" t="s">
        <v>14974</v>
      </c>
      <c r="B4665" t="s">
        <v>14976</v>
      </c>
    </row>
    <row r="4666" spans="1:2">
      <c r="A4666" t="s">
        <v>14977</v>
      </c>
      <c r="B4666" t="s">
        <v>14978</v>
      </c>
    </row>
    <row r="4667" spans="1:2">
      <c r="A4667" t="s">
        <v>14977</v>
      </c>
      <c r="B4667" t="s">
        <v>14979</v>
      </c>
    </row>
    <row r="4668" spans="1:2">
      <c r="A4668" t="s">
        <v>14980</v>
      </c>
      <c r="B4668" t="s">
        <v>1730</v>
      </c>
    </row>
    <row r="4669" spans="1:2">
      <c r="A4669" t="s">
        <v>14980</v>
      </c>
      <c r="B4669" t="s">
        <v>14981</v>
      </c>
    </row>
    <row r="4670" spans="1:2">
      <c r="A4670" t="s">
        <v>14982</v>
      </c>
      <c r="B4670" t="s">
        <v>14983</v>
      </c>
    </row>
    <row r="4671" spans="1:2">
      <c r="A4671" t="s">
        <v>14982</v>
      </c>
      <c r="B4671" t="s">
        <v>14984</v>
      </c>
    </row>
    <row r="4672" spans="1:2">
      <c r="A4672" t="s">
        <v>14985</v>
      </c>
      <c r="B4672" t="s">
        <v>14986</v>
      </c>
    </row>
    <row r="4673" spans="1:2">
      <c r="A4673" t="s">
        <v>14985</v>
      </c>
      <c r="B4673" t="s">
        <v>14987</v>
      </c>
    </row>
    <row r="4674" spans="1:2">
      <c r="A4674" t="s">
        <v>14988</v>
      </c>
      <c r="B4674" t="s">
        <v>14989</v>
      </c>
    </row>
    <row r="4675" spans="1:2">
      <c r="A4675" t="s">
        <v>14988</v>
      </c>
      <c r="B4675" t="s">
        <v>14990</v>
      </c>
    </row>
    <row r="4676" spans="1:2">
      <c r="A4676" t="s">
        <v>14991</v>
      </c>
      <c r="B4676" t="s">
        <v>14992</v>
      </c>
    </row>
    <row r="4677" spans="1:2">
      <c r="A4677" t="s">
        <v>14991</v>
      </c>
      <c r="B4677" t="s">
        <v>14993</v>
      </c>
    </row>
    <row r="4678" spans="1:2">
      <c r="A4678" t="s">
        <v>14994</v>
      </c>
      <c r="B4678" t="s">
        <v>14995</v>
      </c>
    </row>
    <row r="4679" spans="1:2">
      <c r="A4679" t="s">
        <v>14994</v>
      </c>
      <c r="B4679" t="s">
        <v>14996</v>
      </c>
    </row>
    <row r="4680" spans="1:2">
      <c r="A4680" t="s">
        <v>14997</v>
      </c>
      <c r="B4680" t="s">
        <v>14998</v>
      </c>
    </row>
    <row r="4681" spans="1:2">
      <c r="A4681" t="s">
        <v>14997</v>
      </c>
      <c r="B4681" t="s">
        <v>14999</v>
      </c>
    </row>
    <row r="4682" spans="1:2">
      <c r="A4682" t="s">
        <v>15000</v>
      </c>
      <c r="B4682" t="s">
        <v>15001</v>
      </c>
    </row>
    <row r="4683" spans="1:2">
      <c r="A4683" t="s">
        <v>15000</v>
      </c>
      <c r="B4683" t="s">
        <v>2647</v>
      </c>
    </row>
    <row r="4684" spans="1:2">
      <c r="A4684" t="s">
        <v>15002</v>
      </c>
      <c r="B4684" t="s">
        <v>15003</v>
      </c>
    </row>
    <row r="4685" spans="1:2">
      <c r="A4685" t="s">
        <v>15002</v>
      </c>
      <c r="B4685" t="s">
        <v>15004</v>
      </c>
    </row>
    <row r="4686" spans="1:2">
      <c r="A4686" t="s">
        <v>15005</v>
      </c>
      <c r="B4686" t="s">
        <v>15006</v>
      </c>
    </row>
    <row r="4687" spans="1:2">
      <c r="A4687" t="s">
        <v>15005</v>
      </c>
      <c r="B4687" t="s">
        <v>15007</v>
      </c>
    </row>
    <row r="4688" spans="1:2">
      <c r="A4688" t="s">
        <v>15008</v>
      </c>
      <c r="B4688" t="s">
        <v>15009</v>
      </c>
    </row>
    <row r="4689" spans="1:2">
      <c r="A4689" t="s">
        <v>15008</v>
      </c>
      <c r="B4689" t="s">
        <v>15010</v>
      </c>
    </row>
    <row r="4690" spans="1:2">
      <c r="A4690" t="s">
        <v>15011</v>
      </c>
      <c r="B4690" t="s">
        <v>15012</v>
      </c>
    </row>
    <row r="4691" spans="1:2">
      <c r="A4691" t="s">
        <v>15011</v>
      </c>
      <c r="B4691" t="s">
        <v>15013</v>
      </c>
    </row>
    <row r="4692" spans="1:2">
      <c r="A4692" t="s">
        <v>15014</v>
      </c>
      <c r="B4692" t="s">
        <v>1404</v>
      </c>
    </row>
    <row r="4693" spans="1:2">
      <c r="A4693" t="s">
        <v>15014</v>
      </c>
      <c r="B4693" t="s">
        <v>15015</v>
      </c>
    </row>
    <row r="4694" spans="1:2">
      <c r="A4694" t="s">
        <v>15016</v>
      </c>
      <c r="B4694" t="s">
        <v>15017</v>
      </c>
    </row>
    <row r="4695" spans="1:2">
      <c r="A4695" t="s">
        <v>15016</v>
      </c>
      <c r="B4695" t="s">
        <v>15018</v>
      </c>
    </row>
    <row r="4696" spans="1:2">
      <c r="A4696" t="s">
        <v>15019</v>
      </c>
      <c r="B4696" t="s">
        <v>15020</v>
      </c>
    </row>
    <row r="4697" spans="1:2">
      <c r="A4697" t="s">
        <v>15019</v>
      </c>
      <c r="B4697" t="s">
        <v>15021</v>
      </c>
    </row>
    <row r="4698" spans="1:2">
      <c r="A4698" t="s">
        <v>15022</v>
      </c>
      <c r="B4698" t="s">
        <v>15023</v>
      </c>
    </row>
    <row r="4699" spans="1:2">
      <c r="A4699" t="s">
        <v>15022</v>
      </c>
      <c r="B4699" t="s">
        <v>15024</v>
      </c>
    </row>
    <row r="4700" spans="1:2">
      <c r="A4700" t="s">
        <v>15025</v>
      </c>
      <c r="B4700" t="s">
        <v>15026</v>
      </c>
    </row>
    <row r="4701" spans="1:2">
      <c r="A4701" t="s">
        <v>15025</v>
      </c>
      <c r="B4701" t="s">
        <v>15027</v>
      </c>
    </row>
    <row r="4702" spans="1:2">
      <c r="A4702" t="s">
        <v>15028</v>
      </c>
      <c r="B4702" t="s">
        <v>15029</v>
      </c>
    </row>
    <row r="4703" spans="1:2">
      <c r="A4703" t="s">
        <v>15028</v>
      </c>
      <c r="B4703" t="s">
        <v>15030</v>
      </c>
    </row>
    <row r="4704" spans="1:2">
      <c r="A4704" t="s">
        <v>15031</v>
      </c>
      <c r="B4704" t="s">
        <v>15032</v>
      </c>
    </row>
    <row r="4705" spans="1:2">
      <c r="A4705" t="s">
        <v>15031</v>
      </c>
      <c r="B4705" t="s">
        <v>15033</v>
      </c>
    </row>
    <row r="4706" spans="1:2">
      <c r="A4706" t="s">
        <v>15034</v>
      </c>
      <c r="B4706" t="s">
        <v>15035</v>
      </c>
    </row>
    <row r="4707" spans="1:2">
      <c r="A4707" t="s">
        <v>15034</v>
      </c>
      <c r="B4707" t="s">
        <v>15036</v>
      </c>
    </row>
    <row r="4708" spans="1:2">
      <c r="A4708" t="s">
        <v>15037</v>
      </c>
      <c r="B4708" t="s">
        <v>15038</v>
      </c>
    </row>
    <row r="4709" spans="1:2">
      <c r="A4709" t="s">
        <v>15037</v>
      </c>
      <c r="B4709" t="s">
        <v>15039</v>
      </c>
    </row>
    <row r="4710" spans="1:2">
      <c r="A4710" t="s">
        <v>15040</v>
      </c>
      <c r="B4710" t="s">
        <v>15041</v>
      </c>
    </row>
    <row r="4711" spans="1:2">
      <c r="A4711" t="s">
        <v>15040</v>
      </c>
      <c r="B4711" t="s">
        <v>15042</v>
      </c>
    </row>
    <row r="4712" spans="1:2">
      <c r="A4712" t="s">
        <v>15043</v>
      </c>
      <c r="B4712" t="s">
        <v>15044</v>
      </c>
    </row>
    <row r="4713" spans="1:2">
      <c r="A4713" t="s">
        <v>15043</v>
      </c>
      <c r="B4713" t="s">
        <v>15045</v>
      </c>
    </row>
    <row r="4714" spans="1:2">
      <c r="A4714" t="s">
        <v>15046</v>
      </c>
      <c r="B4714" t="s">
        <v>15047</v>
      </c>
    </row>
    <row r="4715" spans="1:2">
      <c r="A4715" t="s">
        <v>15046</v>
      </c>
      <c r="B4715" t="s">
        <v>15048</v>
      </c>
    </row>
    <row r="4716" spans="1:2">
      <c r="A4716" t="s">
        <v>15049</v>
      </c>
      <c r="B4716" t="s">
        <v>15050</v>
      </c>
    </row>
    <row r="4717" spans="1:2">
      <c r="A4717" t="s">
        <v>15049</v>
      </c>
      <c r="B4717" t="s">
        <v>15051</v>
      </c>
    </row>
    <row r="4718" spans="1:2">
      <c r="A4718" t="s">
        <v>15052</v>
      </c>
      <c r="B4718" t="s">
        <v>15053</v>
      </c>
    </row>
    <row r="4719" spans="1:2">
      <c r="A4719" t="s">
        <v>15052</v>
      </c>
      <c r="B4719" t="s">
        <v>15054</v>
      </c>
    </row>
    <row r="4720" spans="1:2">
      <c r="A4720" t="s">
        <v>15055</v>
      </c>
      <c r="B4720" t="s">
        <v>15056</v>
      </c>
    </row>
    <row r="4721" spans="1:2">
      <c r="A4721" t="s">
        <v>15055</v>
      </c>
      <c r="B4721" t="s">
        <v>15057</v>
      </c>
    </row>
    <row r="4722" spans="1:2">
      <c r="A4722" t="s">
        <v>15058</v>
      </c>
      <c r="B4722" t="s">
        <v>15059</v>
      </c>
    </row>
    <row r="4723" spans="1:2">
      <c r="A4723" t="s">
        <v>15058</v>
      </c>
      <c r="B4723" t="s">
        <v>15060</v>
      </c>
    </row>
    <row r="4724" spans="1:2">
      <c r="A4724" t="s">
        <v>15061</v>
      </c>
      <c r="B4724" t="s">
        <v>953</v>
      </c>
    </row>
    <row r="4725" spans="1:2">
      <c r="A4725" t="s">
        <v>15061</v>
      </c>
      <c r="B4725" t="s">
        <v>953</v>
      </c>
    </row>
    <row r="4726" spans="1:2">
      <c r="A4726" t="s">
        <v>15062</v>
      </c>
      <c r="B4726" t="s">
        <v>15063</v>
      </c>
    </row>
    <row r="4727" spans="1:2">
      <c r="A4727" t="s">
        <v>15062</v>
      </c>
      <c r="B4727" t="s">
        <v>15063</v>
      </c>
    </row>
    <row r="4728" spans="1:2">
      <c r="A4728" t="s">
        <v>15064</v>
      </c>
      <c r="B4728" t="s">
        <v>15065</v>
      </c>
    </row>
    <row r="4729" spans="1:2">
      <c r="A4729" t="s">
        <v>15064</v>
      </c>
      <c r="B4729" t="s">
        <v>15066</v>
      </c>
    </row>
    <row r="4730" spans="1:2">
      <c r="A4730" t="s">
        <v>15067</v>
      </c>
      <c r="B4730" t="s">
        <v>15068</v>
      </c>
    </row>
    <row r="4731" spans="1:2">
      <c r="A4731" t="s">
        <v>15067</v>
      </c>
      <c r="B4731" t="s">
        <v>15069</v>
      </c>
    </row>
    <row r="4732" spans="1:2">
      <c r="A4732" t="s">
        <v>15070</v>
      </c>
      <c r="B4732" t="s">
        <v>15071</v>
      </c>
    </row>
    <row r="4733" spans="1:2">
      <c r="A4733" t="s">
        <v>15070</v>
      </c>
      <c r="B4733" t="s">
        <v>15072</v>
      </c>
    </row>
    <row r="4734" spans="1:2">
      <c r="A4734" t="s">
        <v>15073</v>
      </c>
      <c r="B4734" t="s">
        <v>15074</v>
      </c>
    </row>
    <row r="4735" spans="1:2">
      <c r="A4735" t="s">
        <v>15073</v>
      </c>
      <c r="B4735" t="s">
        <v>15075</v>
      </c>
    </row>
    <row r="4736" spans="1:2">
      <c r="A4736" t="s">
        <v>15076</v>
      </c>
      <c r="B4736" t="s">
        <v>15077</v>
      </c>
    </row>
    <row r="4737" spans="1:2">
      <c r="A4737" t="s">
        <v>15076</v>
      </c>
      <c r="B4737" t="s">
        <v>15078</v>
      </c>
    </row>
    <row r="4738" spans="1:2">
      <c r="A4738" t="s">
        <v>15079</v>
      </c>
      <c r="B4738" t="s">
        <v>15080</v>
      </c>
    </row>
    <row r="4739" spans="1:2">
      <c r="A4739" t="s">
        <v>15079</v>
      </c>
      <c r="B4739" t="s">
        <v>1719</v>
      </c>
    </row>
    <row r="4740" spans="1:2">
      <c r="A4740" t="s">
        <v>15081</v>
      </c>
      <c r="B4740" t="s">
        <v>1028</v>
      </c>
    </row>
    <row r="4741" spans="1:2">
      <c r="A4741" t="s">
        <v>15081</v>
      </c>
      <c r="B4741" t="s">
        <v>15082</v>
      </c>
    </row>
    <row r="4742" spans="1:2">
      <c r="A4742" t="s">
        <v>15083</v>
      </c>
      <c r="B4742" t="s">
        <v>15084</v>
      </c>
    </row>
    <row r="4743" spans="1:2">
      <c r="A4743" t="s">
        <v>15083</v>
      </c>
      <c r="B4743" t="s">
        <v>15085</v>
      </c>
    </row>
    <row r="4744" spans="1:2">
      <c r="A4744" t="s">
        <v>15086</v>
      </c>
      <c r="B4744" t="s">
        <v>15087</v>
      </c>
    </row>
    <row r="4745" spans="1:2">
      <c r="A4745" t="s">
        <v>15086</v>
      </c>
      <c r="B4745" t="s">
        <v>15088</v>
      </c>
    </row>
    <row r="4746" spans="1:2">
      <c r="A4746" t="s">
        <v>15089</v>
      </c>
      <c r="B4746" t="s">
        <v>15090</v>
      </c>
    </row>
    <row r="4747" spans="1:2">
      <c r="A4747" t="s">
        <v>15089</v>
      </c>
      <c r="B4747" t="s">
        <v>15091</v>
      </c>
    </row>
    <row r="4748" spans="1:2">
      <c r="A4748" t="s">
        <v>15092</v>
      </c>
      <c r="B4748" t="s">
        <v>15093</v>
      </c>
    </row>
    <row r="4749" spans="1:2">
      <c r="A4749" t="s">
        <v>15092</v>
      </c>
      <c r="B4749" t="s">
        <v>15094</v>
      </c>
    </row>
    <row r="4750" spans="1:2">
      <c r="A4750" t="s">
        <v>15095</v>
      </c>
      <c r="B4750" t="s">
        <v>15096</v>
      </c>
    </row>
    <row r="4751" spans="1:2">
      <c r="A4751" t="s">
        <v>15095</v>
      </c>
      <c r="B4751" t="s">
        <v>15097</v>
      </c>
    </row>
    <row r="4752" spans="1:2">
      <c r="A4752" t="s">
        <v>15098</v>
      </c>
      <c r="B4752" t="s">
        <v>15099</v>
      </c>
    </row>
    <row r="4753" spans="1:2">
      <c r="A4753" t="s">
        <v>15098</v>
      </c>
      <c r="B4753" t="s">
        <v>15100</v>
      </c>
    </row>
    <row r="4754" spans="1:2">
      <c r="A4754" t="s">
        <v>15101</v>
      </c>
      <c r="B4754" t="s">
        <v>15102</v>
      </c>
    </row>
    <row r="4755" spans="1:2">
      <c r="A4755" t="s">
        <v>15101</v>
      </c>
      <c r="B4755" t="s">
        <v>15103</v>
      </c>
    </row>
    <row r="4756" spans="1:2">
      <c r="A4756" t="s">
        <v>15104</v>
      </c>
      <c r="B4756" t="s">
        <v>15105</v>
      </c>
    </row>
    <row r="4757" spans="1:2">
      <c r="A4757" t="s">
        <v>15104</v>
      </c>
      <c r="B4757" t="s">
        <v>15106</v>
      </c>
    </row>
    <row r="4758" spans="1:2">
      <c r="A4758" t="s">
        <v>15107</v>
      </c>
      <c r="B4758" t="s">
        <v>15108</v>
      </c>
    </row>
    <row r="4759" spans="1:2">
      <c r="A4759" t="s">
        <v>15107</v>
      </c>
      <c r="B4759" t="s">
        <v>15109</v>
      </c>
    </row>
    <row r="4760" spans="1:2">
      <c r="A4760" t="s">
        <v>15110</v>
      </c>
      <c r="B4760" t="s">
        <v>15111</v>
      </c>
    </row>
    <row r="4761" spans="1:2">
      <c r="A4761" t="s">
        <v>15110</v>
      </c>
      <c r="B4761" t="s">
        <v>15111</v>
      </c>
    </row>
    <row r="4762" spans="1:2">
      <c r="A4762" t="s">
        <v>15112</v>
      </c>
      <c r="B4762" t="s">
        <v>15113</v>
      </c>
    </row>
    <row r="4763" spans="1:2">
      <c r="A4763" t="s">
        <v>15112</v>
      </c>
      <c r="B4763" t="s">
        <v>15114</v>
      </c>
    </row>
    <row r="4764" spans="1:2">
      <c r="A4764" t="s">
        <v>15115</v>
      </c>
      <c r="B4764" t="s">
        <v>1707</v>
      </c>
    </row>
    <row r="4765" spans="1:2">
      <c r="A4765" t="s">
        <v>15115</v>
      </c>
      <c r="B4765" t="s">
        <v>15116</v>
      </c>
    </row>
    <row r="4766" spans="1:2">
      <c r="A4766" t="s">
        <v>15117</v>
      </c>
      <c r="B4766" t="s">
        <v>15118</v>
      </c>
    </row>
    <row r="4767" spans="1:2">
      <c r="A4767" t="s">
        <v>15117</v>
      </c>
      <c r="B4767" t="s">
        <v>15119</v>
      </c>
    </row>
    <row r="4768" spans="1:2">
      <c r="A4768" t="s">
        <v>15120</v>
      </c>
      <c r="B4768" t="s">
        <v>15121</v>
      </c>
    </row>
    <row r="4769" spans="1:2">
      <c r="A4769" t="s">
        <v>15120</v>
      </c>
      <c r="B4769" t="s">
        <v>15122</v>
      </c>
    </row>
    <row r="4770" spans="1:2">
      <c r="A4770" t="s">
        <v>15123</v>
      </c>
      <c r="B4770" t="s">
        <v>15124</v>
      </c>
    </row>
    <row r="4771" spans="1:2">
      <c r="A4771" t="s">
        <v>15123</v>
      </c>
      <c r="B4771" t="s">
        <v>15125</v>
      </c>
    </row>
    <row r="4772" spans="1:2">
      <c r="A4772" t="s">
        <v>15126</v>
      </c>
      <c r="B4772" t="s">
        <v>15127</v>
      </c>
    </row>
    <row r="4773" spans="1:2">
      <c r="A4773" t="s">
        <v>15126</v>
      </c>
      <c r="B4773" t="s">
        <v>15127</v>
      </c>
    </row>
    <row r="4774" spans="1:2">
      <c r="A4774" t="s">
        <v>15128</v>
      </c>
      <c r="B4774" t="s">
        <v>15129</v>
      </c>
    </row>
    <row r="4775" spans="1:2">
      <c r="A4775" t="s">
        <v>15128</v>
      </c>
      <c r="B4775" t="s">
        <v>15130</v>
      </c>
    </row>
    <row r="4776" spans="1:2">
      <c r="A4776" t="s">
        <v>15131</v>
      </c>
      <c r="B4776" t="s">
        <v>15132</v>
      </c>
    </row>
    <row r="4777" spans="1:2">
      <c r="A4777" t="s">
        <v>15131</v>
      </c>
      <c r="B4777" t="s">
        <v>15133</v>
      </c>
    </row>
    <row r="4778" spans="1:2">
      <c r="A4778" t="s">
        <v>15134</v>
      </c>
      <c r="B4778" t="s">
        <v>15135</v>
      </c>
    </row>
    <row r="4779" spans="1:2">
      <c r="A4779" t="s">
        <v>15134</v>
      </c>
      <c r="B4779" t="s">
        <v>15136</v>
      </c>
    </row>
    <row r="4780" spans="1:2">
      <c r="A4780" t="s">
        <v>15137</v>
      </c>
      <c r="B4780" t="s">
        <v>15138</v>
      </c>
    </row>
    <row r="4781" spans="1:2">
      <c r="A4781" t="s">
        <v>15137</v>
      </c>
      <c r="B4781" t="s">
        <v>15139</v>
      </c>
    </row>
    <row r="4782" spans="1:2">
      <c r="A4782" t="s">
        <v>15140</v>
      </c>
      <c r="B4782" t="s">
        <v>15141</v>
      </c>
    </row>
    <row r="4783" spans="1:2">
      <c r="A4783" t="s">
        <v>15140</v>
      </c>
      <c r="B4783" t="s">
        <v>15142</v>
      </c>
    </row>
    <row r="4784" spans="1:2">
      <c r="A4784" t="s">
        <v>15143</v>
      </c>
      <c r="B4784" t="s">
        <v>15144</v>
      </c>
    </row>
    <row r="4785" spans="1:2">
      <c r="A4785" t="s">
        <v>15143</v>
      </c>
      <c r="B4785" t="s">
        <v>15144</v>
      </c>
    </row>
    <row r="4786" spans="1:2">
      <c r="A4786" t="s">
        <v>15145</v>
      </c>
      <c r="B4786" t="s">
        <v>15146</v>
      </c>
    </row>
    <row r="4787" spans="1:2">
      <c r="A4787" t="s">
        <v>15145</v>
      </c>
      <c r="B4787" t="s">
        <v>15146</v>
      </c>
    </row>
    <row r="4788" spans="1:2">
      <c r="A4788" t="s">
        <v>15147</v>
      </c>
      <c r="B4788" t="s">
        <v>15148</v>
      </c>
    </row>
    <row r="4789" spans="1:2">
      <c r="A4789" t="s">
        <v>15147</v>
      </c>
      <c r="B4789" t="s">
        <v>15149</v>
      </c>
    </row>
    <row r="4790" spans="1:2">
      <c r="A4790" t="s">
        <v>15150</v>
      </c>
      <c r="B4790" t="s">
        <v>2826</v>
      </c>
    </row>
    <row r="4791" spans="1:2">
      <c r="A4791" t="s">
        <v>15150</v>
      </c>
      <c r="B4791" t="s">
        <v>15151</v>
      </c>
    </row>
    <row r="4792" spans="1:2">
      <c r="A4792" t="s">
        <v>15150</v>
      </c>
      <c r="B4792" t="s">
        <v>15152</v>
      </c>
    </row>
    <row r="4793" spans="1:2">
      <c r="A4793" t="s">
        <v>15153</v>
      </c>
      <c r="B4793" t="s">
        <v>9557</v>
      </c>
    </row>
    <row r="4794" spans="1:2">
      <c r="A4794" t="s">
        <v>15153</v>
      </c>
      <c r="B4794" t="s">
        <v>7785</v>
      </c>
    </row>
    <row r="4795" spans="1:2">
      <c r="A4795" t="s">
        <v>15153</v>
      </c>
      <c r="B4795" t="s">
        <v>15154</v>
      </c>
    </row>
    <row r="4796" spans="1:2">
      <c r="A4796" t="s">
        <v>15155</v>
      </c>
      <c r="B4796" t="s">
        <v>9565</v>
      </c>
    </row>
    <row r="4797" spans="1:2">
      <c r="A4797" t="s">
        <v>15155</v>
      </c>
      <c r="B4797" t="s">
        <v>7805</v>
      </c>
    </row>
    <row r="4798" spans="1:2">
      <c r="A4798" t="s">
        <v>15155</v>
      </c>
      <c r="B4798" t="s">
        <v>15156</v>
      </c>
    </row>
    <row r="4799" spans="1:2">
      <c r="A4799" t="s">
        <v>15157</v>
      </c>
      <c r="B4799" t="s">
        <v>9573</v>
      </c>
    </row>
    <row r="4800" spans="1:2">
      <c r="A4800" t="s">
        <v>15157</v>
      </c>
      <c r="B4800" t="s">
        <v>8511</v>
      </c>
    </row>
    <row r="4801" spans="1:2">
      <c r="A4801" t="s">
        <v>15157</v>
      </c>
      <c r="B4801" t="s">
        <v>15158</v>
      </c>
    </row>
    <row r="4802" spans="1:2">
      <c r="A4802" t="s">
        <v>15159</v>
      </c>
      <c r="B4802" t="s">
        <v>8170</v>
      </c>
    </row>
    <row r="4803" spans="1:2">
      <c r="A4803" t="s">
        <v>15159</v>
      </c>
      <c r="B4803" t="s">
        <v>8514</v>
      </c>
    </row>
    <row r="4804" spans="1:2">
      <c r="A4804" t="s">
        <v>15159</v>
      </c>
      <c r="B4804" t="s">
        <v>15160</v>
      </c>
    </row>
    <row r="4805" spans="1:2">
      <c r="A4805" t="s">
        <v>15161</v>
      </c>
      <c r="B4805" t="s">
        <v>2521</v>
      </c>
    </row>
    <row r="4806" spans="1:2">
      <c r="A4806" t="s">
        <v>15162</v>
      </c>
      <c r="B4806" t="s">
        <v>15163</v>
      </c>
    </row>
    <row r="4807" spans="1:2">
      <c r="A4807" t="s">
        <v>15164</v>
      </c>
      <c r="B4807" t="s">
        <v>15165</v>
      </c>
    </row>
    <row r="4808" spans="1:2">
      <c r="A4808" t="s">
        <v>15166</v>
      </c>
      <c r="B4808" t="s">
        <v>9290</v>
      </c>
    </row>
    <row r="4809" spans="1:2">
      <c r="A4809" t="s">
        <v>15167</v>
      </c>
      <c r="B4809" t="s">
        <v>15168</v>
      </c>
    </row>
    <row r="4810" spans="1:2">
      <c r="A4810" t="s">
        <v>15169</v>
      </c>
      <c r="B4810" t="s">
        <v>15170</v>
      </c>
    </row>
    <row r="4811" spans="1:2">
      <c r="A4811" t="s">
        <v>15171</v>
      </c>
      <c r="B4811" t="s">
        <v>15172</v>
      </c>
    </row>
    <row r="4812" spans="1:2">
      <c r="A4812" t="s">
        <v>15173</v>
      </c>
      <c r="B4812" t="s">
        <v>15174</v>
      </c>
    </row>
    <row r="4813" spans="1:2">
      <c r="A4813" t="s">
        <v>15175</v>
      </c>
      <c r="B4813" t="s">
        <v>15176</v>
      </c>
    </row>
    <row r="4814" spans="1:2">
      <c r="A4814" t="s">
        <v>15177</v>
      </c>
      <c r="B4814" t="s">
        <v>15178</v>
      </c>
    </row>
    <row r="4815" spans="1:2">
      <c r="A4815" t="s">
        <v>15179</v>
      </c>
      <c r="B4815" t="s">
        <v>15180</v>
      </c>
    </row>
    <row r="4816" spans="1:2">
      <c r="A4816" t="s">
        <v>15181</v>
      </c>
      <c r="B4816" t="s">
        <v>15182</v>
      </c>
    </row>
    <row r="4817" spans="1:2">
      <c r="A4817" t="s">
        <v>15183</v>
      </c>
      <c r="B4817" t="s">
        <v>15184</v>
      </c>
    </row>
    <row r="4818" spans="1:2">
      <c r="A4818" t="s">
        <v>15185</v>
      </c>
      <c r="B4818" t="s">
        <v>8152</v>
      </c>
    </row>
    <row r="4819" spans="1:2">
      <c r="A4819" t="s">
        <v>15186</v>
      </c>
      <c r="B4819" t="s">
        <v>11975</v>
      </c>
    </row>
    <row r="4820" spans="1:2">
      <c r="A4820" t="s">
        <v>15187</v>
      </c>
      <c r="B4820" t="s">
        <v>15188</v>
      </c>
    </row>
    <row r="4821" spans="1:2">
      <c r="A4821" t="s">
        <v>15189</v>
      </c>
      <c r="B4821" t="s">
        <v>15190</v>
      </c>
    </row>
    <row r="4822" spans="1:2">
      <c r="A4822" t="s">
        <v>15191</v>
      </c>
      <c r="B4822" t="s">
        <v>15192</v>
      </c>
    </row>
    <row r="4823" spans="1:2">
      <c r="A4823" t="s">
        <v>15193</v>
      </c>
      <c r="B4823" t="s">
        <v>15194</v>
      </c>
    </row>
    <row r="4824" spans="1:2">
      <c r="A4824" t="s">
        <v>15195</v>
      </c>
      <c r="B4824" t="s">
        <v>15196</v>
      </c>
    </row>
    <row r="4825" spans="1:2">
      <c r="A4825" t="s">
        <v>15197</v>
      </c>
      <c r="B4825" t="s">
        <v>15198</v>
      </c>
    </row>
    <row r="4826" spans="1:2">
      <c r="A4826" t="s">
        <v>15199</v>
      </c>
      <c r="B4826" t="s">
        <v>9573</v>
      </c>
    </row>
    <row r="4827" spans="1:2">
      <c r="A4827" t="s">
        <v>15200</v>
      </c>
      <c r="B4827" t="s">
        <v>15201</v>
      </c>
    </row>
    <row r="4828" spans="1:2">
      <c r="A4828" t="s">
        <v>15202</v>
      </c>
      <c r="B4828" t="s">
        <v>15203</v>
      </c>
    </row>
    <row r="4829" spans="1:2">
      <c r="A4829" t="s">
        <v>15202</v>
      </c>
      <c r="B4829" t="s">
        <v>15204</v>
      </c>
    </row>
    <row r="4830" spans="1:2">
      <c r="A4830" t="s">
        <v>15202</v>
      </c>
      <c r="B4830" t="s">
        <v>15204</v>
      </c>
    </row>
    <row r="4831" spans="1:2">
      <c r="A4831" t="s">
        <v>15205</v>
      </c>
      <c r="B4831" t="s">
        <v>15206</v>
      </c>
    </row>
    <row r="4832" spans="1:2">
      <c r="A4832" t="s">
        <v>15205</v>
      </c>
      <c r="B4832" t="s">
        <v>15207</v>
      </c>
    </row>
    <row r="4833" spans="1:2">
      <c r="A4833" t="s">
        <v>15205</v>
      </c>
      <c r="B4833" t="s">
        <v>15207</v>
      </c>
    </row>
    <row r="4834" spans="1:2">
      <c r="A4834" t="s">
        <v>15208</v>
      </c>
      <c r="B4834" t="s">
        <v>15209</v>
      </c>
    </row>
    <row r="4835" spans="1:2">
      <c r="A4835" t="s">
        <v>15208</v>
      </c>
      <c r="B4835" t="s">
        <v>15210</v>
      </c>
    </row>
    <row r="4836" spans="1:2">
      <c r="A4836" t="s">
        <v>15208</v>
      </c>
      <c r="B4836" t="s">
        <v>15211</v>
      </c>
    </row>
    <row r="4837" spans="1:2">
      <c r="A4837" t="s">
        <v>15212</v>
      </c>
      <c r="B4837" t="s">
        <v>15213</v>
      </c>
    </row>
    <row r="4838" spans="1:2">
      <c r="A4838" t="s">
        <v>15212</v>
      </c>
      <c r="B4838" t="s">
        <v>15214</v>
      </c>
    </row>
    <row r="4839" spans="1:2">
      <c r="A4839" t="s">
        <v>15212</v>
      </c>
      <c r="B4839" t="s">
        <v>15214</v>
      </c>
    </row>
    <row r="4840" spans="1:2">
      <c r="A4840" t="s">
        <v>15215</v>
      </c>
      <c r="B4840" t="s">
        <v>15216</v>
      </c>
    </row>
    <row r="4841" spans="1:2">
      <c r="A4841" t="s">
        <v>15215</v>
      </c>
      <c r="B4841" t="s">
        <v>15217</v>
      </c>
    </row>
    <row r="4842" spans="1:2">
      <c r="A4842" t="s">
        <v>15215</v>
      </c>
      <c r="B4842" t="s">
        <v>15217</v>
      </c>
    </row>
    <row r="4843" spans="1:2">
      <c r="A4843" t="s">
        <v>15218</v>
      </c>
      <c r="B4843" t="s">
        <v>15219</v>
      </c>
    </row>
    <row r="4844" spans="1:2">
      <c r="A4844" t="s">
        <v>15218</v>
      </c>
      <c r="B4844" t="s">
        <v>15220</v>
      </c>
    </row>
    <row r="4845" spans="1:2">
      <c r="A4845" t="s">
        <v>15218</v>
      </c>
      <c r="B4845" t="s">
        <v>15220</v>
      </c>
    </row>
    <row r="4846" spans="1:2">
      <c r="A4846" t="s">
        <v>15221</v>
      </c>
      <c r="B4846" t="s">
        <v>15222</v>
      </c>
    </row>
    <row r="4847" spans="1:2">
      <c r="A4847" t="s">
        <v>15221</v>
      </c>
      <c r="B4847" t="s">
        <v>15223</v>
      </c>
    </row>
    <row r="4848" spans="1:2">
      <c r="A4848" t="s">
        <v>15221</v>
      </c>
      <c r="B4848" t="s">
        <v>15224</v>
      </c>
    </row>
    <row r="4849" spans="1:2">
      <c r="A4849" t="s">
        <v>15225</v>
      </c>
      <c r="B4849" t="s">
        <v>15226</v>
      </c>
    </row>
    <row r="4850" spans="1:2">
      <c r="A4850" t="s">
        <v>15225</v>
      </c>
      <c r="B4850" t="s">
        <v>15227</v>
      </c>
    </row>
    <row r="4851" spans="1:2">
      <c r="A4851" t="s">
        <v>15225</v>
      </c>
      <c r="B4851" t="s">
        <v>15227</v>
      </c>
    </row>
    <row r="4852" spans="1:2">
      <c r="A4852" t="s">
        <v>15228</v>
      </c>
      <c r="B4852" t="s">
        <v>15229</v>
      </c>
    </row>
    <row r="4853" spans="1:2">
      <c r="A4853" t="s">
        <v>15228</v>
      </c>
      <c r="B4853" t="s">
        <v>15230</v>
      </c>
    </row>
    <row r="4854" spans="1:2">
      <c r="A4854" t="s">
        <v>15228</v>
      </c>
      <c r="B4854" t="s">
        <v>15230</v>
      </c>
    </row>
    <row r="4855" spans="1:2">
      <c r="A4855" t="s">
        <v>15231</v>
      </c>
      <c r="B4855" t="s">
        <v>15232</v>
      </c>
    </row>
    <row r="4856" spans="1:2">
      <c r="A4856" t="s">
        <v>15231</v>
      </c>
      <c r="B4856" t="s">
        <v>15233</v>
      </c>
    </row>
    <row r="4857" spans="1:2">
      <c r="A4857" t="s">
        <v>15231</v>
      </c>
      <c r="B4857" t="s">
        <v>15233</v>
      </c>
    </row>
    <row r="4858" spans="1:2">
      <c r="A4858" t="s">
        <v>15234</v>
      </c>
      <c r="B4858" t="s">
        <v>15235</v>
      </c>
    </row>
    <row r="4859" spans="1:2">
      <c r="A4859" t="s">
        <v>15234</v>
      </c>
      <c r="B4859" t="s">
        <v>15236</v>
      </c>
    </row>
    <row r="4860" spans="1:2">
      <c r="A4860" t="s">
        <v>15234</v>
      </c>
      <c r="B4860" t="s">
        <v>15236</v>
      </c>
    </row>
    <row r="4861" spans="1:2">
      <c r="A4861" t="s">
        <v>15237</v>
      </c>
      <c r="B4861" t="s">
        <v>15238</v>
      </c>
    </row>
    <row r="4862" spans="1:2">
      <c r="A4862" t="s">
        <v>15237</v>
      </c>
      <c r="B4862" t="s">
        <v>15239</v>
      </c>
    </row>
    <row r="4863" spans="1:2">
      <c r="A4863" t="s">
        <v>15237</v>
      </c>
      <c r="B4863" t="s">
        <v>15239</v>
      </c>
    </row>
    <row r="4864" spans="1:2">
      <c r="A4864" t="s">
        <v>15240</v>
      </c>
      <c r="B4864" t="s">
        <v>15241</v>
      </c>
    </row>
    <row r="4865" spans="1:2">
      <c r="A4865" t="s">
        <v>15240</v>
      </c>
      <c r="B4865" t="s">
        <v>15242</v>
      </c>
    </row>
    <row r="4866" spans="1:2">
      <c r="A4866" t="s">
        <v>15240</v>
      </c>
      <c r="B4866" t="s">
        <v>15243</v>
      </c>
    </row>
    <row r="4867" spans="1:2">
      <c r="A4867" t="s">
        <v>15244</v>
      </c>
      <c r="B4867" t="s">
        <v>15245</v>
      </c>
    </row>
    <row r="4868" spans="1:2">
      <c r="A4868" t="s">
        <v>15244</v>
      </c>
      <c r="B4868" t="s">
        <v>15246</v>
      </c>
    </row>
    <row r="4869" spans="1:2">
      <c r="A4869" t="s">
        <v>15244</v>
      </c>
      <c r="B4869" t="s">
        <v>15247</v>
      </c>
    </row>
    <row r="4870" spans="1:2">
      <c r="A4870" t="s">
        <v>15248</v>
      </c>
      <c r="B4870" t="s">
        <v>15249</v>
      </c>
    </row>
    <row r="4871" spans="1:2">
      <c r="A4871" t="s">
        <v>15248</v>
      </c>
      <c r="B4871" t="s">
        <v>15250</v>
      </c>
    </row>
    <row r="4872" spans="1:2">
      <c r="A4872" t="s">
        <v>15248</v>
      </c>
      <c r="B4872" t="s">
        <v>15250</v>
      </c>
    </row>
    <row r="4873" spans="1:2">
      <c r="A4873" t="s">
        <v>15251</v>
      </c>
      <c r="B4873" t="s">
        <v>15252</v>
      </c>
    </row>
    <row r="4874" spans="1:2">
      <c r="A4874" t="s">
        <v>15251</v>
      </c>
      <c r="B4874" t="s">
        <v>15253</v>
      </c>
    </row>
    <row r="4875" spans="1:2">
      <c r="A4875" t="s">
        <v>15251</v>
      </c>
      <c r="B4875" t="s">
        <v>15254</v>
      </c>
    </row>
    <row r="4876" spans="1:2">
      <c r="A4876" t="s">
        <v>15255</v>
      </c>
      <c r="B4876" t="s">
        <v>15256</v>
      </c>
    </row>
    <row r="4877" spans="1:2">
      <c r="A4877" t="s">
        <v>15255</v>
      </c>
      <c r="B4877" t="s">
        <v>15257</v>
      </c>
    </row>
    <row r="4878" spans="1:2">
      <c r="A4878" t="s">
        <v>15255</v>
      </c>
      <c r="B4878" t="s">
        <v>15257</v>
      </c>
    </row>
    <row r="4879" spans="1:2">
      <c r="A4879" t="s">
        <v>15258</v>
      </c>
      <c r="B4879" t="s">
        <v>15259</v>
      </c>
    </row>
    <row r="4880" spans="1:2">
      <c r="A4880" t="s">
        <v>15258</v>
      </c>
      <c r="B4880" t="s">
        <v>15260</v>
      </c>
    </row>
    <row r="4881" spans="1:2">
      <c r="A4881" t="s">
        <v>15258</v>
      </c>
      <c r="B4881" t="s">
        <v>15260</v>
      </c>
    </row>
    <row r="4882" spans="1:2">
      <c r="A4882" t="s">
        <v>15261</v>
      </c>
      <c r="B4882" t="s">
        <v>15262</v>
      </c>
    </row>
    <row r="4883" spans="1:2">
      <c r="A4883" t="s">
        <v>15261</v>
      </c>
      <c r="B4883" t="s">
        <v>15263</v>
      </c>
    </row>
    <row r="4884" spans="1:2">
      <c r="A4884" t="s">
        <v>15261</v>
      </c>
      <c r="B4884" t="s">
        <v>15263</v>
      </c>
    </row>
    <row r="4885" spans="1:2">
      <c r="A4885" t="s">
        <v>15264</v>
      </c>
      <c r="B4885" t="s">
        <v>15265</v>
      </c>
    </row>
    <row r="4886" spans="1:2">
      <c r="A4886" t="s">
        <v>15264</v>
      </c>
      <c r="B4886" t="s">
        <v>15266</v>
      </c>
    </row>
    <row r="4887" spans="1:2">
      <c r="A4887" t="s">
        <v>15264</v>
      </c>
      <c r="B4887" t="s">
        <v>15267</v>
      </c>
    </row>
    <row r="4888" spans="1:2">
      <c r="A4888" t="s">
        <v>15268</v>
      </c>
      <c r="B4888" t="s">
        <v>15269</v>
      </c>
    </row>
    <row r="4889" spans="1:2">
      <c r="A4889" t="s">
        <v>15268</v>
      </c>
      <c r="B4889" t="s">
        <v>15270</v>
      </c>
    </row>
    <row r="4890" spans="1:2">
      <c r="A4890" t="s">
        <v>15268</v>
      </c>
      <c r="B4890" t="s">
        <v>15270</v>
      </c>
    </row>
    <row r="4891" spans="1:2">
      <c r="A4891" t="s">
        <v>15271</v>
      </c>
      <c r="B4891" t="s">
        <v>15272</v>
      </c>
    </row>
    <row r="4892" spans="1:2">
      <c r="A4892" t="s">
        <v>15271</v>
      </c>
      <c r="B4892" t="s">
        <v>15273</v>
      </c>
    </row>
    <row r="4893" spans="1:2">
      <c r="A4893" t="s">
        <v>15271</v>
      </c>
      <c r="B4893" t="s">
        <v>15274</v>
      </c>
    </row>
    <row r="4894" spans="1:2">
      <c r="A4894" t="s">
        <v>15275</v>
      </c>
      <c r="B4894" t="s">
        <v>15276</v>
      </c>
    </row>
    <row r="4895" spans="1:2">
      <c r="A4895" t="s">
        <v>15275</v>
      </c>
      <c r="B4895" t="s">
        <v>15276</v>
      </c>
    </row>
    <row r="4896" spans="1:2">
      <c r="A4896" t="s">
        <v>15275</v>
      </c>
      <c r="B4896" t="s">
        <v>15276</v>
      </c>
    </row>
    <row r="4897" spans="1:2">
      <c r="A4897" t="s">
        <v>15277</v>
      </c>
      <c r="B4897" t="s">
        <v>15278</v>
      </c>
    </row>
    <row r="4898" spans="1:2">
      <c r="A4898" t="s">
        <v>15277</v>
      </c>
      <c r="B4898" t="s">
        <v>15279</v>
      </c>
    </row>
    <row r="4899" spans="1:2">
      <c r="A4899" t="s">
        <v>15277</v>
      </c>
      <c r="B4899" t="s">
        <v>15279</v>
      </c>
    </row>
    <row r="4900" spans="1:2">
      <c r="A4900" t="s">
        <v>15280</v>
      </c>
      <c r="B4900" t="s">
        <v>15281</v>
      </c>
    </row>
    <row r="4901" spans="1:2">
      <c r="A4901" t="s">
        <v>15280</v>
      </c>
      <c r="B4901" t="s">
        <v>15282</v>
      </c>
    </row>
    <row r="4902" spans="1:2">
      <c r="A4902" t="s">
        <v>15280</v>
      </c>
      <c r="B4902" t="s">
        <v>15283</v>
      </c>
    </row>
    <row r="4903" spans="1:2">
      <c r="A4903" t="s">
        <v>15284</v>
      </c>
      <c r="B4903" t="s">
        <v>15285</v>
      </c>
    </row>
    <row r="4904" spans="1:2">
      <c r="A4904" t="s">
        <v>15284</v>
      </c>
      <c r="B4904" t="s">
        <v>15286</v>
      </c>
    </row>
    <row r="4905" spans="1:2">
      <c r="A4905" t="s">
        <v>15287</v>
      </c>
      <c r="B4905" t="s">
        <v>15288</v>
      </c>
    </row>
    <row r="4906" spans="1:2">
      <c r="A4906" t="s">
        <v>15287</v>
      </c>
      <c r="B4906" t="s">
        <v>15289</v>
      </c>
    </row>
    <row r="4907" spans="1:2">
      <c r="A4907" t="s">
        <v>15290</v>
      </c>
      <c r="B4907" t="s">
        <v>15291</v>
      </c>
    </row>
    <row r="4908" spans="1:2">
      <c r="A4908" t="s">
        <v>15290</v>
      </c>
      <c r="B4908" t="s">
        <v>15292</v>
      </c>
    </row>
    <row r="4909" spans="1:2">
      <c r="A4909" t="s">
        <v>15293</v>
      </c>
      <c r="B4909" t="s">
        <v>15294</v>
      </c>
    </row>
    <row r="4910" spans="1:2">
      <c r="A4910" t="s">
        <v>15293</v>
      </c>
      <c r="B4910" t="s">
        <v>15295</v>
      </c>
    </row>
    <row r="4911" spans="1:2">
      <c r="A4911" t="s">
        <v>15296</v>
      </c>
      <c r="B4911" t="s">
        <v>15297</v>
      </c>
    </row>
    <row r="4912" spans="1:2">
      <c r="A4912" t="s">
        <v>15296</v>
      </c>
      <c r="B4912" t="s">
        <v>15298</v>
      </c>
    </row>
    <row r="4913" spans="1:2">
      <c r="A4913" t="s">
        <v>15299</v>
      </c>
      <c r="B4913" t="s">
        <v>15300</v>
      </c>
    </row>
    <row r="4914" spans="1:2">
      <c r="A4914" t="s">
        <v>15299</v>
      </c>
      <c r="B4914" t="s">
        <v>15301</v>
      </c>
    </row>
    <row r="4915" spans="1:2">
      <c r="A4915" t="s">
        <v>15302</v>
      </c>
      <c r="B4915" t="s">
        <v>15303</v>
      </c>
    </row>
    <row r="4916" spans="1:2">
      <c r="A4916" t="s">
        <v>15302</v>
      </c>
      <c r="B4916" t="s">
        <v>15304</v>
      </c>
    </row>
    <row r="4917" spans="1:2">
      <c r="A4917" t="s">
        <v>15305</v>
      </c>
      <c r="B4917" t="s">
        <v>15306</v>
      </c>
    </row>
    <row r="4918" spans="1:2">
      <c r="A4918" t="s">
        <v>15305</v>
      </c>
      <c r="B4918" t="s">
        <v>15307</v>
      </c>
    </row>
    <row r="4919" spans="1:2">
      <c r="A4919" t="s">
        <v>15308</v>
      </c>
      <c r="B4919" t="s">
        <v>15309</v>
      </c>
    </row>
    <row r="4920" spans="1:2">
      <c r="A4920" t="s">
        <v>15308</v>
      </c>
      <c r="B4920" t="s">
        <v>15310</v>
      </c>
    </row>
    <row r="4921" spans="1:2">
      <c r="A4921" t="s">
        <v>15311</v>
      </c>
      <c r="B4921" t="s">
        <v>15312</v>
      </c>
    </row>
    <row r="4922" spans="1:2">
      <c r="A4922" t="s">
        <v>15311</v>
      </c>
      <c r="B4922" t="s">
        <v>1762</v>
      </c>
    </row>
    <row r="4923" spans="1:2">
      <c r="A4923" t="s">
        <v>15313</v>
      </c>
      <c r="B4923" t="s">
        <v>15314</v>
      </c>
    </row>
    <row r="4924" spans="1:2">
      <c r="A4924" t="s">
        <v>15313</v>
      </c>
      <c r="B4924" t="s">
        <v>15315</v>
      </c>
    </row>
    <row r="4925" spans="1:2">
      <c r="A4925" t="s">
        <v>15316</v>
      </c>
      <c r="B4925" t="s">
        <v>15317</v>
      </c>
    </row>
    <row r="4926" spans="1:2">
      <c r="A4926" t="s">
        <v>15316</v>
      </c>
      <c r="B4926" t="s">
        <v>15318</v>
      </c>
    </row>
    <row r="4927" spans="1:2">
      <c r="A4927" t="s">
        <v>15319</v>
      </c>
      <c r="B4927" t="s">
        <v>15320</v>
      </c>
    </row>
    <row r="4928" spans="1:2">
      <c r="A4928" t="s">
        <v>15319</v>
      </c>
      <c r="B4928" t="s">
        <v>15321</v>
      </c>
    </row>
    <row r="4929" spans="1:2">
      <c r="A4929" t="s">
        <v>15322</v>
      </c>
      <c r="B4929" t="s">
        <v>7905</v>
      </c>
    </row>
    <row r="4930" spans="1:2">
      <c r="A4930" t="s">
        <v>15322</v>
      </c>
      <c r="B4930" t="s">
        <v>9565</v>
      </c>
    </row>
    <row r="4931" spans="1:2">
      <c r="A4931" t="s">
        <v>15323</v>
      </c>
      <c r="B4931" t="s">
        <v>15324</v>
      </c>
    </row>
    <row r="4932" spans="1:2">
      <c r="A4932" t="s">
        <v>15323</v>
      </c>
      <c r="B4932" t="s">
        <v>15325</v>
      </c>
    </row>
    <row r="4933" spans="1:2">
      <c r="A4933" t="s">
        <v>15326</v>
      </c>
      <c r="B4933" t="s">
        <v>15327</v>
      </c>
    </row>
    <row r="4934" spans="1:2">
      <c r="A4934" t="s">
        <v>15326</v>
      </c>
      <c r="B4934" t="s">
        <v>15328</v>
      </c>
    </row>
    <row r="4935" spans="1:2">
      <c r="A4935" t="s">
        <v>15329</v>
      </c>
      <c r="B4935" t="s">
        <v>9250</v>
      </c>
    </row>
    <row r="4936" spans="1:2">
      <c r="A4936" t="s">
        <v>15329</v>
      </c>
      <c r="B4936" t="s">
        <v>15330</v>
      </c>
    </row>
    <row r="4937" spans="1:2">
      <c r="A4937" t="s">
        <v>15331</v>
      </c>
      <c r="B4937" t="s">
        <v>15332</v>
      </c>
    </row>
    <row r="4938" spans="1:2">
      <c r="A4938" t="s">
        <v>15331</v>
      </c>
      <c r="B4938" t="s">
        <v>15333</v>
      </c>
    </row>
    <row r="4939" spans="1:2">
      <c r="A4939" t="s">
        <v>15334</v>
      </c>
      <c r="B4939" t="s">
        <v>15335</v>
      </c>
    </row>
    <row r="4940" spans="1:2">
      <c r="A4940" t="s">
        <v>15336</v>
      </c>
      <c r="B4940" t="s">
        <v>352</v>
      </c>
    </row>
    <row r="4941" spans="1:2">
      <c r="A4941" t="s">
        <v>15337</v>
      </c>
      <c r="B4941" t="s">
        <v>15338</v>
      </c>
    </row>
    <row r="4942" spans="1:2">
      <c r="A4942" t="s">
        <v>15339</v>
      </c>
      <c r="B4942" t="s">
        <v>15340</v>
      </c>
    </row>
    <row r="4943" spans="1:2">
      <c r="A4943" t="s">
        <v>15341</v>
      </c>
      <c r="B4943" t="s">
        <v>15342</v>
      </c>
    </row>
    <row r="4944" spans="1:2">
      <c r="A4944" t="s">
        <v>15343</v>
      </c>
      <c r="B4944" t="s">
        <v>15344</v>
      </c>
    </row>
    <row r="4945" spans="1:2">
      <c r="A4945" t="s">
        <v>15345</v>
      </c>
      <c r="B4945" t="s">
        <v>15346</v>
      </c>
    </row>
    <row r="4946" spans="1:2">
      <c r="A4946" t="s">
        <v>15347</v>
      </c>
      <c r="B4946" t="s">
        <v>15348</v>
      </c>
    </row>
    <row r="4947" spans="1:2">
      <c r="A4947" t="s">
        <v>15349</v>
      </c>
      <c r="B4947" t="s">
        <v>15350</v>
      </c>
    </row>
    <row r="4948" spans="1:2">
      <c r="A4948" t="s">
        <v>15351</v>
      </c>
      <c r="B4948" t="s">
        <v>15352</v>
      </c>
    </row>
    <row r="4949" spans="1:2">
      <c r="A4949" t="s">
        <v>15353</v>
      </c>
      <c r="B4949" t="s">
        <v>15354</v>
      </c>
    </row>
    <row r="4950" spans="1:2">
      <c r="A4950" t="s">
        <v>15355</v>
      </c>
      <c r="B4950" t="s">
        <v>15356</v>
      </c>
    </row>
    <row r="4951" spans="1:2">
      <c r="A4951" t="s">
        <v>15357</v>
      </c>
      <c r="B4951" t="s">
        <v>15358</v>
      </c>
    </row>
    <row r="4952" spans="1:2">
      <c r="A4952" t="s">
        <v>15359</v>
      </c>
      <c r="B4952" t="s">
        <v>15360</v>
      </c>
    </row>
    <row r="4953" spans="1:2">
      <c r="A4953" t="s">
        <v>15361</v>
      </c>
      <c r="B4953" t="s">
        <v>15362</v>
      </c>
    </row>
    <row r="4954" spans="1:2">
      <c r="A4954" t="s">
        <v>15363</v>
      </c>
      <c r="B4954" t="s">
        <v>15364</v>
      </c>
    </row>
    <row r="4955" spans="1:2">
      <c r="A4955" t="s">
        <v>15365</v>
      </c>
      <c r="B4955" t="s">
        <v>15366</v>
      </c>
    </row>
    <row r="4956" spans="1:2">
      <c r="A4956" t="s">
        <v>15367</v>
      </c>
      <c r="B4956" t="s">
        <v>15368</v>
      </c>
    </row>
    <row r="4957" spans="1:2">
      <c r="A4957" t="s">
        <v>15369</v>
      </c>
      <c r="B4957" t="s">
        <v>15370</v>
      </c>
    </row>
    <row r="4958" spans="1:2">
      <c r="A4958" t="s">
        <v>15371</v>
      </c>
      <c r="B4958" t="s">
        <v>15372</v>
      </c>
    </row>
    <row r="4959" spans="1:2">
      <c r="A4959" t="s">
        <v>15373</v>
      </c>
      <c r="B4959" t="s">
        <v>15374</v>
      </c>
    </row>
    <row r="4960" spans="1:2">
      <c r="A4960" t="s">
        <v>15375</v>
      </c>
      <c r="B4960" t="s">
        <v>15376</v>
      </c>
    </row>
    <row r="4961" spans="1:2">
      <c r="A4961" t="s">
        <v>15377</v>
      </c>
      <c r="B4961" t="s">
        <v>8164</v>
      </c>
    </row>
    <row r="4962" spans="1:2">
      <c r="A4962" t="s">
        <v>15378</v>
      </c>
      <c r="B4962" t="s">
        <v>8166</v>
      </c>
    </row>
    <row r="4963" spans="1:2">
      <c r="A4963" t="s">
        <v>15379</v>
      </c>
      <c r="B4963" t="s">
        <v>8168</v>
      </c>
    </row>
    <row r="4964" spans="1:2">
      <c r="A4964" t="s">
        <v>15380</v>
      </c>
      <c r="B4964" t="s">
        <v>2993</v>
      </c>
    </row>
    <row r="4965" spans="1:2">
      <c r="A4965" t="s">
        <v>15381</v>
      </c>
      <c r="B4965" t="s">
        <v>15382</v>
      </c>
    </row>
    <row r="4966" spans="1:2">
      <c r="A4966" t="s">
        <v>15383</v>
      </c>
      <c r="B4966" t="s">
        <v>15384</v>
      </c>
    </row>
    <row r="4967" spans="1:2">
      <c r="A4967" t="s">
        <v>15385</v>
      </c>
      <c r="B4967" t="s">
        <v>15386</v>
      </c>
    </row>
    <row r="4968" spans="1:2">
      <c r="A4968" t="s">
        <v>15387</v>
      </c>
      <c r="B4968" t="s">
        <v>15388</v>
      </c>
    </row>
    <row r="4969" spans="1:2">
      <c r="A4969" t="s">
        <v>15389</v>
      </c>
      <c r="B4969" t="s">
        <v>15390</v>
      </c>
    </row>
    <row r="4970" spans="1:2">
      <c r="A4970" t="s">
        <v>15391</v>
      </c>
      <c r="B4970" t="s">
        <v>15392</v>
      </c>
    </row>
    <row r="4971" spans="1:2">
      <c r="A4971" t="s">
        <v>15393</v>
      </c>
      <c r="B4971" t="s">
        <v>15394</v>
      </c>
    </row>
    <row r="4972" spans="1:2">
      <c r="A4972" t="s">
        <v>15395</v>
      </c>
      <c r="B4972" t="s">
        <v>15396</v>
      </c>
    </row>
    <row r="4973" spans="1:2">
      <c r="A4973" t="s">
        <v>15397</v>
      </c>
      <c r="B4973" t="s">
        <v>15398</v>
      </c>
    </row>
    <row r="4974" spans="1:2">
      <c r="A4974" t="s">
        <v>15399</v>
      </c>
      <c r="B4974" t="s">
        <v>15400</v>
      </c>
    </row>
    <row r="4975" spans="1:2">
      <c r="A4975" t="s">
        <v>15401</v>
      </c>
      <c r="B4975" t="s">
        <v>15402</v>
      </c>
    </row>
    <row r="4976" spans="1:2">
      <c r="A4976" t="s">
        <v>15403</v>
      </c>
      <c r="B4976" t="s">
        <v>15404</v>
      </c>
    </row>
    <row r="4977" spans="1:2">
      <c r="A4977" t="s">
        <v>15405</v>
      </c>
      <c r="B4977" t="s">
        <v>15406</v>
      </c>
    </row>
    <row r="4978" spans="1:2">
      <c r="A4978" t="s">
        <v>15407</v>
      </c>
      <c r="B4978" t="s">
        <v>15408</v>
      </c>
    </row>
    <row r="4979" spans="1:2">
      <c r="A4979" t="s">
        <v>15409</v>
      </c>
      <c r="B4979" t="s">
        <v>15410</v>
      </c>
    </row>
    <row r="4980" spans="1:2">
      <c r="A4980" t="s">
        <v>15411</v>
      </c>
      <c r="B4980" t="s">
        <v>15412</v>
      </c>
    </row>
    <row r="4981" spans="1:2">
      <c r="A4981" t="s">
        <v>15413</v>
      </c>
      <c r="B4981" t="s">
        <v>15414</v>
      </c>
    </row>
    <row r="4982" spans="1:2">
      <c r="A4982" t="s">
        <v>15415</v>
      </c>
      <c r="B4982" t="s">
        <v>15416</v>
      </c>
    </row>
    <row r="4983" spans="1:2">
      <c r="A4983" t="s">
        <v>15417</v>
      </c>
      <c r="B4983" t="s">
        <v>15418</v>
      </c>
    </row>
    <row r="4984" spans="1:2">
      <c r="A4984" t="s">
        <v>15419</v>
      </c>
      <c r="B4984" t="s">
        <v>15420</v>
      </c>
    </row>
    <row r="4985" spans="1:2">
      <c r="A4985" t="s">
        <v>15421</v>
      </c>
      <c r="B4985" t="s">
        <v>15422</v>
      </c>
    </row>
    <row r="4986" spans="1:2">
      <c r="A4986" t="s">
        <v>15423</v>
      </c>
      <c r="B4986" t="s">
        <v>15424</v>
      </c>
    </row>
    <row r="4987" spans="1:2">
      <c r="A4987" t="s">
        <v>15425</v>
      </c>
      <c r="B4987" t="s">
        <v>15426</v>
      </c>
    </row>
    <row r="4988" spans="1:2">
      <c r="A4988" t="s">
        <v>15427</v>
      </c>
      <c r="B4988" t="s">
        <v>15428</v>
      </c>
    </row>
    <row r="4989" spans="1:2">
      <c r="A4989" t="s">
        <v>15429</v>
      </c>
      <c r="B4989" t="s">
        <v>15430</v>
      </c>
    </row>
    <row r="4990" spans="1:2">
      <c r="A4990" t="s">
        <v>15431</v>
      </c>
      <c r="B4990" t="s">
        <v>15432</v>
      </c>
    </row>
    <row r="4991" spans="1:2">
      <c r="A4991" t="s">
        <v>15433</v>
      </c>
      <c r="B4991" t="s">
        <v>15434</v>
      </c>
    </row>
    <row r="4992" spans="1:2">
      <c r="A4992" t="s">
        <v>15435</v>
      </c>
      <c r="B4992" t="s">
        <v>15436</v>
      </c>
    </row>
    <row r="4993" spans="1:2">
      <c r="A4993" t="s">
        <v>15437</v>
      </c>
      <c r="B4993" t="s">
        <v>15438</v>
      </c>
    </row>
    <row r="4994" spans="1:2">
      <c r="A4994" t="s">
        <v>15439</v>
      </c>
      <c r="B4994" t="s">
        <v>15440</v>
      </c>
    </row>
    <row r="4995" spans="1:2">
      <c r="A4995" t="s">
        <v>15441</v>
      </c>
      <c r="B4995" t="s">
        <v>15442</v>
      </c>
    </row>
    <row r="4996" spans="1:2">
      <c r="A4996" t="s">
        <v>15443</v>
      </c>
      <c r="B4996" t="s">
        <v>15444</v>
      </c>
    </row>
    <row r="4997" spans="1:2">
      <c r="A4997" t="s">
        <v>15445</v>
      </c>
      <c r="B4997" t="s">
        <v>15446</v>
      </c>
    </row>
    <row r="4998" spans="1:2">
      <c r="A4998" t="s">
        <v>15447</v>
      </c>
      <c r="B4998" t="s">
        <v>15448</v>
      </c>
    </row>
    <row r="4999" spans="1:2">
      <c r="A4999" t="s">
        <v>15449</v>
      </c>
      <c r="B4999" t="s">
        <v>15450</v>
      </c>
    </row>
    <row r="5000" spans="1:2">
      <c r="A5000" t="s">
        <v>15451</v>
      </c>
      <c r="B5000" t="s">
        <v>15452</v>
      </c>
    </row>
    <row r="5001" spans="1:2">
      <c r="A5001" t="s">
        <v>15453</v>
      </c>
      <c r="B5001" t="s">
        <v>15454</v>
      </c>
    </row>
    <row r="5002" spans="1:2">
      <c r="A5002" t="s">
        <v>15455</v>
      </c>
      <c r="B5002" t="s">
        <v>15456</v>
      </c>
    </row>
    <row r="5003" spans="1:2">
      <c r="A5003" t="s">
        <v>15457</v>
      </c>
      <c r="B5003" t="s">
        <v>15458</v>
      </c>
    </row>
    <row r="5004" spans="1:2">
      <c r="A5004" t="s">
        <v>15459</v>
      </c>
      <c r="B5004" t="s">
        <v>15460</v>
      </c>
    </row>
    <row r="5005" spans="1:2">
      <c r="A5005" t="s">
        <v>15461</v>
      </c>
      <c r="B5005" t="s">
        <v>15462</v>
      </c>
    </row>
    <row r="5006" spans="1:2">
      <c r="A5006" t="s">
        <v>15463</v>
      </c>
      <c r="B5006" t="s">
        <v>15464</v>
      </c>
    </row>
    <row r="5007" spans="1:2">
      <c r="A5007" t="s">
        <v>15465</v>
      </c>
      <c r="B5007" t="s">
        <v>15466</v>
      </c>
    </row>
    <row r="5008" spans="1:2">
      <c r="A5008" t="s">
        <v>15467</v>
      </c>
      <c r="B5008" t="s">
        <v>15468</v>
      </c>
    </row>
    <row r="5009" spans="1:2">
      <c r="A5009" t="s">
        <v>15469</v>
      </c>
      <c r="B5009" t="s">
        <v>15470</v>
      </c>
    </row>
    <row r="5010" spans="1:2">
      <c r="A5010" t="s">
        <v>15471</v>
      </c>
      <c r="B5010" t="s">
        <v>15472</v>
      </c>
    </row>
    <row r="5011" spans="1:2">
      <c r="A5011" t="s">
        <v>15473</v>
      </c>
      <c r="B5011" t="s">
        <v>15474</v>
      </c>
    </row>
    <row r="5012" spans="1:2">
      <c r="A5012" t="s">
        <v>15475</v>
      </c>
      <c r="B5012" t="s">
        <v>15476</v>
      </c>
    </row>
    <row r="5013" spans="1:2">
      <c r="A5013" t="s">
        <v>15477</v>
      </c>
      <c r="B5013" t="s">
        <v>15478</v>
      </c>
    </row>
    <row r="5014" spans="1:2">
      <c r="A5014" t="s">
        <v>15479</v>
      </c>
      <c r="B5014" t="s">
        <v>15480</v>
      </c>
    </row>
    <row r="5015" spans="1:2">
      <c r="A5015" t="s">
        <v>15481</v>
      </c>
      <c r="B5015" t="s">
        <v>15482</v>
      </c>
    </row>
    <row r="5016" spans="1:2">
      <c r="A5016" t="s">
        <v>15483</v>
      </c>
      <c r="B5016" t="s">
        <v>15484</v>
      </c>
    </row>
    <row r="5017" spans="1:2">
      <c r="A5017" t="s">
        <v>15485</v>
      </c>
      <c r="B5017" t="s">
        <v>15486</v>
      </c>
    </row>
    <row r="5018" spans="1:2">
      <c r="A5018" t="s">
        <v>15487</v>
      </c>
      <c r="B5018" t="s">
        <v>15488</v>
      </c>
    </row>
    <row r="5019" spans="1:2">
      <c r="A5019" t="s">
        <v>15489</v>
      </c>
      <c r="B5019" t="s">
        <v>15490</v>
      </c>
    </row>
    <row r="5020" spans="1:2">
      <c r="A5020" t="s">
        <v>15491</v>
      </c>
      <c r="B5020" t="s">
        <v>15492</v>
      </c>
    </row>
    <row r="5021" spans="1:2">
      <c r="A5021" t="s">
        <v>15493</v>
      </c>
      <c r="B5021" t="s">
        <v>15494</v>
      </c>
    </row>
    <row r="5022" spans="1:2">
      <c r="A5022" t="s">
        <v>15495</v>
      </c>
      <c r="B5022" t="s">
        <v>15496</v>
      </c>
    </row>
    <row r="5023" spans="1:2">
      <c r="A5023" t="s">
        <v>15497</v>
      </c>
      <c r="B5023" t="s">
        <v>15498</v>
      </c>
    </row>
    <row r="5024" spans="1:2">
      <c r="A5024" t="s">
        <v>15499</v>
      </c>
      <c r="B5024" t="s">
        <v>15500</v>
      </c>
    </row>
    <row r="5025" spans="1:2">
      <c r="A5025" t="s">
        <v>15501</v>
      </c>
      <c r="B5025" t="s">
        <v>15502</v>
      </c>
    </row>
    <row r="5026" spans="1:2">
      <c r="A5026" t="s">
        <v>15503</v>
      </c>
      <c r="B5026" t="s">
        <v>15504</v>
      </c>
    </row>
    <row r="5027" spans="1:2">
      <c r="A5027" t="s">
        <v>15505</v>
      </c>
      <c r="B5027" t="s">
        <v>15506</v>
      </c>
    </row>
    <row r="5028" spans="1:2">
      <c r="A5028" t="s">
        <v>15507</v>
      </c>
      <c r="B5028" t="s">
        <v>15508</v>
      </c>
    </row>
    <row r="5029" spans="1:2">
      <c r="A5029" t="s">
        <v>15509</v>
      </c>
      <c r="B5029" t="s">
        <v>15510</v>
      </c>
    </row>
    <row r="5030" spans="1:2">
      <c r="A5030" t="s">
        <v>15511</v>
      </c>
      <c r="B5030" t="s">
        <v>15512</v>
      </c>
    </row>
    <row r="5031" spans="1:2">
      <c r="A5031" t="s">
        <v>15513</v>
      </c>
      <c r="B5031" t="s">
        <v>15514</v>
      </c>
    </row>
    <row r="5032" spans="1:2">
      <c r="A5032" t="s">
        <v>15515</v>
      </c>
      <c r="B5032" t="s">
        <v>15516</v>
      </c>
    </row>
    <row r="5033" spans="1:2">
      <c r="A5033" t="s">
        <v>15517</v>
      </c>
      <c r="B5033" t="s">
        <v>15518</v>
      </c>
    </row>
    <row r="5034" spans="1:2">
      <c r="A5034" t="s">
        <v>15519</v>
      </c>
      <c r="B5034" t="s">
        <v>15520</v>
      </c>
    </row>
    <row r="5035" spans="1:2">
      <c r="A5035" t="s">
        <v>15521</v>
      </c>
      <c r="B5035" t="s">
        <v>15522</v>
      </c>
    </row>
    <row r="5036" spans="1:2">
      <c r="A5036" t="s">
        <v>15523</v>
      </c>
      <c r="B5036" t="s">
        <v>15524</v>
      </c>
    </row>
    <row r="5037" spans="1:2">
      <c r="A5037" t="s">
        <v>15525</v>
      </c>
      <c r="B5037" t="s">
        <v>15526</v>
      </c>
    </row>
    <row r="5038" spans="1:2">
      <c r="A5038" t="s">
        <v>15527</v>
      </c>
      <c r="B5038" t="s">
        <v>15528</v>
      </c>
    </row>
    <row r="5039" spans="1:2">
      <c r="A5039" t="s">
        <v>15529</v>
      </c>
      <c r="B5039" t="s">
        <v>15530</v>
      </c>
    </row>
    <row r="5040" spans="1:2">
      <c r="A5040" t="s">
        <v>15531</v>
      </c>
      <c r="B5040" t="s">
        <v>15532</v>
      </c>
    </row>
    <row r="5041" spans="1:2">
      <c r="A5041" t="s">
        <v>15533</v>
      </c>
      <c r="B5041" t="s">
        <v>15534</v>
      </c>
    </row>
    <row r="5042" spans="1:2">
      <c r="A5042" t="s">
        <v>15535</v>
      </c>
      <c r="B5042" t="s">
        <v>15536</v>
      </c>
    </row>
    <row r="5043" spans="1:2">
      <c r="A5043" t="s">
        <v>15537</v>
      </c>
      <c r="B5043" t="s">
        <v>15538</v>
      </c>
    </row>
    <row r="5044" spans="1:2">
      <c r="A5044" t="s">
        <v>15539</v>
      </c>
      <c r="B5044" t="s">
        <v>15540</v>
      </c>
    </row>
    <row r="5045" spans="1:2">
      <c r="A5045" t="s">
        <v>15541</v>
      </c>
      <c r="B5045" t="s">
        <v>15542</v>
      </c>
    </row>
    <row r="5046" spans="1:2">
      <c r="A5046" t="s">
        <v>15543</v>
      </c>
      <c r="B5046" t="s">
        <v>15544</v>
      </c>
    </row>
    <row r="5047" spans="1:2">
      <c r="A5047" t="s">
        <v>15545</v>
      </c>
      <c r="B5047" t="s">
        <v>15546</v>
      </c>
    </row>
    <row r="5048" spans="1:2">
      <c r="A5048" t="s">
        <v>15547</v>
      </c>
      <c r="B5048" t="s">
        <v>15548</v>
      </c>
    </row>
    <row r="5049" spans="1:2">
      <c r="A5049" t="s">
        <v>15549</v>
      </c>
      <c r="B5049" t="s">
        <v>15550</v>
      </c>
    </row>
    <row r="5050" spans="1:2">
      <c r="A5050" t="s">
        <v>15551</v>
      </c>
      <c r="B5050" t="s">
        <v>15552</v>
      </c>
    </row>
    <row r="5051" spans="1:2">
      <c r="A5051" t="s">
        <v>15553</v>
      </c>
      <c r="B5051" t="s">
        <v>15554</v>
      </c>
    </row>
    <row r="5052" spans="1:2">
      <c r="A5052" t="s">
        <v>15555</v>
      </c>
      <c r="B5052" t="s">
        <v>15556</v>
      </c>
    </row>
    <row r="5053" spans="1:2">
      <c r="A5053" t="s">
        <v>15557</v>
      </c>
      <c r="B5053" t="s">
        <v>15558</v>
      </c>
    </row>
    <row r="5054" spans="1:2">
      <c r="A5054" t="s">
        <v>15559</v>
      </c>
      <c r="B5054" t="s">
        <v>15560</v>
      </c>
    </row>
    <row r="5055" spans="1:2">
      <c r="A5055" t="s">
        <v>15561</v>
      </c>
      <c r="B5055" t="s">
        <v>15562</v>
      </c>
    </row>
    <row r="5056" spans="1:2">
      <c r="A5056" t="s">
        <v>15563</v>
      </c>
      <c r="B5056" t="s">
        <v>15564</v>
      </c>
    </row>
    <row r="5057" spans="1:2">
      <c r="A5057" t="s">
        <v>15565</v>
      </c>
      <c r="B5057" t="s">
        <v>15566</v>
      </c>
    </row>
    <row r="5058" spans="1:2">
      <c r="A5058" t="s">
        <v>15567</v>
      </c>
      <c r="B5058" t="s">
        <v>15568</v>
      </c>
    </row>
    <row r="5059" spans="1:2">
      <c r="A5059" t="s">
        <v>15569</v>
      </c>
      <c r="B5059" t="s">
        <v>15570</v>
      </c>
    </row>
    <row r="5060" spans="1:2">
      <c r="A5060" t="s">
        <v>15571</v>
      </c>
      <c r="B5060" t="s">
        <v>15572</v>
      </c>
    </row>
    <row r="5061" spans="1:2">
      <c r="A5061" t="s">
        <v>15573</v>
      </c>
      <c r="B5061" t="s">
        <v>15574</v>
      </c>
    </row>
    <row r="5062" spans="1:2">
      <c r="A5062" t="s">
        <v>15575</v>
      </c>
      <c r="B5062" t="s">
        <v>15576</v>
      </c>
    </row>
    <row r="5063" spans="1:2">
      <c r="A5063" t="s">
        <v>15577</v>
      </c>
      <c r="B5063" t="s">
        <v>15578</v>
      </c>
    </row>
    <row r="5064" spans="1:2">
      <c r="A5064" t="s">
        <v>15579</v>
      </c>
      <c r="B5064" t="s">
        <v>15580</v>
      </c>
    </row>
    <row r="5065" spans="1:2">
      <c r="A5065" t="s">
        <v>15581</v>
      </c>
      <c r="B5065" t="s">
        <v>15582</v>
      </c>
    </row>
    <row r="5066" spans="1:2">
      <c r="A5066" t="s">
        <v>15583</v>
      </c>
      <c r="B5066" t="s">
        <v>15584</v>
      </c>
    </row>
    <row r="5067" spans="1:2">
      <c r="A5067" t="s">
        <v>15585</v>
      </c>
      <c r="B5067" t="s">
        <v>15586</v>
      </c>
    </row>
    <row r="5068" spans="1:2">
      <c r="A5068" t="s">
        <v>15587</v>
      </c>
      <c r="B5068" t="s">
        <v>15588</v>
      </c>
    </row>
    <row r="5069" spans="1:2">
      <c r="A5069" t="s">
        <v>15589</v>
      </c>
      <c r="B5069" t="s">
        <v>15590</v>
      </c>
    </row>
    <row r="5070" spans="1:2">
      <c r="A5070" t="s">
        <v>15591</v>
      </c>
      <c r="B5070" t="s">
        <v>15592</v>
      </c>
    </row>
    <row r="5071" spans="1:2">
      <c r="A5071" t="s">
        <v>15593</v>
      </c>
      <c r="B5071" t="s">
        <v>15594</v>
      </c>
    </row>
    <row r="5072" spans="1:2">
      <c r="A5072" t="s">
        <v>15595</v>
      </c>
      <c r="B5072" t="s">
        <v>15596</v>
      </c>
    </row>
    <row r="5073" spans="1:2">
      <c r="A5073" t="s">
        <v>15597</v>
      </c>
      <c r="B5073" t="s">
        <v>15598</v>
      </c>
    </row>
    <row r="5074" spans="1:2">
      <c r="A5074" t="s">
        <v>15599</v>
      </c>
      <c r="B5074" t="s">
        <v>15600</v>
      </c>
    </row>
    <row r="5075" spans="1:2">
      <c r="A5075" t="s">
        <v>15601</v>
      </c>
      <c r="B5075" t="s">
        <v>15602</v>
      </c>
    </row>
    <row r="5076" spans="1:2">
      <c r="A5076" t="s">
        <v>15603</v>
      </c>
      <c r="B5076" t="s">
        <v>15604</v>
      </c>
    </row>
    <row r="5077" spans="1:2">
      <c r="A5077" t="s">
        <v>15605</v>
      </c>
      <c r="B5077" t="s">
        <v>15606</v>
      </c>
    </row>
    <row r="5078" spans="1:2">
      <c r="A5078" t="s">
        <v>15607</v>
      </c>
      <c r="B5078" t="s">
        <v>15608</v>
      </c>
    </row>
    <row r="5079" spans="1:2">
      <c r="A5079" t="s">
        <v>15609</v>
      </c>
      <c r="B5079" t="s">
        <v>15610</v>
      </c>
    </row>
    <row r="5080" spans="1:2">
      <c r="A5080" t="s">
        <v>15611</v>
      </c>
      <c r="B5080" t="s">
        <v>15612</v>
      </c>
    </row>
    <row r="5081" spans="1:2">
      <c r="A5081" t="s">
        <v>15613</v>
      </c>
      <c r="B5081" t="s">
        <v>15614</v>
      </c>
    </row>
    <row r="5082" spans="1:2">
      <c r="A5082" t="s">
        <v>15615</v>
      </c>
      <c r="B5082" t="s">
        <v>15616</v>
      </c>
    </row>
    <row r="5083" spans="1:2">
      <c r="A5083" t="s">
        <v>15617</v>
      </c>
      <c r="B5083" t="s">
        <v>15618</v>
      </c>
    </row>
    <row r="5084" spans="1:2">
      <c r="A5084" t="s">
        <v>15619</v>
      </c>
      <c r="B5084" t="s">
        <v>15620</v>
      </c>
    </row>
    <row r="5085" spans="1:2">
      <c r="A5085" t="s">
        <v>15621</v>
      </c>
      <c r="B5085" t="s">
        <v>15622</v>
      </c>
    </row>
    <row r="5086" spans="1:2">
      <c r="A5086" t="s">
        <v>15623</v>
      </c>
      <c r="B5086" t="s">
        <v>15624</v>
      </c>
    </row>
    <row r="5087" spans="1:2">
      <c r="A5087" t="s">
        <v>15625</v>
      </c>
      <c r="B5087" t="s">
        <v>15626</v>
      </c>
    </row>
    <row r="5088" spans="1:2">
      <c r="A5088" t="s">
        <v>15627</v>
      </c>
      <c r="B5088" t="s">
        <v>15628</v>
      </c>
    </row>
    <row r="5089" spans="1:2">
      <c r="A5089" t="s">
        <v>15629</v>
      </c>
      <c r="B5089" t="s">
        <v>15630</v>
      </c>
    </row>
    <row r="5090" spans="1:2">
      <c r="A5090" t="s">
        <v>15631</v>
      </c>
      <c r="B5090" t="s">
        <v>15632</v>
      </c>
    </row>
    <row r="5091" spans="1:2">
      <c r="A5091" t="s">
        <v>15633</v>
      </c>
      <c r="B5091" t="s">
        <v>15634</v>
      </c>
    </row>
    <row r="5092" spans="1:2">
      <c r="A5092" t="s">
        <v>15635</v>
      </c>
      <c r="B5092" t="s">
        <v>15636</v>
      </c>
    </row>
    <row r="5093" spans="1:2">
      <c r="A5093" t="s">
        <v>15637</v>
      </c>
      <c r="B5093" t="s">
        <v>15638</v>
      </c>
    </row>
    <row r="5094" spans="1:2">
      <c r="A5094" t="s">
        <v>15639</v>
      </c>
      <c r="B5094" t="s">
        <v>15640</v>
      </c>
    </row>
    <row r="5095" spans="1:2">
      <c r="A5095" t="s">
        <v>15641</v>
      </c>
      <c r="B5095" t="s">
        <v>15642</v>
      </c>
    </row>
    <row r="5096" spans="1:2">
      <c r="A5096" t="s">
        <v>15643</v>
      </c>
      <c r="B5096" t="s">
        <v>15644</v>
      </c>
    </row>
    <row r="5097" spans="1:2">
      <c r="A5097" t="s">
        <v>15645</v>
      </c>
      <c r="B5097" t="s">
        <v>15646</v>
      </c>
    </row>
    <row r="5098" spans="1:2">
      <c r="A5098" t="s">
        <v>15647</v>
      </c>
      <c r="B5098" t="s">
        <v>15648</v>
      </c>
    </row>
    <row r="5099" spans="1:2">
      <c r="A5099" t="s">
        <v>15649</v>
      </c>
      <c r="B5099" t="s">
        <v>15650</v>
      </c>
    </row>
    <row r="5100" spans="1:2">
      <c r="A5100" t="s">
        <v>15651</v>
      </c>
      <c r="B5100" t="s">
        <v>15652</v>
      </c>
    </row>
    <row r="5101" spans="1:2">
      <c r="A5101" t="s">
        <v>15653</v>
      </c>
      <c r="B5101" t="s">
        <v>15654</v>
      </c>
    </row>
    <row r="5102" spans="1:2">
      <c r="A5102" t="s">
        <v>15655</v>
      </c>
      <c r="B5102" t="s">
        <v>15656</v>
      </c>
    </row>
    <row r="5103" spans="1:2">
      <c r="A5103" t="s">
        <v>15657</v>
      </c>
      <c r="B5103" t="s">
        <v>15658</v>
      </c>
    </row>
    <row r="5104" spans="1:2">
      <c r="A5104" t="s">
        <v>15659</v>
      </c>
      <c r="B5104" t="s">
        <v>15660</v>
      </c>
    </row>
    <row r="5105" spans="1:2">
      <c r="A5105" t="s">
        <v>15661</v>
      </c>
      <c r="B5105" t="s">
        <v>15662</v>
      </c>
    </row>
    <row r="5106" spans="1:2">
      <c r="A5106" t="s">
        <v>15663</v>
      </c>
      <c r="B5106" t="s">
        <v>15664</v>
      </c>
    </row>
    <row r="5107" spans="1:2">
      <c r="A5107" t="s">
        <v>15665</v>
      </c>
      <c r="B5107" t="s">
        <v>15666</v>
      </c>
    </row>
    <row r="5108" spans="1:2">
      <c r="A5108" t="s">
        <v>15667</v>
      </c>
      <c r="B5108" t="s">
        <v>15668</v>
      </c>
    </row>
    <row r="5109" spans="1:2">
      <c r="A5109" t="s">
        <v>15669</v>
      </c>
      <c r="B5109" t="s">
        <v>15670</v>
      </c>
    </row>
    <row r="5110" spans="1:2">
      <c r="A5110" t="s">
        <v>15671</v>
      </c>
      <c r="B5110" t="s">
        <v>15672</v>
      </c>
    </row>
    <row r="5111" spans="1:2">
      <c r="A5111" t="s">
        <v>15673</v>
      </c>
      <c r="B5111" t="s">
        <v>15674</v>
      </c>
    </row>
    <row r="5112" spans="1:2">
      <c r="A5112" t="s">
        <v>15675</v>
      </c>
      <c r="B5112" t="s">
        <v>15676</v>
      </c>
    </row>
    <row r="5113" spans="1:2">
      <c r="A5113" t="s">
        <v>15677</v>
      </c>
      <c r="B5113" t="s">
        <v>15678</v>
      </c>
    </row>
    <row r="5114" spans="1:2">
      <c r="A5114" t="s">
        <v>15679</v>
      </c>
      <c r="B5114" t="s">
        <v>15680</v>
      </c>
    </row>
    <row r="5115" spans="1:2">
      <c r="A5115" t="s">
        <v>15681</v>
      </c>
      <c r="B5115" t="s">
        <v>15682</v>
      </c>
    </row>
    <row r="5116" spans="1:2">
      <c r="A5116" t="s">
        <v>15683</v>
      </c>
      <c r="B5116" t="s">
        <v>15684</v>
      </c>
    </row>
    <row r="5117" spans="1:2">
      <c r="A5117" t="s">
        <v>15685</v>
      </c>
      <c r="B5117" t="s">
        <v>15686</v>
      </c>
    </row>
    <row r="5118" spans="1:2">
      <c r="A5118" t="s">
        <v>15687</v>
      </c>
      <c r="B5118" t="s">
        <v>15688</v>
      </c>
    </row>
    <row r="5119" spans="1:2">
      <c r="A5119" t="s">
        <v>15689</v>
      </c>
      <c r="B5119" t="s">
        <v>15690</v>
      </c>
    </row>
    <row r="5120" spans="1:2">
      <c r="A5120" t="s">
        <v>15691</v>
      </c>
      <c r="B5120" t="s">
        <v>15692</v>
      </c>
    </row>
    <row r="5121" spans="1:2">
      <c r="A5121" t="s">
        <v>15693</v>
      </c>
      <c r="B5121" t="s">
        <v>15694</v>
      </c>
    </row>
    <row r="5122" spans="1:2">
      <c r="A5122" t="s">
        <v>15695</v>
      </c>
      <c r="B5122" t="s">
        <v>15696</v>
      </c>
    </row>
    <row r="5123" spans="1:2">
      <c r="A5123" t="s">
        <v>15697</v>
      </c>
      <c r="B5123" t="s">
        <v>15698</v>
      </c>
    </row>
    <row r="5124" spans="1:2">
      <c r="A5124" t="s">
        <v>15699</v>
      </c>
      <c r="B5124" t="s">
        <v>15700</v>
      </c>
    </row>
    <row r="5125" spans="1:2">
      <c r="A5125" t="s">
        <v>15701</v>
      </c>
      <c r="B5125" t="s">
        <v>15702</v>
      </c>
    </row>
    <row r="5126" spans="1:2">
      <c r="A5126" t="s">
        <v>15703</v>
      </c>
      <c r="B5126" t="s">
        <v>15704</v>
      </c>
    </row>
    <row r="5127" spans="1:2">
      <c r="A5127" t="s">
        <v>15705</v>
      </c>
      <c r="B5127" t="s">
        <v>15706</v>
      </c>
    </row>
    <row r="5128" spans="1:2">
      <c r="A5128" t="s">
        <v>15707</v>
      </c>
      <c r="B5128" t="s">
        <v>15708</v>
      </c>
    </row>
    <row r="5129" spans="1:2">
      <c r="A5129" t="s">
        <v>15709</v>
      </c>
      <c r="B5129" t="s">
        <v>15710</v>
      </c>
    </row>
    <row r="5130" spans="1:2">
      <c r="A5130" t="s">
        <v>15711</v>
      </c>
      <c r="B5130" t="s">
        <v>15712</v>
      </c>
    </row>
    <row r="5131" spans="1:2">
      <c r="A5131" t="s">
        <v>15713</v>
      </c>
      <c r="B5131" t="s">
        <v>15714</v>
      </c>
    </row>
    <row r="5132" spans="1:2">
      <c r="A5132" t="s">
        <v>15715</v>
      </c>
      <c r="B5132" t="s">
        <v>15716</v>
      </c>
    </row>
    <row r="5133" spans="1:2">
      <c r="A5133" t="s">
        <v>15717</v>
      </c>
      <c r="B5133" t="s">
        <v>15718</v>
      </c>
    </row>
    <row r="5134" spans="1:2">
      <c r="A5134" t="s">
        <v>15719</v>
      </c>
      <c r="B5134" t="s">
        <v>15720</v>
      </c>
    </row>
    <row r="5135" spans="1:2">
      <c r="A5135" t="s">
        <v>15721</v>
      </c>
      <c r="B5135" t="s">
        <v>15722</v>
      </c>
    </row>
    <row r="5136" spans="1:2">
      <c r="A5136" t="s">
        <v>15723</v>
      </c>
      <c r="B5136" t="s">
        <v>15724</v>
      </c>
    </row>
    <row r="5137" spans="1:2">
      <c r="A5137" t="s">
        <v>15725</v>
      </c>
      <c r="B5137" t="s">
        <v>15726</v>
      </c>
    </row>
    <row r="5138" spans="1:2">
      <c r="A5138" t="s">
        <v>15727</v>
      </c>
      <c r="B5138" t="s">
        <v>15728</v>
      </c>
    </row>
    <row r="5139" spans="1:2">
      <c r="A5139" t="s">
        <v>15729</v>
      </c>
      <c r="B5139" t="s">
        <v>15730</v>
      </c>
    </row>
    <row r="5140" spans="1:2">
      <c r="A5140" t="s">
        <v>15731</v>
      </c>
      <c r="B5140" t="s">
        <v>15732</v>
      </c>
    </row>
    <row r="5141" spans="1:2">
      <c r="A5141" t="s">
        <v>15733</v>
      </c>
      <c r="B5141" t="s">
        <v>15734</v>
      </c>
    </row>
    <row r="5142" spans="1:2">
      <c r="A5142" t="s">
        <v>15735</v>
      </c>
      <c r="B5142" t="s">
        <v>15736</v>
      </c>
    </row>
    <row r="5143" spans="1:2">
      <c r="A5143" t="s">
        <v>15737</v>
      </c>
      <c r="B5143" t="s">
        <v>15738</v>
      </c>
    </row>
    <row r="5144" spans="1:2">
      <c r="A5144" t="s">
        <v>15739</v>
      </c>
      <c r="B5144" t="s">
        <v>15740</v>
      </c>
    </row>
    <row r="5145" spans="1:2">
      <c r="A5145" t="s">
        <v>15741</v>
      </c>
      <c r="B5145" t="s">
        <v>15742</v>
      </c>
    </row>
    <row r="5146" spans="1:2">
      <c r="A5146" t="s">
        <v>15743</v>
      </c>
      <c r="B5146" t="s">
        <v>15744</v>
      </c>
    </row>
    <row r="5147" spans="1:2">
      <c r="A5147" t="s">
        <v>15745</v>
      </c>
      <c r="B5147" t="s">
        <v>15746</v>
      </c>
    </row>
    <row r="5148" spans="1:2">
      <c r="A5148" t="s">
        <v>15747</v>
      </c>
      <c r="B5148" t="s">
        <v>15748</v>
      </c>
    </row>
    <row r="5149" spans="1:2">
      <c r="A5149" t="s">
        <v>15749</v>
      </c>
      <c r="B5149" t="s">
        <v>15750</v>
      </c>
    </row>
    <row r="5150" spans="1:2">
      <c r="A5150" t="s">
        <v>15751</v>
      </c>
      <c r="B5150" t="s">
        <v>15752</v>
      </c>
    </row>
    <row r="5151" spans="1:2">
      <c r="A5151" t="s">
        <v>15753</v>
      </c>
      <c r="B5151" t="s">
        <v>15754</v>
      </c>
    </row>
    <row r="5152" spans="1:2">
      <c r="A5152" t="s">
        <v>15755</v>
      </c>
      <c r="B5152" t="s">
        <v>15756</v>
      </c>
    </row>
    <row r="5153" spans="1:2">
      <c r="A5153" t="s">
        <v>15757</v>
      </c>
      <c r="B5153" t="s">
        <v>15758</v>
      </c>
    </row>
    <row r="5154" spans="1:2">
      <c r="A5154" t="s">
        <v>15759</v>
      </c>
      <c r="B5154" t="s">
        <v>15760</v>
      </c>
    </row>
    <row r="5155" spans="1:2">
      <c r="A5155" t="s">
        <v>15761</v>
      </c>
      <c r="B5155" t="s">
        <v>15762</v>
      </c>
    </row>
    <row r="5156" spans="1:2">
      <c r="A5156" t="s">
        <v>15763</v>
      </c>
      <c r="B5156" t="s">
        <v>15764</v>
      </c>
    </row>
    <row r="5157" spans="1:2">
      <c r="A5157" t="s">
        <v>15765</v>
      </c>
      <c r="B5157" t="s">
        <v>15766</v>
      </c>
    </row>
    <row r="5158" spans="1:2">
      <c r="A5158" t="s">
        <v>15767</v>
      </c>
      <c r="B5158" t="s">
        <v>15768</v>
      </c>
    </row>
    <row r="5159" spans="1:2">
      <c r="A5159" t="s">
        <v>15769</v>
      </c>
      <c r="B5159" t="s">
        <v>15770</v>
      </c>
    </row>
    <row r="5160" spans="1:2">
      <c r="A5160" t="s">
        <v>15771</v>
      </c>
      <c r="B5160" t="s">
        <v>15772</v>
      </c>
    </row>
    <row r="5161" spans="1:2">
      <c r="A5161" t="s">
        <v>15773</v>
      </c>
      <c r="B5161" t="s">
        <v>15774</v>
      </c>
    </row>
    <row r="5162" spans="1:2">
      <c r="A5162" t="s">
        <v>15775</v>
      </c>
      <c r="B5162" t="s">
        <v>15776</v>
      </c>
    </row>
    <row r="5163" spans="1:2">
      <c r="A5163" t="s">
        <v>15777</v>
      </c>
      <c r="B5163" t="s">
        <v>15778</v>
      </c>
    </row>
    <row r="5164" spans="1:2">
      <c r="A5164" t="s">
        <v>15779</v>
      </c>
      <c r="B5164" t="s">
        <v>15780</v>
      </c>
    </row>
    <row r="5165" spans="1:2">
      <c r="A5165" t="s">
        <v>15781</v>
      </c>
      <c r="B5165" t="s">
        <v>15782</v>
      </c>
    </row>
    <row r="5166" spans="1:2">
      <c r="A5166" t="s">
        <v>15783</v>
      </c>
      <c r="B5166" t="s">
        <v>15784</v>
      </c>
    </row>
    <row r="5167" spans="1:2">
      <c r="A5167" t="s">
        <v>15785</v>
      </c>
      <c r="B5167" t="s">
        <v>15786</v>
      </c>
    </row>
    <row r="5168" spans="1:2">
      <c r="A5168" t="s">
        <v>15787</v>
      </c>
      <c r="B5168" t="s">
        <v>15788</v>
      </c>
    </row>
    <row r="5169" spans="1:2">
      <c r="A5169" t="s">
        <v>15789</v>
      </c>
      <c r="B5169" t="s">
        <v>15790</v>
      </c>
    </row>
    <row r="5170" spans="1:2">
      <c r="A5170" t="s">
        <v>15791</v>
      </c>
      <c r="B5170" t="s">
        <v>15792</v>
      </c>
    </row>
    <row r="5171" spans="1:2">
      <c r="A5171" t="s">
        <v>15793</v>
      </c>
      <c r="B5171" t="s">
        <v>15794</v>
      </c>
    </row>
    <row r="5172" spans="1:2">
      <c r="A5172" t="s">
        <v>15795</v>
      </c>
      <c r="B5172" t="s">
        <v>15796</v>
      </c>
    </row>
    <row r="5173" spans="1:2">
      <c r="A5173" t="s">
        <v>15797</v>
      </c>
      <c r="B5173" t="s">
        <v>15798</v>
      </c>
    </row>
    <row r="5174" spans="1:2">
      <c r="A5174" t="s">
        <v>15799</v>
      </c>
      <c r="B5174" t="s">
        <v>15800</v>
      </c>
    </row>
    <row r="5175" spans="1:2">
      <c r="A5175" t="s">
        <v>15801</v>
      </c>
      <c r="B5175" t="s">
        <v>15802</v>
      </c>
    </row>
    <row r="5176" spans="1:2">
      <c r="A5176" t="s">
        <v>15803</v>
      </c>
      <c r="B5176" t="s">
        <v>15804</v>
      </c>
    </row>
    <row r="5177" spans="1:2">
      <c r="A5177" t="s">
        <v>15805</v>
      </c>
      <c r="B5177" t="s">
        <v>15806</v>
      </c>
    </row>
    <row r="5178" spans="1:2">
      <c r="A5178" t="s">
        <v>15807</v>
      </c>
      <c r="B5178" t="s">
        <v>15808</v>
      </c>
    </row>
    <row r="5179" spans="1:2">
      <c r="A5179" t="s">
        <v>15809</v>
      </c>
      <c r="B5179" t="s">
        <v>15810</v>
      </c>
    </row>
    <row r="5180" spans="1:2">
      <c r="A5180" t="s">
        <v>15811</v>
      </c>
      <c r="B5180" t="s">
        <v>15812</v>
      </c>
    </row>
    <row r="5181" spans="1:2">
      <c r="A5181" t="s">
        <v>15813</v>
      </c>
      <c r="B5181" t="s">
        <v>15814</v>
      </c>
    </row>
    <row r="5182" spans="1:2">
      <c r="A5182" t="s">
        <v>15815</v>
      </c>
      <c r="B5182" t="s">
        <v>15816</v>
      </c>
    </row>
    <row r="5183" spans="1:2">
      <c r="A5183" t="s">
        <v>15817</v>
      </c>
      <c r="B5183" t="s">
        <v>15818</v>
      </c>
    </row>
    <row r="5184" spans="1:2">
      <c r="A5184" t="s">
        <v>15819</v>
      </c>
      <c r="B5184" t="s">
        <v>15820</v>
      </c>
    </row>
    <row r="5185" spans="1:2">
      <c r="A5185" t="s">
        <v>15821</v>
      </c>
      <c r="B5185" t="s">
        <v>15822</v>
      </c>
    </row>
    <row r="5186" spans="1:2">
      <c r="A5186" t="s">
        <v>15823</v>
      </c>
      <c r="B5186" t="s">
        <v>15824</v>
      </c>
    </row>
    <row r="5187" spans="1:2">
      <c r="A5187" t="s">
        <v>15825</v>
      </c>
      <c r="B5187" t="s">
        <v>15826</v>
      </c>
    </row>
    <row r="5188" spans="1:2">
      <c r="A5188" t="s">
        <v>15827</v>
      </c>
      <c r="B5188" t="s">
        <v>15828</v>
      </c>
    </row>
    <row r="5189" spans="1:2">
      <c r="A5189" t="s">
        <v>15829</v>
      </c>
      <c r="B5189" t="s">
        <v>9557</v>
      </c>
    </row>
    <row r="5190" spans="1:2">
      <c r="A5190" t="s">
        <v>15830</v>
      </c>
      <c r="B5190" t="s">
        <v>9565</v>
      </c>
    </row>
    <row r="5191" spans="1:2">
      <c r="A5191" t="s">
        <v>15831</v>
      </c>
      <c r="B5191" t="s">
        <v>15832</v>
      </c>
    </row>
    <row r="5192" spans="1:2">
      <c r="A5192" t="s">
        <v>15833</v>
      </c>
      <c r="B5192" t="s">
        <v>8170</v>
      </c>
    </row>
    <row r="5193" spans="1:2">
      <c r="A5193" t="s">
        <v>15834</v>
      </c>
      <c r="B5193" t="s">
        <v>15835</v>
      </c>
    </row>
    <row r="5194" spans="1:2">
      <c r="A5194" t="s">
        <v>15836</v>
      </c>
      <c r="B5194" t="s">
        <v>15837</v>
      </c>
    </row>
    <row r="5195" spans="1:2">
      <c r="A5195" t="s">
        <v>15838</v>
      </c>
      <c r="B5195" t="s">
        <v>15839</v>
      </c>
    </row>
    <row r="5196" spans="1:2">
      <c r="A5196" t="s">
        <v>15840</v>
      </c>
      <c r="B5196" t="s">
        <v>15841</v>
      </c>
    </row>
    <row r="5197" spans="1:2">
      <c r="A5197" t="s">
        <v>15842</v>
      </c>
      <c r="B5197" t="s">
        <v>15843</v>
      </c>
    </row>
    <row r="5198" spans="1:2">
      <c r="A5198" t="s">
        <v>15844</v>
      </c>
      <c r="B5198" t="s">
        <v>15845</v>
      </c>
    </row>
    <row r="5199" spans="1:2">
      <c r="A5199" t="s">
        <v>15846</v>
      </c>
      <c r="B5199" t="s">
        <v>15847</v>
      </c>
    </row>
    <row r="5200" spans="1:2">
      <c r="A5200" t="s">
        <v>15848</v>
      </c>
      <c r="B5200" t="s">
        <v>15849</v>
      </c>
    </row>
    <row r="5201" spans="1:2">
      <c r="A5201" t="s">
        <v>15850</v>
      </c>
      <c r="B5201" t="s">
        <v>15851</v>
      </c>
    </row>
    <row r="5202" spans="1:2">
      <c r="A5202" t="s">
        <v>15852</v>
      </c>
      <c r="B5202" t="s">
        <v>15853</v>
      </c>
    </row>
    <row r="5203" spans="1:2">
      <c r="A5203" t="s">
        <v>15854</v>
      </c>
      <c r="B5203" t="s">
        <v>15855</v>
      </c>
    </row>
    <row r="5204" spans="1:2">
      <c r="A5204" t="s">
        <v>15856</v>
      </c>
      <c r="B5204" t="s">
        <v>15857</v>
      </c>
    </row>
    <row r="5205" spans="1:2">
      <c r="A5205" t="s">
        <v>15858</v>
      </c>
      <c r="B5205" t="s">
        <v>15859</v>
      </c>
    </row>
    <row r="5206" spans="1:2">
      <c r="A5206" t="s">
        <v>15860</v>
      </c>
      <c r="B5206" t="s">
        <v>15861</v>
      </c>
    </row>
    <row r="5207" spans="1:2">
      <c r="A5207" t="s">
        <v>15862</v>
      </c>
      <c r="B5207" t="s">
        <v>15863</v>
      </c>
    </row>
    <row r="5208" spans="1:2">
      <c r="A5208" t="s">
        <v>15864</v>
      </c>
      <c r="B5208" t="s">
        <v>15865</v>
      </c>
    </row>
    <row r="5209" spans="1:2">
      <c r="A5209" t="s">
        <v>15866</v>
      </c>
      <c r="B5209" t="s">
        <v>15867</v>
      </c>
    </row>
    <row r="5210" spans="1:2">
      <c r="A5210" t="s">
        <v>15868</v>
      </c>
      <c r="B5210" t="s">
        <v>15869</v>
      </c>
    </row>
    <row r="5211" spans="1:2">
      <c r="A5211" t="s">
        <v>15870</v>
      </c>
      <c r="B5211" t="s">
        <v>15871</v>
      </c>
    </row>
    <row r="5212" spans="1:2">
      <c r="A5212" t="s">
        <v>15872</v>
      </c>
      <c r="B5212" t="s">
        <v>15274</v>
      </c>
    </row>
    <row r="5213" spans="1:2">
      <c r="A5213" t="s">
        <v>15873</v>
      </c>
      <c r="B5213" t="s">
        <v>15874</v>
      </c>
    </row>
    <row r="5214" spans="1:2">
      <c r="A5214" t="s">
        <v>15875</v>
      </c>
      <c r="B5214" t="s">
        <v>15876</v>
      </c>
    </row>
    <row r="5215" spans="1:2">
      <c r="A5215" t="s">
        <v>15877</v>
      </c>
      <c r="B5215" t="s">
        <v>15878</v>
      </c>
    </row>
    <row r="5216" spans="1:2">
      <c r="A5216" t="s">
        <v>15879</v>
      </c>
      <c r="B5216" t="s">
        <v>15880</v>
      </c>
    </row>
    <row r="5217" spans="1:2">
      <c r="A5217" t="s">
        <v>15881</v>
      </c>
      <c r="B5217" t="s">
        <v>15882</v>
      </c>
    </row>
    <row r="5218" spans="1:2">
      <c r="A5218" t="s">
        <v>15883</v>
      </c>
      <c r="B5218" t="s">
        <v>15884</v>
      </c>
    </row>
    <row r="5219" spans="1:2">
      <c r="A5219" t="s">
        <v>15885</v>
      </c>
      <c r="B5219" t="s">
        <v>11310</v>
      </c>
    </row>
    <row r="5220" spans="1:2">
      <c r="A5220" t="s">
        <v>15886</v>
      </c>
      <c r="B5220" t="s">
        <v>15887</v>
      </c>
    </row>
    <row r="5221" spans="1:2">
      <c r="A5221" t="s">
        <v>15888</v>
      </c>
      <c r="B5221" t="s">
        <v>15889</v>
      </c>
    </row>
    <row r="5222" spans="1:2">
      <c r="A5222" t="s">
        <v>15890</v>
      </c>
      <c r="B5222" t="s">
        <v>15891</v>
      </c>
    </row>
    <row r="5223" spans="1:2">
      <c r="A5223" t="s">
        <v>15892</v>
      </c>
      <c r="B5223" t="s">
        <v>15893</v>
      </c>
    </row>
    <row r="5224" spans="1:2">
      <c r="A5224" t="s">
        <v>15894</v>
      </c>
      <c r="B5224" t="s">
        <v>15895</v>
      </c>
    </row>
    <row r="5225" spans="1:2">
      <c r="A5225" t="s">
        <v>15896</v>
      </c>
      <c r="B5225" t="s">
        <v>15897</v>
      </c>
    </row>
    <row r="5226" spans="1:2">
      <c r="A5226" t="s">
        <v>15898</v>
      </c>
      <c r="B5226" t="s">
        <v>15899</v>
      </c>
    </row>
    <row r="5227" spans="1:2">
      <c r="A5227" t="s">
        <v>15900</v>
      </c>
      <c r="B5227" t="s">
        <v>15901</v>
      </c>
    </row>
    <row r="5228" spans="1:2">
      <c r="A5228" t="s">
        <v>15902</v>
      </c>
      <c r="B5228" t="s">
        <v>15903</v>
      </c>
    </row>
    <row r="5229" spans="1:2">
      <c r="A5229" t="s">
        <v>15904</v>
      </c>
      <c r="B5229" t="s">
        <v>15905</v>
      </c>
    </row>
    <row r="5230" spans="1:2">
      <c r="A5230" t="s">
        <v>15906</v>
      </c>
      <c r="B5230" t="s">
        <v>15907</v>
      </c>
    </row>
    <row r="5231" spans="1:2">
      <c r="A5231" t="s">
        <v>15908</v>
      </c>
      <c r="B5231" t="s">
        <v>15909</v>
      </c>
    </row>
    <row r="5232" spans="1:2">
      <c r="A5232" t="s">
        <v>15910</v>
      </c>
      <c r="B5232" t="s">
        <v>15911</v>
      </c>
    </row>
    <row r="5233" spans="1:2">
      <c r="A5233" t="s">
        <v>15912</v>
      </c>
      <c r="B5233" t="s">
        <v>15913</v>
      </c>
    </row>
    <row r="5234" spans="1:2">
      <c r="A5234" t="s">
        <v>15914</v>
      </c>
      <c r="B5234" t="s">
        <v>15915</v>
      </c>
    </row>
    <row r="5235" spans="1:2">
      <c r="A5235" t="s">
        <v>15916</v>
      </c>
      <c r="B5235" t="s">
        <v>15917</v>
      </c>
    </row>
    <row r="5236" spans="1:2">
      <c r="A5236" t="s">
        <v>15918</v>
      </c>
      <c r="B5236" t="s">
        <v>15919</v>
      </c>
    </row>
    <row r="5237" spans="1:2">
      <c r="A5237" t="s">
        <v>15920</v>
      </c>
      <c r="B5237" t="s">
        <v>15921</v>
      </c>
    </row>
    <row r="5238" spans="1:2">
      <c r="A5238" t="s">
        <v>15922</v>
      </c>
      <c r="B5238" t="s">
        <v>15923</v>
      </c>
    </row>
    <row r="5239" spans="1:2">
      <c r="A5239" t="s">
        <v>15924</v>
      </c>
      <c r="B5239" t="s">
        <v>15925</v>
      </c>
    </row>
    <row r="5240" spans="1:2">
      <c r="A5240" t="s">
        <v>15926</v>
      </c>
      <c r="B5240" t="s">
        <v>15927</v>
      </c>
    </row>
    <row r="5241" spans="1:2">
      <c r="A5241" t="s">
        <v>15928</v>
      </c>
      <c r="B5241" t="s">
        <v>15929</v>
      </c>
    </row>
    <row r="5242" spans="1:2">
      <c r="A5242" t="s">
        <v>15930</v>
      </c>
      <c r="B5242" t="s">
        <v>15931</v>
      </c>
    </row>
    <row r="5243" spans="1:2">
      <c r="A5243" t="s">
        <v>15932</v>
      </c>
      <c r="B5243" t="s">
        <v>15933</v>
      </c>
    </row>
    <row r="5244" spans="1:2">
      <c r="A5244" t="s">
        <v>15934</v>
      </c>
      <c r="B5244" t="s">
        <v>15935</v>
      </c>
    </row>
    <row r="5245" spans="1:2">
      <c r="A5245" t="s">
        <v>15936</v>
      </c>
      <c r="B5245" t="s">
        <v>15937</v>
      </c>
    </row>
    <row r="5246" spans="1:2">
      <c r="A5246" t="s">
        <v>15938</v>
      </c>
      <c r="B5246" t="s">
        <v>15939</v>
      </c>
    </row>
    <row r="5247" spans="1:2">
      <c r="A5247" t="s">
        <v>15940</v>
      </c>
      <c r="B5247" t="s">
        <v>15941</v>
      </c>
    </row>
    <row r="5248" spans="1:2">
      <c r="A5248" t="s">
        <v>15942</v>
      </c>
      <c r="B5248" t="s">
        <v>15943</v>
      </c>
    </row>
    <row r="5249" spans="1:2">
      <c r="A5249" t="s">
        <v>15944</v>
      </c>
      <c r="B5249" t="s">
        <v>15945</v>
      </c>
    </row>
    <row r="5250" spans="1:2">
      <c r="A5250" t="s">
        <v>15946</v>
      </c>
      <c r="B5250" t="s">
        <v>15947</v>
      </c>
    </row>
    <row r="5251" spans="1:2">
      <c r="A5251" t="s">
        <v>15948</v>
      </c>
      <c r="B5251" t="s">
        <v>15949</v>
      </c>
    </row>
    <row r="5252" spans="1:2">
      <c r="A5252" t="s">
        <v>15950</v>
      </c>
      <c r="B5252" t="s">
        <v>15951</v>
      </c>
    </row>
    <row r="5253" spans="1:2">
      <c r="A5253" t="s">
        <v>15952</v>
      </c>
      <c r="B5253" t="s">
        <v>15953</v>
      </c>
    </row>
    <row r="5254" spans="1:2">
      <c r="A5254" t="s">
        <v>15954</v>
      </c>
      <c r="B5254" t="s">
        <v>15955</v>
      </c>
    </row>
    <row r="5255" spans="1:2">
      <c r="A5255" t="s">
        <v>15956</v>
      </c>
      <c r="B5255" t="s">
        <v>15957</v>
      </c>
    </row>
    <row r="5256" spans="1:2">
      <c r="A5256" t="s">
        <v>15958</v>
      </c>
      <c r="B5256" t="s">
        <v>15959</v>
      </c>
    </row>
    <row r="5257" spans="1:2">
      <c r="A5257" t="s">
        <v>15960</v>
      </c>
      <c r="B5257" t="s">
        <v>15961</v>
      </c>
    </row>
    <row r="5258" spans="1:2">
      <c r="A5258" t="s">
        <v>15962</v>
      </c>
      <c r="B5258" t="s">
        <v>15963</v>
      </c>
    </row>
    <row r="5259" spans="1:2">
      <c r="A5259" t="s">
        <v>15964</v>
      </c>
      <c r="B5259" t="s">
        <v>15965</v>
      </c>
    </row>
    <row r="5260" spans="1:2">
      <c r="A5260" t="s">
        <v>15966</v>
      </c>
      <c r="B5260" t="s">
        <v>14207</v>
      </c>
    </row>
    <row r="5261" spans="1:2">
      <c r="A5261" t="s">
        <v>15967</v>
      </c>
      <c r="B5261" t="s">
        <v>15968</v>
      </c>
    </row>
    <row r="5262" spans="1:2">
      <c r="A5262" t="s">
        <v>15969</v>
      </c>
      <c r="B5262" t="s">
        <v>7982</v>
      </c>
    </row>
    <row r="5263" spans="1:2">
      <c r="A5263" t="s">
        <v>15970</v>
      </c>
      <c r="B5263" t="s">
        <v>15971</v>
      </c>
    </row>
    <row r="5264" spans="1:2">
      <c r="A5264" t="s">
        <v>15972</v>
      </c>
      <c r="B5264" t="s">
        <v>15973</v>
      </c>
    </row>
    <row r="5265" spans="1:2">
      <c r="A5265" t="s">
        <v>15974</v>
      </c>
      <c r="B5265" t="s">
        <v>15975</v>
      </c>
    </row>
    <row r="5266" spans="1:2">
      <c r="A5266" t="s">
        <v>15976</v>
      </c>
      <c r="B5266" t="s">
        <v>8104</v>
      </c>
    </row>
    <row r="5267" spans="1:2">
      <c r="A5267" t="s">
        <v>15977</v>
      </c>
      <c r="B5267" t="s">
        <v>15978</v>
      </c>
    </row>
    <row r="5268" spans="1:2">
      <c r="A5268" t="s">
        <v>15979</v>
      </c>
      <c r="B5268" t="s">
        <v>15980</v>
      </c>
    </row>
    <row r="5269" spans="1:2">
      <c r="A5269" t="s">
        <v>15981</v>
      </c>
      <c r="B5269" t="s">
        <v>15982</v>
      </c>
    </row>
    <row r="5270" spans="1:2">
      <c r="A5270" t="s">
        <v>15983</v>
      </c>
      <c r="B5270" t="s">
        <v>15984</v>
      </c>
    </row>
    <row r="5271" spans="1:2">
      <c r="A5271" t="s">
        <v>15985</v>
      </c>
      <c r="B5271" t="s">
        <v>15986</v>
      </c>
    </row>
    <row r="5272" spans="1:2">
      <c r="A5272" t="s">
        <v>15987</v>
      </c>
      <c r="B5272" t="s">
        <v>15988</v>
      </c>
    </row>
    <row r="5273" spans="1:2">
      <c r="A5273" t="s">
        <v>15989</v>
      </c>
      <c r="B5273" t="s">
        <v>15990</v>
      </c>
    </row>
    <row r="5274" spans="1:2">
      <c r="A5274" t="s">
        <v>15991</v>
      </c>
      <c r="B5274" t="s">
        <v>15992</v>
      </c>
    </row>
    <row r="5275" spans="1:2">
      <c r="A5275" t="s">
        <v>15993</v>
      </c>
      <c r="B5275" t="s">
        <v>15994</v>
      </c>
    </row>
    <row r="5276" spans="1:2">
      <c r="A5276" t="s">
        <v>15995</v>
      </c>
      <c r="B5276" t="s">
        <v>15996</v>
      </c>
    </row>
    <row r="5277" spans="1:2">
      <c r="A5277" t="s">
        <v>15997</v>
      </c>
      <c r="B5277" t="s">
        <v>15998</v>
      </c>
    </row>
    <row r="5278" spans="1:2">
      <c r="A5278" t="s">
        <v>15999</v>
      </c>
      <c r="B5278" t="s">
        <v>16000</v>
      </c>
    </row>
    <row r="5279" spans="1:2">
      <c r="A5279" t="s">
        <v>16001</v>
      </c>
      <c r="B5279" t="s">
        <v>16002</v>
      </c>
    </row>
    <row r="5280" spans="1:2">
      <c r="A5280" t="s">
        <v>16003</v>
      </c>
      <c r="B5280" t="s">
        <v>16004</v>
      </c>
    </row>
    <row r="5281" spans="1:2">
      <c r="A5281" t="s">
        <v>16005</v>
      </c>
      <c r="B5281" t="s">
        <v>16006</v>
      </c>
    </row>
    <row r="5282" spans="1:2">
      <c r="A5282" t="s">
        <v>16007</v>
      </c>
      <c r="B5282" t="s">
        <v>16008</v>
      </c>
    </row>
    <row r="5283" spans="1:2">
      <c r="A5283" t="s">
        <v>16009</v>
      </c>
      <c r="B5283" t="s">
        <v>16010</v>
      </c>
    </row>
    <row r="5284" spans="1:2">
      <c r="A5284" t="s">
        <v>16011</v>
      </c>
      <c r="B5284" t="s">
        <v>16012</v>
      </c>
    </row>
    <row r="5285" spans="1:2">
      <c r="A5285" t="s">
        <v>16011</v>
      </c>
      <c r="B5285" t="s">
        <v>16012</v>
      </c>
    </row>
    <row r="5286" spans="1:2">
      <c r="A5286" t="s">
        <v>16013</v>
      </c>
      <c r="B5286" t="s">
        <v>16014</v>
      </c>
    </row>
    <row r="5287" spans="1:2">
      <c r="A5287" t="s">
        <v>16013</v>
      </c>
      <c r="B5287" t="s">
        <v>16014</v>
      </c>
    </row>
    <row r="5288" spans="1:2">
      <c r="A5288" t="s">
        <v>16015</v>
      </c>
      <c r="B5288" t="s">
        <v>16016</v>
      </c>
    </row>
    <row r="5289" spans="1:2">
      <c r="A5289" t="s">
        <v>16015</v>
      </c>
      <c r="B5289" t="s">
        <v>16016</v>
      </c>
    </row>
    <row r="5290" spans="1:2">
      <c r="A5290" t="s">
        <v>16017</v>
      </c>
      <c r="B5290" t="s">
        <v>16018</v>
      </c>
    </row>
    <row r="5291" spans="1:2">
      <c r="A5291" t="s">
        <v>16017</v>
      </c>
      <c r="B5291" t="s">
        <v>16018</v>
      </c>
    </row>
    <row r="5292" spans="1:2">
      <c r="A5292" t="s">
        <v>16019</v>
      </c>
      <c r="B5292" t="s">
        <v>16020</v>
      </c>
    </row>
    <row r="5293" spans="1:2">
      <c r="A5293" t="s">
        <v>16019</v>
      </c>
      <c r="B5293" t="s">
        <v>16021</v>
      </c>
    </row>
    <row r="5294" spans="1:2">
      <c r="A5294" t="s">
        <v>16022</v>
      </c>
      <c r="B5294" t="s">
        <v>16023</v>
      </c>
    </row>
    <row r="5295" spans="1:2">
      <c r="A5295" t="s">
        <v>16022</v>
      </c>
      <c r="B5295" t="s">
        <v>16024</v>
      </c>
    </row>
    <row r="5296" spans="1:2">
      <c r="A5296" t="s">
        <v>16025</v>
      </c>
      <c r="B5296" t="s">
        <v>16026</v>
      </c>
    </row>
    <row r="5297" spans="1:2">
      <c r="A5297" t="s">
        <v>16025</v>
      </c>
      <c r="B5297" t="s">
        <v>16027</v>
      </c>
    </row>
    <row r="5298" spans="1:2">
      <c r="A5298" t="s">
        <v>16028</v>
      </c>
      <c r="B5298" t="s">
        <v>16029</v>
      </c>
    </row>
    <row r="5299" spans="1:2">
      <c r="A5299" t="s">
        <v>16028</v>
      </c>
      <c r="B5299" t="s">
        <v>16030</v>
      </c>
    </row>
    <row r="5300" spans="1:2">
      <c r="A5300" t="s">
        <v>16031</v>
      </c>
      <c r="B5300" t="s">
        <v>16032</v>
      </c>
    </row>
    <row r="5301" spans="1:2">
      <c r="A5301" t="s">
        <v>16033</v>
      </c>
      <c r="B5301" t="s">
        <v>16034</v>
      </c>
    </row>
    <row r="5302" spans="1:2">
      <c r="A5302" t="s">
        <v>16035</v>
      </c>
      <c r="B5302" t="s">
        <v>16036</v>
      </c>
    </row>
    <row r="5303" spans="1:2">
      <c r="A5303" t="s">
        <v>16035</v>
      </c>
      <c r="B5303" t="s">
        <v>16037</v>
      </c>
    </row>
    <row r="5304" spans="1:2">
      <c r="A5304" t="s">
        <v>16038</v>
      </c>
      <c r="B5304" t="s">
        <v>16039</v>
      </c>
    </row>
    <row r="5305" spans="1:2">
      <c r="A5305" t="s">
        <v>16038</v>
      </c>
      <c r="B5305" t="s">
        <v>16040</v>
      </c>
    </row>
    <row r="5306" spans="1:2">
      <c r="A5306" t="s">
        <v>16041</v>
      </c>
      <c r="B5306" t="s">
        <v>16042</v>
      </c>
    </row>
    <row r="5307" spans="1:2">
      <c r="A5307" t="s">
        <v>16041</v>
      </c>
      <c r="B5307" t="s">
        <v>16043</v>
      </c>
    </row>
    <row r="5308" spans="1:2">
      <c r="A5308" t="s">
        <v>16044</v>
      </c>
      <c r="B5308" t="s">
        <v>9252</v>
      </c>
    </row>
    <row r="5309" spans="1:2">
      <c r="A5309" t="s">
        <v>16044</v>
      </c>
      <c r="B5309" t="s">
        <v>16045</v>
      </c>
    </row>
    <row r="5310" spans="1:2">
      <c r="A5310" t="s">
        <v>16046</v>
      </c>
      <c r="B5310" t="s">
        <v>16047</v>
      </c>
    </row>
    <row r="5311" spans="1:2">
      <c r="A5311" t="s">
        <v>16046</v>
      </c>
      <c r="B5311" t="s">
        <v>16048</v>
      </c>
    </row>
    <row r="5312" spans="1:2">
      <c r="A5312" t="s">
        <v>16049</v>
      </c>
      <c r="B5312" t="s">
        <v>16050</v>
      </c>
    </row>
    <row r="5313" spans="1:2">
      <c r="A5313" t="s">
        <v>16049</v>
      </c>
      <c r="B5313" t="s">
        <v>16051</v>
      </c>
    </row>
    <row r="5314" spans="1:2">
      <c r="A5314" t="s">
        <v>16052</v>
      </c>
      <c r="B5314" t="s">
        <v>16053</v>
      </c>
    </row>
    <row r="5315" spans="1:2">
      <c r="A5315" t="s">
        <v>16052</v>
      </c>
      <c r="B5315" t="s">
        <v>16054</v>
      </c>
    </row>
    <row r="5316" spans="1:2">
      <c r="A5316" t="s">
        <v>16055</v>
      </c>
      <c r="B5316" t="s">
        <v>16056</v>
      </c>
    </row>
    <row r="5317" spans="1:2">
      <c r="A5317" t="s">
        <v>16055</v>
      </c>
      <c r="B5317" t="s">
        <v>16057</v>
      </c>
    </row>
    <row r="5318" spans="1:2">
      <c r="A5318" t="s">
        <v>16058</v>
      </c>
      <c r="B5318" t="s">
        <v>16059</v>
      </c>
    </row>
    <row r="5319" spans="1:2">
      <c r="A5319" t="s">
        <v>16058</v>
      </c>
      <c r="B5319" t="s">
        <v>16060</v>
      </c>
    </row>
    <row r="5320" spans="1:2">
      <c r="A5320" t="s">
        <v>16061</v>
      </c>
      <c r="B5320" t="s">
        <v>16062</v>
      </c>
    </row>
    <row r="5321" spans="1:2">
      <c r="A5321" t="s">
        <v>16061</v>
      </c>
      <c r="B5321" t="s">
        <v>16063</v>
      </c>
    </row>
    <row r="5322" spans="1:2">
      <c r="A5322" t="s">
        <v>16064</v>
      </c>
      <c r="B5322" t="s">
        <v>16065</v>
      </c>
    </row>
    <row r="5323" spans="1:2">
      <c r="A5323" t="s">
        <v>16064</v>
      </c>
      <c r="B5323" t="s">
        <v>16066</v>
      </c>
    </row>
    <row r="5324" spans="1:2">
      <c r="A5324" t="s">
        <v>16067</v>
      </c>
      <c r="B5324" t="s">
        <v>16068</v>
      </c>
    </row>
    <row r="5325" spans="1:2">
      <c r="A5325" t="s">
        <v>16067</v>
      </c>
      <c r="B5325" t="s">
        <v>16069</v>
      </c>
    </row>
    <row r="5326" spans="1:2">
      <c r="A5326" t="s">
        <v>16070</v>
      </c>
      <c r="B5326" t="s">
        <v>16071</v>
      </c>
    </row>
    <row r="5327" spans="1:2">
      <c r="A5327" t="s">
        <v>16070</v>
      </c>
      <c r="B5327" t="s">
        <v>16072</v>
      </c>
    </row>
    <row r="5328" spans="1:2">
      <c r="A5328" t="s">
        <v>16073</v>
      </c>
      <c r="B5328" t="s">
        <v>16074</v>
      </c>
    </row>
    <row r="5329" spans="1:2">
      <c r="A5329" t="s">
        <v>16073</v>
      </c>
      <c r="B5329" t="s">
        <v>16075</v>
      </c>
    </row>
    <row r="5330" spans="1:2">
      <c r="A5330" t="s">
        <v>16076</v>
      </c>
      <c r="B5330" t="s">
        <v>16077</v>
      </c>
    </row>
    <row r="5331" spans="1:2">
      <c r="A5331" t="s">
        <v>16076</v>
      </c>
      <c r="B5331" t="s">
        <v>16078</v>
      </c>
    </row>
    <row r="5332" spans="1:2">
      <c r="A5332" t="s">
        <v>16079</v>
      </c>
      <c r="B5332" t="s">
        <v>16080</v>
      </c>
    </row>
    <row r="5333" spans="1:2">
      <c r="A5333" t="s">
        <v>16079</v>
      </c>
      <c r="B5333" t="s">
        <v>16081</v>
      </c>
    </row>
    <row r="5334" spans="1:2">
      <c r="A5334" t="s">
        <v>16082</v>
      </c>
      <c r="B5334" t="s">
        <v>16083</v>
      </c>
    </row>
    <row r="5335" spans="1:2">
      <c r="A5335" t="s">
        <v>16082</v>
      </c>
      <c r="B5335" t="s">
        <v>16084</v>
      </c>
    </row>
    <row r="5336" spans="1:2">
      <c r="A5336" t="s">
        <v>16085</v>
      </c>
      <c r="B5336" t="s">
        <v>16086</v>
      </c>
    </row>
    <row r="5337" spans="1:2">
      <c r="A5337" t="s">
        <v>16087</v>
      </c>
      <c r="B5337" t="s">
        <v>16088</v>
      </c>
    </row>
    <row r="5338" spans="1:2">
      <c r="A5338" t="s">
        <v>16089</v>
      </c>
      <c r="B5338" t="s">
        <v>16090</v>
      </c>
    </row>
    <row r="5339" spans="1:2">
      <c r="A5339" t="s">
        <v>16091</v>
      </c>
      <c r="B5339" t="s">
        <v>8366</v>
      </c>
    </row>
    <row r="5340" spans="1:2">
      <c r="A5340" t="s">
        <v>16092</v>
      </c>
      <c r="B5340" t="s">
        <v>8457</v>
      </c>
    </row>
    <row r="5341" spans="1:2">
      <c r="A5341" t="s">
        <v>16093</v>
      </c>
      <c r="B5341" t="s">
        <v>1783</v>
      </c>
    </row>
    <row r="5342" spans="1:2">
      <c r="A5342" t="s">
        <v>16094</v>
      </c>
      <c r="B5342" t="s">
        <v>16095</v>
      </c>
    </row>
    <row r="5343" spans="1:2">
      <c r="A5343" t="s">
        <v>16096</v>
      </c>
      <c r="B5343" t="s">
        <v>16097</v>
      </c>
    </row>
    <row r="5344" spans="1:2">
      <c r="A5344" t="s">
        <v>16098</v>
      </c>
      <c r="B5344" t="s">
        <v>16099</v>
      </c>
    </row>
    <row r="5345" spans="1:2">
      <c r="A5345" t="s">
        <v>16100</v>
      </c>
      <c r="B5345" t="s">
        <v>16101</v>
      </c>
    </row>
    <row r="5346" spans="1:2">
      <c r="A5346" t="s">
        <v>16102</v>
      </c>
      <c r="B5346" t="s">
        <v>16103</v>
      </c>
    </row>
    <row r="5347" spans="1:2">
      <c r="A5347" t="s">
        <v>16104</v>
      </c>
      <c r="B5347" t="s">
        <v>16105</v>
      </c>
    </row>
    <row r="5348" spans="1:2">
      <c r="A5348" t="s">
        <v>16106</v>
      </c>
      <c r="B5348" t="s">
        <v>16107</v>
      </c>
    </row>
    <row r="5349" spans="1:2">
      <c r="A5349" t="s">
        <v>16108</v>
      </c>
      <c r="B5349" t="s">
        <v>16109</v>
      </c>
    </row>
    <row r="5350" spans="1:2">
      <c r="A5350" t="s">
        <v>16110</v>
      </c>
      <c r="B5350" t="s">
        <v>16111</v>
      </c>
    </row>
    <row r="5351" spans="1:2">
      <c r="A5351" t="s">
        <v>16112</v>
      </c>
      <c r="B5351" t="s">
        <v>2187</v>
      </c>
    </row>
    <row r="5352" spans="1:2">
      <c r="A5352" t="s">
        <v>16113</v>
      </c>
      <c r="B5352" t="s">
        <v>1049</v>
      </c>
    </row>
    <row r="5353" spans="1:2">
      <c r="A5353" t="s">
        <v>16114</v>
      </c>
      <c r="B5353" t="s">
        <v>16115</v>
      </c>
    </row>
    <row r="5354" spans="1:2">
      <c r="A5354" t="s">
        <v>16116</v>
      </c>
      <c r="B5354" t="s">
        <v>16117</v>
      </c>
    </row>
    <row r="5355" spans="1:2">
      <c r="A5355" t="s">
        <v>16118</v>
      </c>
      <c r="B5355" t="s">
        <v>16119</v>
      </c>
    </row>
    <row r="5356" spans="1:2">
      <c r="A5356" t="s">
        <v>16120</v>
      </c>
      <c r="B5356" t="s">
        <v>16121</v>
      </c>
    </row>
    <row r="5357" spans="1:2">
      <c r="A5357" t="s">
        <v>16122</v>
      </c>
      <c r="B5357" t="s">
        <v>16123</v>
      </c>
    </row>
    <row r="5358" spans="1:2">
      <c r="A5358" t="s">
        <v>16124</v>
      </c>
      <c r="B5358" t="s">
        <v>16125</v>
      </c>
    </row>
    <row r="5359" spans="1:2">
      <c r="A5359" t="s">
        <v>16126</v>
      </c>
      <c r="B5359" t="s">
        <v>16127</v>
      </c>
    </row>
    <row r="5360" spans="1:2">
      <c r="A5360" t="s">
        <v>16128</v>
      </c>
      <c r="B5360" t="s">
        <v>16129</v>
      </c>
    </row>
    <row r="5361" spans="1:2">
      <c r="A5361" t="s">
        <v>16130</v>
      </c>
      <c r="B5361" t="s">
        <v>16131</v>
      </c>
    </row>
    <row r="5362" spans="1:2">
      <c r="A5362" t="s">
        <v>16132</v>
      </c>
      <c r="B5362" t="s">
        <v>16133</v>
      </c>
    </row>
    <row r="5363" spans="1:2">
      <c r="A5363" t="s">
        <v>16134</v>
      </c>
      <c r="B5363" t="s">
        <v>16135</v>
      </c>
    </row>
    <row r="5364" spans="1:2">
      <c r="A5364" t="s">
        <v>16136</v>
      </c>
      <c r="B5364" t="s">
        <v>16137</v>
      </c>
    </row>
    <row r="5365" spans="1:2">
      <c r="A5365" t="s">
        <v>16138</v>
      </c>
      <c r="B5365" t="s">
        <v>16139</v>
      </c>
    </row>
    <row r="5366" spans="1:2">
      <c r="A5366" t="s">
        <v>16140</v>
      </c>
      <c r="B5366" t="s">
        <v>16141</v>
      </c>
    </row>
    <row r="5367" spans="1:2">
      <c r="A5367" t="s">
        <v>16142</v>
      </c>
      <c r="B5367" t="s">
        <v>16143</v>
      </c>
    </row>
    <row r="5368" spans="1:2">
      <c r="A5368" t="s">
        <v>16144</v>
      </c>
      <c r="B5368" t="s">
        <v>16145</v>
      </c>
    </row>
    <row r="5369" spans="1:2">
      <c r="A5369" t="s">
        <v>16146</v>
      </c>
      <c r="B5369" t="s">
        <v>16147</v>
      </c>
    </row>
    <row r="5370" spans="1:2">
      <c r="A5370" t="s">
        <v>16148</v>
      </c>
      <c r="B5370" t="s">
        <v>16149</v>
      </c>
    </row>
    <row r="5371" spans="1:2">
      <c r="A5371" t="s">
        <v>16150</v>
      </c>
      <c r="B5371" t="s">
        <v>16151</v>
      </c>
    </row>
    <row r="5372" spans="1:2">
      <c r="A5372" t="s">
        <v>16152</v>
      </c>
      <c r="B5372" t="s">
        <v>16153</v>
      </c>
    </row>
    <row r="5373" spans="1:2">
      <c r="A5373" t="s">
        <v>16154</v>
      </c>
      <c r="B5373" t="s">
        <v>16155</v>
      </c>
    </row>
    <row r="5374" spans="1:2">
      <c r="A5374" t="s">
        <v>16156</v>
      </c>
      <c r="B5374" t="s">
        <v>16157</v>
      </c>
    </row>
    <row r="5375" spans="1:2">
      <c r="A5375" t="s">
        <v>16158</v>
      </c>
      <c r="B5375" t="s">
        <v>16159</v>
      </c>
    </row>
    <row r="5376" spans="1:2">
      <c r="A5376" t="s">
        <v>16160</v>
      </c>
      <c r="B5376" t="s">
        <v>16161</v>
      </c>
    </row>
    <row r="5377" spans="1:2">
      <c r="A5377" t="s">
        <v>16162</v>
      </c>
      <c r="B5377" t="s">
        <v>16163</v>
      </c>
    </row>
    <row r="5378" spans="1:2">
      <c r="A5378" t="s">
        <v>16164</v>
      </c>
      <c r="B5378" t="s">
        <v>16165</v>
      </c>
    </row>
    <row r="5379" spans="1:2">
      <c r="A5379" t="s">
        <v>16166</v>
      </c>
      <c r="B5379" t="s">
        <v>16167</v>
      </c>
    </row>
    <row r="5380" spans="1:2">
      <c r="A5380" t="s">
        <v>16168</v>
      </c>
      <c r="B5380" t="s">
        <v>16169</v>
      </c>
    </row>
    <row r="5381" spans="1:2">
      <c r="A5381" t="s">
        <v>16170</v>
      </c>
      <c r="B5381" t="s">
        <v>16171</v>
      </c>
    </row>
    <row r="5382" spans="1:2">
      <c r="A5382" t="s">
        <v>16172</v>
      </c>
      <c r="B5382" t="s">
        <v>16173</v>
      </c>
    </row>
    <row r="5383" spans="1:2">
      <c r="A5383" t="s">
        <v>16174</v>
      </c>
      <c r="B5383" t="s">
        <v>16175</v>
      </c>
    </row>
    <row r="5384" spans="1:2">
      <c r="A5384" t="s">
        <v>16176</v>
      </c>
      <c r="B5384" t="s">
        <v>16177</v>
      </c>
    </row>
    <row r="5385" spans="1:2">
      <c r="A5385" t="s">
        <v>16178</v>
      </c>
      <c r="B5385" t="s">
        <v>16179</v>
      </c>
    </row>
    <row r="5386" spans="1:2">
      <c r="A5386" t="s">
        <v>16180</v>
      </c>
      <c r="B5386" t="s">
        <v>16181</v>
      </c>
    </row>
    <row r="5387" spans="1:2">
      <c r="A5387" t="s">
        <v>16182</v>
      </c>
      <c r="B5387" t="s">
        <v>16183</v>
      </c>
    </row>
    <row r="5388" spans="1:2">
      <c r="A5388" t="s">
        <v>16184</v>
      </c>
      <c r="B5388" t="s">
        <v>16185</v>
      </c>
    </row>
    <row r="5389" spans="1:2">
      <c r="A5389" t="s">
        <v>16186</v>
      </c>
      <c r="B5389" t="s">
        <v>16187</v>
      </c>
    </row>
    <row r="5390" spans="1:2">
      <c r="A5390" t="s">
        <v>16188</v>
      </c>
      <c r="B5390" t="s">
        <v>16189</v>
      </c>
    </row>
    <row r="5391" spans="1:2">
      <c r="A5391" t="s">
        <v>16190</v>
      </c>
      <c r="B5391" t="s">
        <v>16191</v>
      </c>
    </row>
    <row r="5392" spans="1:2">
      <c r="A5392" t="s">
        <v>16192</v>
      </c>
      <c r="B5392" t="s">
        <v>16193</v>
      </c>
    </row>
    <row r="5393" spans="1:2">
      <c r="A5393" t="s">
        <v>16194</v>
      </c>
      <c r="B5393" t="s">
        <v>16195</v>
      </c>
    </row>
    <row r="5394" spans="1:2">
      <c r="A5394" t="s">
        <v>16196</v>
      </c>
      <c r="B5394" t="s">
        <v>16197</v>
      </c>
    </row>
    <row r="5395" spans="1:2">
      <c r="A5395" t="s">
        <v>16198</v>
      </c>
      <c r="B5395" t="s">
        <v>16199</v>
      </c>
    </row>
    <row r="5396" spans="1:2">
      <c r="A5396" t="s">
        <v>16200</v>
      </c>
      <c r="B5396" t="s">
        <v>16201</v>
      </c>
    </row>
    <row r="5397" spans="1:2">
      <c r="A5397" t="s">
        <v>16202</v>
      </c>
      <c r="B5397" t="s">
        <v>16203</v>
      </c>
    </row>
    <row r="5398" spans="1:2">
      <c r="A5398" t="s">
        <v>16204</v>
      </c>
      <c r="B5398" t="s">
        <v>16205</v>
      </c>
    </row>
    <row r="5399" spans="1:2">
      <c r="A5399" t="s">
        <v>16206</v>
      </c>
      <c r="B5399" t="s">
        <v>16207</v>
      </c>
    </row>
    <row r="5400" spans="1:2">
      <c r="A5400" t="s">
        <v>16208</v>
      </c>
      <c r="B5400" t="s">
        <v>16209</v>
      </c>
    </row>
    <row r="5401" spans="1:2">
      <c r="A5401" t="s">
        <v>16210</v>
      </c>
      <c r="B5401" t="s">
        <v>16211</v>
      </c>
    </row>
    <row r="5402" spans="1:2">
      <c r="A5402" t="s">
        <v>16212</v>
      </c>
      <c r="B5402" t="s">
        <v>16213</v>
      </c>
    </row>
    <row r="5403" spans="1:2">
      <c r="A5403" t="s">
        <v>16214</v>
      </c>
      <c r="B5403" t="s">
        <v>16215</v>
      </c>
    </row>
    <row r="5404" spans="1:2">
      <c r="A5404" t="s">
        <v>16216</v>
      </c>
      <c r="B5404" t="s">
        <v>16217</v>
      </c>
    </row>
    <row r="5405" spans="1:2">
      <c r="A5405" t="s">
        <v>16218</v>
      </c>
      <c r="B5405" t="s">
        <v>16219</v>
      </c>
    </row>
    <row r="5406" spans="1:2">
      <c r="A5406" t="s">
        <v>16220</v>
      </c>
      <c r="B5406" t="s">
        <v>16221</v>
      </c>
    </row>
    <row r="5407" spans="1:2">
      <c r="A5407" t="s">
        <v>16222</v>
      </c>
      <c r="B5407" t="s">
        <v>2318</v>
      </c>
    </row>
    <row r="5408" spans="1:2">
      <c r="A5408" t="s">
        <v>16223</v>
      </c>
      <c r="B5408" t="s">
        <v>16224</v>
      </c>
    </row>
    <row r="5409" spans="1:2">
      <c r="A5409" t="s">
        <v>16225</v>
      </c>
      <c r="B5409" t="s">
        <v>16226</v>
      </c>
    </row>
    <row r="5410" spans="1:2">
      <c r="A5410" t="s">
        <v>16227</v>
      </c>
      <c r="B5410" t="s">
        <v>16228</v>
      </c>
    </row>
    <row r="5411" spans="1:2">
      <c r="A5411" t="s">
        <v>16229</v>
      </c>
      <c r="B5411" t="s">
        <v>16230</v>
      </c>
    </row>
    <row r="5412" spans="1:2">
      <c r="A5412" t="s">
        <v>16231</v>
      </c>
      <c r="B5412" t="s">
        <v>16232</v>
      </c>
    </row>
    <row r="5413" spans="1:2">
      <c r="A5413" t="s">
        <v>16233</v>
      </c>
      <c r="B5413" t="s">
        <v>16234</v>
      </c>
    </row>
    <row r="5414" spans="1:2">
      <c r="A5414" t="s">
        <v>16235</v>
      </c>
      <c r="B5414" t="s">
        <v>16236</v>
      </c>
    </row>
    <row r="5415" spans="1:2">
      <c r="A5415" t="s">
        <v>16237</v>
      </c>
      <c r="B5415" t="s">
        <v>16238</v>
      </c>
    </row>
    <row r="5416" spans="1:2">
      <c r="A5416" t="s">
        <v>16239</v>
      </c>
      <c r="B5416" t="s">
        <v>16240</v>
      </c>
    </row>
    <row r="5417" spans="1:2">
      <c r="A5417" t="s">
        <v>16241</v>
      </c>
      <c r="B5417" t="s">
        <v>16242</v>
      </c>
    </row>
    <row r="5418" spans="1:2">
      <c r="A5418" t="s">
        <v>16243</v>
      </c>
      <c r="B5418" t="s">
        <v>16244</v>
      </c>
    </row>
    <row r="5419" spans="1:2">
      <c r="A5419" t="s">
        <v>16245</v>
      </c>
      <c r="B5419" t="s">
        <v>16246</v>
      </c>
    </row>
    <row r="5420" spans="1:2">
      <c r="A5420" t="s">
        <v>16247</v>
      </c>
      <c r="B5420" t="s">
        <v>16248</v>
      </c>
    </row>
    <row r="5421" spans="1:2">
      <c r="A5421" t="s">
        <v>16249</v>
      </c>
      <c r="B5421" t="s">
        <v>16250</v>
      </c>
    </row>
    <row r="5422" spans="1:2">
      <c r="A5422" t="s">
        <v>16251</v>
      </c>
      <c r="B5422" t="s">
        <v>16252</v>
      </c>
    </row>
    <row r="5423" spans="1:2">
      <c r="A5423" t="s">
        <v>16253</v>
      </c>
      <c r="B5423" t="s">
        <v>16254</v>
      </c>
    </row>
    <row r="5424" spans="1:2">
      <c r="A5424" t="s">
        <v>16255</v>
      </c>
      <c r="B5424" t="s">
        <v>16256</v>
      </c>
    </row>
    <row r="5425" spans="1:2">
      <c r="A5425" t="s">
        <v>16255</v>
      </c>
      <c r="B5425" t="s">
        <v>16256</v>
      </c>
    </row>
    <row r="5426" spans="1:2">
      <c r="A5426" t="s">
        <v>16257</v>
      </c>
      <c r="B5426" t="s">
        <v>16258</v>
      </c>
    </row>
    <row r="5427" spans="1:2">
      <c r="A5427" t="s">
        <v>16257</v>
      </c>
      <c r="B5427" t="s">
        <v>16259</v>
      </c>
    </row>
    <row r="5428" spans="1:2">
      <c r="A5428" t="s">
        <v>16260</v>
      </c>
      <c r="B5428" t="s">
        <v>16261</v>
      </c>
    </row>
    <row r="5429" spans="1:2">
      <c r="A5429" t="s">
        <v>16260</v>
      </c>
      <c r="B5429" t="s">
        <v>16262</v>
      </c>
    </row>
    <row r="5430" spans="1:2">
      <c r="A5430" t="s">
        <v>16263</v>
      </c>
      <c r="B5430" t="s">
        <v>16264</v>
      </c>
    </row>
    <row r="5431" spans="1:2">
      <c r="A5431" t="s">
        <v>16263</v>
      </c>
      <c r="B5431" t="s">
        <v>16265</v>
      </c>
    </row>
    <row r="5432" spans="1:2">
      <c r="A5432" t="s">
        <v>16266</v>
      </c>
      <c r="B5432" t="s">
        <v>16267</v>
      </c>
    </row>
    <row r="5433" spans="1:2">
      <c r="A5433" t="s">
        <v>16266</v>
      </c>
      <c r="B5433" t="s">
        <v>16268</v>
      </c>
    </row>
    <row r="5434" spans="1:2">
      <c r="A5434" t="s">
        <v>16269</v>
      </c>
      <c r="B5434" t="s">
        <v>16270</v>
      </c>
    </row>
    <row r="5435" spans="1:2">
      <c r="A5435" t="s">
        <v>16269</v>
      </c>
      <c r="B5435" t="s">
        <v>16270</v>
      </c>
    </row>
    <row r="5436" spans="1:2">
      <c r="A5436" t="s">
        <v>16271</v>
      </c>
      <c r="B5436" t="s">
        <v>16272</v>
      </c>
    </row>
    <row r="5437" spans="1:2">
      <c r="A5437" t="s">
        <v>16271</v>
      </c>
      <c r="B5437" t="s">
        <v>16272</v>
      </c>
    </row>
    <row r="5438" spans="1:2">
      <c r="A5438" t="s">
        <v>16273</v>
      </c>
      <c r="B5438" t="s">
        <v>16274</v>
      </c>
    </row>
    <row r="5439" spans="1:2">
      <c r="A5439" t="s">
        <v>16273</v>
      </c>
      <c r="B5439" t="s">
        <v>16275</v>
      </c>
    </row>
    <row r="5440" spans="1:2">
      <c r="A5440" t="s">
        <v>16276</v>
      </c>
      <c r="B5440" t="s">
        <v>16277</v>
      </c>
    </row>
    <row r="5441" spans="1:2">
      <c r="A5441" t="s">
        <v>16276</v>
      </c>
      <c r="B5441" t="s">
        <v>16278</v>
      </c>
    </row>
    <row r="5442" spans="1:2">
      <c r="A5442" t="s">
        <v>16279</v>
      </c>
      <c r="B5442" t="s">
        <v>16280</v>
      </c>
    </row>
    <row r="5443" spans="1:2">
      <c r="A5443" t="s">
        <v>16279</v>
      </c>
      <c r="B5443" t="s">
        <v>16280</v>
      </c>
    </row>
    <row r="5444" spans="1:2">
      <c r="A5444" t="s">
        <v>16281</v>
      </c>
      <c r="B5444" t="s">
        <v>16282</v>
      </c>
    </row>
    <row r="5445" spans="1:2">
      <c r="A5445" t="s">
        <v>16281</v>
      </c>
      <c r="B5445" t="s">
        <v>16283</v>
      </c>
    </row>
    <row r="5446" spans="1:2">
      <c r="A5446" t="s">
        <v>16284</v>
      </c>
      <c r="B5446" t="s">
        <v>16285</v>
      </c>
    </row>
    <row r="5447" spans="1:2">
      <c r="A5447" t="s">
        <v>16284</v>
      </c>
      <c r="B5447" t="s">
        <v>16286</v>
      </c>
    </row>
    <row r="5448" spans="1:2">
      <c r="A5448" t="s">
        <v>16287</v>
      </c>
      <c r="B5448" t="s">
        <v>16288</v>
      </c>
    </row>
    <row r="5449" spans="1:2">
      <c r="A5449" t="s">
        <v>16287</v>
      </c>
      <c r="B5449" t="s">
        <v>16289</v>
      </c>
    </row>
    <row r="5450" spans="1:2">
      <c r="A5450" t="s">
        <v>16290</v>
      </c>
      <c r="B5450" t="s">
        <v>16291</v>
      </c>
    </row>
    <row r="5451" spans="1:2">
      <c r="A5451" t="s">
        <v>16292</v>
      </c>
      <c r="B5451" t="s">
        <v>16293</v>
      </c>
    </row>
    <row r="5452" spans="1:2">
      <c r="A5452" t="s">
        <v>16294</v>
      </c>
      <c r="B5452" t="s">
        <v>16295</v>
      </c>
    </row>
    <row r="5453" spans="1:2">
      <c r="A5453" t="s">
        <v>16296</v>
      </c>
      <c r="B5453" t="s">
        <v>16297</v>
      </c>
    </row>
    <row r="5454" spans="1:2">
      <c r="A5454" t="s">
        <v>16298</v>
      </c>
      <c r="B5454" t="s">
        <v>16299</v>
      </c>
    </row>
    <row r="5455" spans="1:2">
      <c r="A5455" t="s">
        <v>16300</v>
      </c>
      <c r="B5455" t="s">
        <v>16301</v>
      </c>
    </row>
    <row r="5456" spans="1:2">
      <c r="A5456" t="s">
        <v>16302</v>
      </c>
      <c r="B5456" t="s">
        <v>16303</v>
      </c>
    </row>
    <row r="5457" spans="1:2">
      <c r="A5457" t="s">
        <v>16304</v>
      </c>
      <c r="B5457" t="s">
        <v>16305</v>
      </c>
    </row>
    <row r="5458" spans="1:2">
      <c r="A5458" t="s">
        <v>16306</v>
      </c>
      <c r="B5458" t="s">
        <v>16307</v>
      </c>
    </row>
    <row r="5459" spans="1:2">
      <c r="A5459" t="s">
        <v>16308</v>
      </c>
      <c r="B5459" t="s">
        <v>16309</v>
      </c>
    </row>
    <row r="5460" spans="1:2">
      <c r="A5460" t="s">
        <v>16310</v>
      </c>
      <c r="B5460" t="s">
        <v>16311</v>
      </c>
    </row>
    <row r="5461" spans="1:2">
      <c r="A5461" t="s">
        <v>16312</v>
      </c>
      <c r="B5461" t="s">
        <v>16313</v>
      </c>
    </row>
    <row r="5462" spans="1:2">
      <c r="A5462" t="s">
        <v>16314</v>
      </c>
      <c r="B5462" t="s">
        <v>16315</v>
      </c>
    </row>
    <row r="5463" spans="1:2">
      <c r="A5463" t="s">
        <v>16316</v>
      </c>
      <c r="B5463" t="s">
        <v>16317</v>
      </c>
    </row>
    <row r="5464" spans="1:2">
      <c r="A5464" t="s">
        <v>16318</v>
      </c>
      <c r="B5464" t="s">
        <v>16319</v>
      </c>
    </row>
    <row r="5465" spans="1:2">
      <c r="A5465" t="s">
        <v>16320</v>
      </c>
      <c r="B5465" t="s">
        <v>16321</v>
      </c>
    </row>
    <row r="5466" spans="1:2">
      <c r="A5466" t="s">
        <v>16322</v>
      </c>
      <c r="B5466" t="s">
        <v>16323</v>
      </c>
    </row>
    <row r="5467" spans="1:2">
      <c r="A5467" t="s">
        <v>16324</v>
      </c>
      <c r="B5467" t="s">
        <v>16325</v>
      </c>
    </row>
    <row r="5468" spans="1:2">
      <c r="A5468" t="s">
        <v>16326</v>
      </c>
      <c r="B5468" t="s">
        <v>16327</v>
      </c>
    </row>
    <row r="5469" spans="1:2">
      <c r="A5469" t="s">
        <v>16328</v>
      </c>
      <c r="B5469" t="s">
        <v>16329</v>
      </c>
    </row>
    <row r="5470" spans="1:2">
      <c r="A5470" t="s">
        <v>16330</v>
      </c>
      <c r="B5470" t="s">
        <v>16331</v>
      </c>
    </row>
    <row r="5471" spans="1:2">
      <c r="A5471" t="s">
        <v>16332</v>
      </c>
      <c r="B5471" t="s">
        <v>16333</v>
      </c>
    </row>
    <row r="5472" spans="1:2">
      <c r="A5472" t="s">
        <v>16334</v>
      </c>
      <c r="B5472" t="s">
        <v>16335</v>
      </c>
    </row>
    <row r="5473" spans="1:2">
      <c r="A5473" t="s">
        <v>16336</v>
      </c>
      <c r="B5473" t="s">
        <v>16337</v>
      </c>
    </row>
    <row r="5474" spans="1:2">
      <c r="A5474" t="s">
        <v>16338</v>
      </c>
      <c r="B5474" t="s">
        <v>16339</v>
      </c>
    </row>
    <row r="5475" spans="1:2">
      <c r="A5475" t="s">
        <v>16340</v>
      </c>
      <c r="B5475" t="s">
        <v>16341</v>
      </c>
    </row>
    <row r="5476" spans="1:2">
      <c r="A5476" t="s">
        <v>16342</v>
      </c>
      <c r="B5476" t="s">
        <v>16343</v>
      </c>
    </row>
    <row r="5477" spans="1:2">
      <c r="A5477" t="s">
        <v>16344</v>
      </c>
      <c r="B5477" t="s">
        <v>16345</v>
      </c>
    </row>
    <row r="5478" spans="1:2">
      <c r="A5478" t="s">
        <v>16346</v>
      </c>
      <c r="B5478" t="s">
        <v>16347</v>
      </c>
    </row>
    <row r="5479" spans="1:2">
      <c r="A5479" t="s">
        <v>16348</v>
      </c>
      <c r="B5479" t="s">
        <v>16349</v>
      </c>
    </row>
    <row r="5480" spans="1:2">
      <c r="A5480" t="s">
        <v>16350</v>
      </c>
      <c r="B5480" t="s">
        <v>16351</v>
      </c>
    </row>
    <row r="5481" spans="1:2">
      <c r="A5481" t="s">
        <v>16350</v>
      </c>
      <c r="B5481" t="s">
        <v>16351</v>
      </c>
    </row>
    <row r="5482" spans="1:2">
      <c r="A5482" t="s">
        <v>16352</v>
      </c>
      <c r="B5482" t="s">
        <v>16353</v>
      </c>
    </row>
    <row r="5483" spans="1:2">
      <c r="A5483" t="s">
        <v>16352</v>
      </c>
      <c r="B5483" t="s">
        <v>16353</v>
      </c>
    </row>
    <row r="5484" spans="1:2">
      <c r="A5484" t="s">
        <v>16354</v>
      </c>
      <c r="B5484" t="s">
        <v>16355</v>
      </c>
    </row>
    <row r="5485" spans="1:2">
      <c r="A5485" t="s">
        <v>16354</v>
      </c>
      <c r="B5485" t="s">
        <v>16355</v>
      </c>
    </row>
    <row r="5486" spans="1:2">
      <c r="A5486" t="s">
        <v>16356</v>
      </c>
      <c r="B5486" t="s">
        <v>16357</v>
      </c>
    </row>
    <row r="5487" spans="1:2">
      <c r="A5487" t="s">
        <v>16356</v>
      </c>
      <c r="B5487" t="s">
        <v>16357</v>
      </c>
    </row>
    <row r="5488" spans="1:2">
      <c r="A5488" t="s">
        <v>16358</v>
      </c>
      <c r="B5488" t="s">
        <v>16359</v>
      </c>
    </row>
    <row r="5489" spans="1:2">
      <c r="A5489" t="s">
        <v>16358</v>
      </c>
      <c r="B5489" t="s">
        <v>16359</v>
      </c>
    </row>
    <row r="5490" spans="1:2">
      <c r="A5490" t="s">
        <v>16360</v>
      </c>
      <c r="B5490" t="s">
        <v>16361</v>
      </c>
    </row>
    <row r="5491" spans="1:2">
      <c r="A5491" t="s">
        <v>16362</v>
      </c>
      <c r="B5491" t="s">
        <v>16363</v>
      </c>
    </row>
    <row r="5492" spans="1:2">
      <c r="A5492" t="s">
        <v>16364</v>
      </c>
      <c r="B5492" t="s">
        <v>16365</v>
      </c>
    </row>
    <row r="5493" spans="1:2">
      <c r="A5493" t="s">
        <v>16366</v>
      </c>
      <c r="B5493" t="s">
        <v>16367</v>
      </c>
    </row>
    <row r="5494" spans="1:2">
      <c r="A5494" t="s">
        <v>16368</v>
      </c>
      <c r="B5494" t="s">
        <v>16369</v>
      </c>
    </row>
    <row r="5495" spans="1:2">
      <c r="A5495" t="s">
        <v>16370</v>
      </c>
      <c r="B5495" t="s">
        <v>16371</v>
      </c>
    </row>
    <row r="5496" spans="1:2">
      <c r="A5496" t="s">
        <v>16372</v>
      </c>
      <c r="B5496" t="s">
        <v>16373</v>
      </c>
    </row>
    <row r="5497" spans="1:2">
      <c r="A5497" t="s">
        <v>16374</v>
      </c>
      <c r="B5497" t="s">
        <v>16375</v>
      </c>
    </row>
    <row r="5498" spans="1:2">
      <c r="A5498" t="s">
        <v>16376</v>
      </c>
      <c r="B5498" t="s">
        <v>16377</v>
      </c>
    </row>
    <row r="5499" spans="1:2">
      <c r="A5499" t="s">
        <v>16378</v>
      </c>
      <c r="B5499" t="s">
        <v>16379</v>
      </c>
    </row>
    <row r="5500" spans="1:2">
      <c r="A5500" t="s">
        <v>16380</v>
      </c>
      <c r="B5500" t="s">
        <v>16381</v>
      </c>
    </row>
    <row r="5501" spans="1:2">
      <c r="A5501" t="s">
        <v>16382</v>
      </c>
      <c r="B5501" t="s">
        <v>16383</v>
      </c>
    </row>
    <row r="5502" spans="1:2">
      <c r="A5502" t="s">
        <v>16384</v>
      </c>
      <c r="B5502" t="s">
        <v>16385</v>
      </c>
    </row>
    <row r="5503" spans="1:2">
      <c r="A5503" t="s">
        <v>16386</v>
      </c>
      <c r="B5503" t="s">
        <v>16387</v>
      </c>
    </row>
    <row r="5504" spans="1:2">
      <c r="A5504" t="s">
        <v>16388</v>
      </c>
      <c r="B5504" t="s">
        <v>16389</v>
      </c>
    </row>
    <row r="5505" spans="1:2">
      <c r="A5505" t="s">
        <v>16390</v>
      </c>
      <c r="B5505" t="s">
        <v>16391</v>
      </c>
    </row>
    <row r="5506" spans="1:2">
      <c r="A5506" t="s">
        <v>16392</v>
      </c>
      <c r="B5506" t="s">
        <v>16393</v>
      </c>
    </row>
    <row r="5507" spans="1:2">
      <c r="A5507" t="s">
        <v>16394</v>
      </c>
      <c r="B5507" t="s">
        <v>16395</v>
      </c>
    </row>
    <row r="5508" spans="1:2">
      <c r="A5508" t="s">
        <v>16396</v>
      </c>
      <c r="B5508" t="s">
        <v>16397</v>
      </c>
    </row>
    <row r="5509" spans="1:2">
      <c r="A5509" t="s">
        <v>16398</v>
      </c>
      <c r="B5509" t="s">
        <v>16399</v>
      </c>
    </row>
    <row r="5510" spans="1:2">
      <c r="A5510" t="s">
        <v>16400</v>
      </c>
      <c r="B5510" t="s">
        <v>16401</v>
      </c>
    </row>
    <row r="5511" spans="1:2">
      <c r="A5511" t="s">
        <v>16402</v>
      </c>
      <c r="B5511" t="s">
        <v>16403</v>
      </c>
    </row>
    <row r="5512" spans="1:2">
      <c r="A5512" t="s">
        <v>16404</v>
      </c>
      <c r="B5512" t="s">
        <v>16405</v>
      </c>
    </row>
    <row r="5513" spans="1:2">
      <c r="A5513" t="s">
        <v>16406</v>
      </c>
      <c r="B5513" t="s">
        <v>16407</v>
      </c>
    </row>
    <row r="5514" spans="1:2">
      <c r="A5514" t="s">
        <v>16408</v>
      </c>
      <c r="B5514" t="s">
        <v>16409</v>
      </c>
    </row>
    <row r="5515" spans="1:2">
      <c r="A5515" t="s">
        <v>16410</v>
      </c>
      <c r="B5515" t="s">
        <v>16411</v>
      </c>
    </row>
    <row r="5516" spans="1:2">
      <c r="A5516" t="s">
        <v>16412</v>
      </c>
      <c r="B5516" t="s">
        <v>16413</v>
      </c>
    </row>
    <row r="5517" spans="1:2">
      <c r="A5517" t="s">
        <v>16414</v>
      </c>
      <c r="B5517" t="s">
        <v>16415</v>
      </c>
    </row>
    <row r="5518" spans="1:2">
      <c r="A5518" t="s">
        <v>16416</v>
      </c>
      <c r="B5518" t="s">
        <v>16417</v>
      </c>
    </row>
    <row r="5519" spans="1:2">
      <c r="A5519" t="s">
        <v>16418</v>
      </c>
      <c r="B5519" t="s">
        <v>16419</v>
      </c>
    </row>
    <row r="5520" spans="1:2">
      <c r="A5520" t="s">
        <v>16420</v>
      </c>
      <c r="B5520" t="s">
        <v>16421</v>
      </c>
    </row>
    <row r="5521" spans="1:2">
      <c r="A5521" t="s">
        <v>16422</v>
      </c>
      <c r="B5521" t="s">
        <v>16423</v>
      </c>
    </row>
    <row r="5522" spans="1:2">
      <c r="A5522" t="s">
        <v>16424</v>
      </c>
      <c r="B5522" t="s">
        <v>16425</v>
      </c>
    </row>
    <row r="5523" spans="1:2">
      <c r="A5523" t="s">
        <v>16426</v>
      </c>
      <c r="B5523" t="s">
        <v>172</v>
      </c>
    </row>
    <row r="5524" spans="1:2">
      <c r="A5524" t="s">
        <v>16427</v>
      </c>
      <c r="B5524" t="s">
        <v>16428</v>
      </c>
    </row>
    <row r="5525" spans="1:2">
      <c r="A5525" t="s">
        <v>16429</v>
      </c>
      <c r="B5525" t="s">
        <v>16430</v>
      </c>
    </row>
    <row r="5526" spans="1:2">
      <c r="A5526" t="s">
        <v>16431</v>
      </c>
      <c r="B5526" t="s">
        <v>16432</v>
      </c>
    </row>
    <row r="5527" spans="1:2">
      <c r="A5527" t="s">
        <v>16433</v>
      </c>
      <c r="B5527" t="s">
        <v>16434</v>
      </c>
    </row>
    <row r="5528" spans="1:2">
      <c r="A5528" t="s">
        <v>16435</v>
      </c>
      <c r="B5528" t="s">
        <v>16436</v>
      </c>
    </row>
    <row r="5529" spans="1:2">
      <c r="A5529" t="s">
        <v>16437</v>
      </c>
      <c r="B5529" t="s">
        <v>16438</v>
      </c>
    </row>
    <row r="5530" spans="1:2">
      <c r="A5530" t="s">
        <v>16439</v>
      </c>
      <c r="B5530" t="s">
        <v>16440</v>
      </c>
    </row>
    <row r="5531" spans="1:2">
      <c r="A5531" t="s">
        <v>16441</v>
      </c>
      <c r="B5531" t="s">
        <v>16442</v>
      </c>
    </row>
    <row r="5532" spans="1:2">
      <c r="A5532" t="s">
        <v>16443</v>
      </c>
      <c r="B5532" t="s">
        <v>16444</v>
      </c>
    </row>
    <row r="5533" spans="1:2">
      <c r="A5533" t="s">
        <v>16445</v>
      </c>
      <c r="B5533" t="s">
        <v>16446</v>
      </c>
    </row>
    <row r="5534" spans="1:2">
      <c r="A5534" t="s">
        <v>16447</v>
      </c>
      <c r="B5534" t="s">
        <v>16448</v>
      </c>
    </row>
    <row r="5535" spans="1:2">
      <c r="A5535" t="s">
        <v>16449</v>
      </c>
      <c r="B5535" t="s">
        <v>16450</v>
      </c>
    </row>
    <row r="5536" spans="1:2">
      <c r="A5536" t="s">
        <v>16451</v>
      </c>
      <c r="B5536" t="s">
        <v>16452</v>
      </c>
    </row>
    <row r="5537" spans="1:2">
      <c r="A5537" t="s">
        <v>16453</v>
      </c>
      <c r="B5537" t="s">
        <v>16454</v>
      </c>
    </row>
    <row r="5538" spans="1:2">
      <c r="A5538" t="s">
        <v>16455</v>
      </c>
      <c r="B5538" t="s">
        <v>16456</v>
      </c>
    </row>
    <row r="5539" spans="1:2">
      <c r="A5539" t="s">
        <v>16457</v>
      </c>
      <c r="B5539" t="s">
        <v>16458</v>
      </c>
    </row>
    <row r="5540" spans="1:2">
      <c r="A5540" t="s">
        <v>16459</v>
      </c>
      <c r="B5540" t="s">
        <v>16460</v>
      </c>
    </row>
    <row r="5541" spans="1:2">
      <c r="A5541" t="s">
        <v>16461</v>
      </c>
      <c r="B5541" t="s">
        <v>16462</v>
      </c>
    </row>
    <row r="5542" spans="1:2">
      <c r="A5542" t="s">
        <v>16463</v>
      </c>
      <c r="B5542" t="s">
        <v>16464</v>
      </c>
    </row>
    <row r="5543" spans="1:2">
      <c r="A5543" t="s">
        <v>16465</v>
      </c>
      <c r="B5543" t="s">
        <v>16466</v>
      </c>
    </row>
    <row r="5544" spans="1:2">
      <c r="A5544" t="s">
        <v>16467</v>
      </c>
      <c r="B5544" t="s">
        <v>16468</v>
      </c>
    </row>
    <row r="5545" spans="1:2">
      <c r="A5545" t="s">
        <v>16469</v>
      </c>
      <c r="B5545" t="s">
        <v>16470</v>
      </c>
    </row>
    <row r="5546" spans="1:2">
      <c r="A5546" t="s">
        <v>16471</v>
      </c>
      <c r="B5546" t="s">
        <v>16472</v>
      </c>
    </row>
    <row r="5547" spans="1:2">
      <c r="A5547" t="s">
        <v>16473</v>
      </c>
      <c r="B5547" t="s">
        <v>16474</v>
      </c>
    </row>
    <row r="5548" spans="1:2">
      <c r="A5548" t="s">
        <v>16475</v>
      </c>
      <c r="B5548" t="s">
        <v>16476</v>
      </c>
    </row>
    <row r="5549" spans="1:2">
      <c r="A5549" t="s">
        <v>16477</v>
      </c>
      <c r="B5549" t="s">
        <v>16478</v>
      </c>
    </row>
    <row r="5550" spans="1:2">
      <c r="A5550" t="s">
        <v>16479</v>
      </c>
      <c r="B5550" t="s">
        <v>16480</v>
      </c>
    </row>
    <row r="5551" spans="1:2">
      <c r="A5551" t="s">
        <v>16481</v>
      </c>
      <c r="B5551" t="s">
        <v>16482</v>
      </c>
    </row>
    <row r="5552" spans="1:2">
      <c r="A5552" t="s">
        <v>16483</v>
      </c>
      <c r="B5552" t="s">
        <v>16484</v>
      </c>
    </row>
    <row r="5553" spans="1:2">
      <c r="A5553" t="s">
        <v>16485</v>
      </c>
      <c r="B5553" t="s">
        <v>16486</v>
      </c>
    </row>
    <row r="5554" spans="1:2">
      <c r="A5554" t="s">
        <v>16487</v>
      </c>
      <c r="B5554" t="s">
        <v>16488</v>
      </c>
    </row>
    <row r="5555" spans="1:2">
      <c r="A5555" t="s">
        <v>16489</v>
      </c>
      <c r="B5555" t="s">
        <v>16490</v>
      </c>
    </row>
    <row r="5556" spans="1:2">
      <c r="A5556" t="s">
        <v>16491</v>
      </c>
      <c r="B5556" t="s">
        <v>16492</v>
      </c>
    </row>
    <row r="5557" spans="1:2">
      <c r="A5557" t="s">
        <v>16493</v>
      </c>
      <c r="B5557" t="s">
        <v>16494</v>
      </c>
    </row>
    <row r="5558" spans="1:2">
      <c r="A5558" t="s">
        <v>16495</v>
      </c>
      <c r="B5558" t="s">
        <v>16496</v>
      </c>
    </row>
    <row r="5559" spans="1:2">
      <c r="A5559" t="s">
        <v>16497</v>
      </c>
      <c r="B5559" t="s">
        <v>16498</v>
      </c>
    </row>
    <row r="5560" spans="1:2">
      <c r="A5560" t="s">
        <v>16499</v>
      </c>
      <c r="B5560" t="s">
        <v>16500</v>
      </c>
    </row>
    <row r="5561" spans="1:2">
      <c r="A5561" t="s">
        <v>16501</v>
      </c>
      <c r="B5561" t="s">
        <v>16502</v>
      </c>
    </row>
    <row r="5562" spans="1:2">
      <c r="A5562" t="s">
        <v>16503</v>
      </c>
      <c r="B5562" t="s">
        <v>16504</v>
      </c>
    </row>
    <row r="5563" spans="1:2">
      <c r="A5563" t="s">
        <v>16505</v>
      </c>
      <c r="B5563" t="s">
        <v>16506</v>
      </c>
    </row>
    <row r="5564" spans="1:2">
      <c r="A5564" t="s">
        <v>16507</v>
      </c>
      <c r="B5564" t="s">
        <v>16508</v>
      </c>
    </row>
    <row r="5565" spans="1:2">
      <c r="A5565" t="s">
        <v>16509</v>
      </c>
      <c r="B5565" t="s">
        <v>16510</v>
      </c>
    </row>
    <row r="5566" spans="1:2">
      <c r="A5566" t="s">
        <v>16511</v>
      </c>
      <c r="B5566" t="s">
        <v>16512</v>
      </c>
    </row>
    <row r="5567" spans="1:2">
      <c r="A5567" t="s">
        <v>16513</v>
      </c>
      <c r="B5567" t="s">
        <v>16514</v>
      </c>
    </row>
    <row r="5568" spans="1:2">
      <c r="A5568" t="s">
        <v>16515</v>
      </c>
      <c r="B5568" t="s">
        <v>16516</v>
      </c>
    </row>
    <row r="5569" spans="1:2">
      <c r="A5569" t="s">
        <v>16517</v>
      </c>
      <c r="B5569" t="s">
        <v>16518</v>
      </c>
    </row>
    <row r="5570" spans="1:2">
      <c r="A5570" t="s">
        <v>16519</v>
      </c>
      <c r="B5570" t="s">
        <v>16520</v>
      </c>
    </row>
    <row r="5571" spans="1:2">
      <c r="A5571" t="s">
        <v>16521</v>
      </c>
      <c r="B5571" t="s">
        <v>16522</v>
      </c>
    </row>
    <row r="5572" spans="1:2">
      <c r="A5572" t="s">
        <v>16523</v>
      </c>
      <c r="B5572" t="s">
        <v>16524</v>
      </c>
    </row>
    <row r="5573" spans="1:2">
      <c r="A5573" t="s">
        <v>16525</v>
      </c>
      <c r="B5573" t="s">
        <v>16526</v>
      </c>
    </row>
    <row r="5574" spans="1:2">
      <c r="A5574" t="s">
        <v>16527</v>
      </c>
      <c r="B5574" t="s">
        <v>16528</v>
      </c>
    </row>
    <row r="5575" spans="1:2">
      <c r="A5575" t="s">
        <v>16529</v>
      </c>
      <c r="B5575" t="s">
        <v>16530</v>
      </c>
    </row>
    <row r="5576" spans="1:2">
      <c r="A5576" t="s">
        <v>16531</v>
      </c>
      <c r="B5576" t="s">
        <v>16532</v>
      </c>
    </row>
    <row r="5577" spans="1:2">
      <c r="A5577" t="s">
        <v>16533</v>
      </c>
      <c r="B5577" t="s">
        <v>16534</v>
      </c>
    </row>
    <row r="5578" spans="1:2">
      <c r="A5578" t="s">
        <v>16535</v>
      </c>
      <c r="B5578" t="s">
        <v>16536</v>
      </c>
    </row>
    <row r="5579" spans="1:2">
      <c r="A5579" t="s">
        <v>16537</v>
      </c>
      <c r="B5579" t="s">
        <v>16538</v>
      </c>
    </row>
    <row r="5580" spans="1:2">
      <c r="A5580" t="s">
        <v>16539</v>
      </c>
      <c r="B5580" t="s">
        <v>16540</v>
      </c>
    </row>
    <row r="5581" spans="1:2">
      <c r="A5581" t="s">
        <v>16541</v>
      </c>
      <c r="B5581" t="s">
        <v>16542</v>
      </c>
    </row>
    <row r="5582" spans="1:2">
      <c r="A5582" t="s">
        <v>16543</v>
      </c>
      <c r="B5582" t="s">
        <v>16544</v>
      </c>
    </row>
    <row r="5583" spans="1:2">
      <c r="A5583" t="s">
        <v>16545</v>
      </c>
      <c r="B5583" t="s">
        <v>16546</v>
      </c>
    </row>
    <row r="5584" spans="1:2">
      <c r="A5584" t="s">
        <v>16547</v>
      </c>
      <c r="B5584" t="s">
        <v>16548</v>
      </c>
    </row>
    <row r="5585" spans="1:2">
      <c r="A5585" t="s">
        <v>16549</v>
      </c>
      <c r="B5585" t="s">
        <v>16550</v>
      </c>
    </row>
    <row r="5586" spans="1:2">
      <c r="A5586" t="s">
        <v>16551</v>
      </c>
      <c r="B5586" t="s">
        <v>16552</v>
      </c>
    </row>
    <row r="5587" spans="1:2">
      <c r="A5587" t="s">
        <v>16553</v>
      </c>
      <c r="B5587" t="s">
        <v>16554</v>
      </c>
    </row>
    <row r="5588" spans="1:2">
      <c r="A5588" t="s">
        <v>16555</v>
      </c>
      <c r="B5588" t="s">
        <v>16556</v>
      </c>
    </row>
    <row r="5589" spans="1:2">
      <c r="A5589" t="s">
        <v>16557</v>
      </c>
      <c r="B5589" t="s">
        <v>16558</v>
      </c>
    </row>
    <row r="5590" spans="1:2">
      <c r="A5590" t="s">
        <v>16559</v>
      </c>
      <c r="B5590" t="s">
        <v>16560</v>
      </c>
    </row>
    <row r="5591" spans="1:2">
      <c r="A5591" t="s">
        <v>16561</v>
      </c>
      <c r="B5591" t="s">
        <v>16562</v>
      </c>
    </row>
    <row r="5592" spans="1:2">
      <c r="A5592" t="s">
        <v>16563</v>
      </c>
      <c r="B5592" t="s">
        <v>16564</v>
      </c>
    </row>
    <row r="5593" spans="1:2">
      <c r="A5593" t="s">
        <v>16565</v>
      </c>
      <c r="B5593" t="s">
        <v>16566</v>
      </c>
    </row>
    <row r="5594" spans="1:2">
      <c r="A5594" t="s">
        <v>16567</v>
      </c>
      <c r="B5594" t="s">
        <v>16568</v>
      </c>
    </row>
    <row r="5595" spans="1:2">
      <c r="A5595" t="s">
        <v>16569</v>
      </c>
      <c r="B5595" t="s">
        <v>16570</v>
      </c>
    </row>
    <row r="5596" spans="1:2">
      <c r="A5596" t="s">
        <v>16571</v>
      </c>
      <c r="B5596" t="s">
        <v>16572</v>
      </c>
    </row>
    <row r="5597" spans="1:2">
      <c r="A5597" t="s">
        <v>16573</v>
      </c>
      <c r="B5597" t="s">
        <v>16574</v>
      </c>
    </row>
    <row r="5598" spans="1:2">
      <c r="A5598" t="s">
        <v>16575</v>
      </c>
      <c r="B5598" t="s">
        <v>16576</v>
      </c>
    </row>
    <row r="5599" spans="1:2">
      <c r="A5599" t="s">
        <v>16577</v>
      </c>
      <c r="B5599" t="s">
        <v>370</v>
      </c>
    </row>
    <row r="5600" spans="1:2">
      <c r="A5600" t="s">
        <v>16578</v>
      </c>
      <c r="B5600" t="s">
        <v>1735</v>
      </c>
    </row>
    <row r="5601" spans="1:2">
      <c r="A5601" t="s">
        <v>16579</v>
      </c>
      <c r="B5601" t="s">
        <v>16580</v>
      </c>
    </row>
    <row r="5602" spans="1:2">
      <c r="A5602" t="s">
        <v>16581</v>
      </c>
      <c r="B5602" t="s">
        <v>16582</v>
      </c>
    </row>
    <row r="5603" spans="1:2">
      <c r="A5603" t="s">
        <v>16583</v>
      </c>
      <c r="B5603" t="s">
        <v>16584</v>
      </c>
    </row>
    <row r="5604" spans="1:2">
      <c r="A5604" t="s">
        <v>16585</v>
      </c>
      <c r="B5604" t="s">
        <v>16568</v>
      </c>
    </row>
    <row r="5605" spans="1:2">
      <c r="A5605" t="s">
        <v>16586</v>
      </c>
      <c r="B5605" t="s">
        <v>16570</v>
      </c>
    </row>
    <row r="5606" spans="1:2">
      <c r="A5606" t="s">
        <v>16587</v>
      </c>
      <c r="B5606" t="s">
        <v>16588</v>
      </c>
    </row>
    <row r="5607" spans="1:2">
      <c r="A5607" t="s">
        <v>16589</v>
      </c>
      <c r="B5607" t="s">
        <v>16590</v>
      </c>
    </row>
    <row r="5608" spans="1:2">
      <c r="A5608" t="s">
        <v>16591</v>
      </c>
      <c r="B5608" t="s">
        <v>16592</v>
      </c>
    </row>
    <row r="5609" spans="1:2">
      <c r="A5609" t="s">
        <v>16593</v>
      </c>
      <c r="B5609" t="s">
        <v>16594</v>
      </c>
    </row>
    <row r="5610" spans="1:2">
      <c r="A5610" t="s">
        <v>16595</v>
      </c>
      <c r="B5610" t="s">
        <v>16596</v>
      </c>
    </row>
    <row r="5611" spans="1:2">
      <c r="A5611" t="s">
        <v>16597</v>
      </c>
      <c r="B5611" t="s">
        <v>16598</v>
      </c>
    </row>
    <row r="5612" spans="1:2">
      <c r="A5612" t="s">
        <v>16599</v>
      </c>
      <c r="B5612" t="s">
        <v>16600</v>
      </c>
    </row>
    <row r="5613" spans="1:2">
      <c r="A5613" t="s">
        <v>16601</v>
      </c>
      <c r="B5613" t="s">
        <v>2364</v>
      </c>
    </row>
    <row r="5614" spans="1:2">
      <c r="A5614" t="s">
        <v>16602</v>
      </c>
      <c r="B5614" t="s">
        <v>16603</v>
      </c>
    </row>
    <row r="5615" spans="1:2">
      <c r="A5615" t="s">
        <v>16604</v>
      </c>
      <c r="B5615" t="s">
        <v>16605</v>
      </c>
    </row>
    <row r="5616" spans="1:2">
      <c r="A5616" t="s">
        <v>16606</v>
      </c>
      <c r="B5616" t="s">
        <v>16607</v>
      </c>
    </row>
    <row r="5617" spans="1:2">
      <c r="A5617" t="s">
        <v>16608</v>
      </c>
      <c r="B5617" t="s">
        <v>16609</v>
      </c>
    </row>
    <row r="5618" spans="1:2">
      <c r="A5618" t="s">
        <v>16610</v>
      </c>
      <c r="B5618" t="s">
        <v>16611</v>
      </c>
    </row>
    <row r="5619" spans="1:2">
      <c r="A5619" t="s">
        <v>16612</v>
      </c>
      <c r="B5619" t="s">
        <v>16613</v>
      </c>
    </row>
    <row r="5620" spans="1:2">
      <c r="A5620" t="s">
        <v>16614</v>
      </c>
      <c r="B5620" t="s">
        <v>16615</v>
      </c>
    </row>
    <row r="5621" spans="1:2">
      <c r="A5621" t="s">
        <v>16616</v>
      </c>
      <c r="B5621" t="s">
        <v>16617</v>
      </c>
    </row>
    <row r="5622" spans="1:2">
      <c r="A5622" t="s">
        <v>16616</v>
      </c>
      <c r="B5622" t="s">
        <v>16618</v>
      </c>
    </row>
    <row r="5623" spans="1:2">
      <c r="A5623" t="s">
        <v>16619</v>
      </c>
      <c r="B5623" t="s">
        <v>16620</v>
      </c>
    </row>
    <row r="5624" spans="1:2">
      <c r="A5624" t="s">
        <v>16619</v>
      </c>
      <c r="B5624" t="s">
        <v>16621</v>
      </c>
    </row>
    <row r="5625" spans="1:2">
      <c r="A5625" t="s">
        <v>16622</v>
      </c>
      <c r="B5625" t="s">
        <v>16623</v>
      </c>
    </row>
    <row r="5626" spans="1:2">
      <c r="A5626" t="s">
        <v>16624</v>
      </c>
      <c r="B5626" t="s">
        <v>16625</v>
      </c>
    </row>
    <row r="5627" spans="1:2">
      <c r="A5627" t="s">
        <v>16626</v>
      </c>
      <c r="B5627" t="s">
        <v>16627</v>
      </c>
    </row>
    <row r="5628" spans="1:2">
      <c r="A5628" t="s">
        <v>16626</v>
      </c>
      <c r="B5628" t="s">
        <v>16628</v>
      </c>
    </row>
    <row r="5629" spans="1:2">
      <c r="A5629" t="s">
        <v>16629</v>
      </c>
      <c r="B5629" t="s">
        <v>16630</v>
      </c>
    </row>
    <row r="5630" spans="1:2">
      <c r="A5630" t="s">
        <v>16629</v>
      </c>
      <c r="B5630" t="s">
        <v>16631</v>
      </c>
    </row>
    <row r="5631" spans="1:2">
      <c r="A5631" t="s">
        <v>16632</v>
      </c>
      <c r="B5631" t="s">
        <v>16633</v>
      </c>
    </row>
    <row r="5632" spans="1:2">
      <c r="A5632" t="s">
        <v>16634</v>
      </c>
      <c r="B5632" t="s">
        <v>16635</v>
      </c>
    </row>
    <row r="5633" spans="1:2">
      <c r="A5633" t="s">
        <v>16636</v>
      </c>
      <c r="B5633" t="s">
        <v>16637</v>
      </c>
    </row>
    <row r="5634" spans="1:2">
      <c r="A5634" t="s">
        <v>16638</v>
      </c>
      <c r="B5634" t="s">
        <v>16639</v>
      </c>
    </row>
    <row r="5635" spans="1:2">
      <c r="A5635" t="s">
        <v>16638</v>
      </c>
      <c r="B5635" t="s">
        <v>16640</v>
      </c>
    </row>
    <row r="5636" spans="1:2">
      <c r="A5636" t="s">
        <v>16641</v>
      </c>
      <c r="B5636" t="s">
        <v>16642</v>
      </c>
    </row>
    <row r="5637" spans="1:2">
      <c r="A5637" t="s">
        <v>16643</v>
      </c>
      <c r="B5637" t="s">
        <v>16644</v>
      </c>
    </row>
    <row r="5638" spans="1:2">
      <c r="A5638" t="s">
        <v>16645</v>
      </c>
      <c r="B5638" t="s">
        <v>13640</v>
      </c>
    </row>
    <row r="5639" spans="1:2">
      <c r="A5639" t="s">
        <v>16646</v>
      </c>
      <c r="B5639" t="s">
        <v>16647</v>
      </c>
    </row>
    <row r="5640" spans="1:2">
      <c r="A5640" t="s">
        <v>16646</v>
      </c>
      <c r="B5640" t="s">
        <v>16648</v>
      </c>
    </row>
    <row r="5641" spans="1:2">
      <c r="A5641" t="s">
        <v>16649</v>
      </c>
      <c r="B5641" t="s">
        <v>16650</v>
      </c>
    </row>
    <row r="5642" spans="1:2">
      <c r="A5642" t="s">
        <v>16651</v>
      </c>
      <c r="B5642" t="s">
        <v>16652</v>
      </c>
    </row>
    <row r="5643" spans="1:2">
      <c r="A5643" t="s">
        <v>16653</v>
      </c>
      <c r="B5643" t="s">
        <v>16654</v>
      </c>
    </row>
    <row r="5644" spans="1:2">
      <c r="A5644" t="s">
        <v>16655</v>
      </c>
      <c r="B5644" t="s">
        <v>16656</v>
      </c>
    </row>
    <row r="5645" spans="1:2">
      <c r="A5645" t="s">
        <v>16657</v>
      </c>
      <c r="B5645" t="s">
        <v>16658</v>
      </c>
    </row>
    <row r="5646" spans="1:2">
      <c r="A5646" t="s">
        <v>16659</v>
      </c>
      <c r="B5646" t="s">
        <v>16660</v>
      </c>
    </row>
    <row r="5647" spans="1:2">
      <c r="A5647" t="s">
        <v>16661</v>
      </c>
      <c r="B5647" t="s">
        <v>16662</v>
      </c>
    </row>
    <row r="5648" spans="1:2">
      <c r="A5648" t="s">
        <v>16663</v>
      </c>
      <c r="B5648" t="s">
        <v>16664</v>
      </c>
    </row>
    <row r="5649" spans="1:2">
      <c r="A5649" t="s">
        <v>16665</v>
      </c>
      <c r="B5649" t="s">
        <v>16666</v>
      </c>
    </row>
    <row r="5650" spans="1:2">
      <c r="A5650" t="s">
        <v>16667</v>
      </c>
      <c r="B5650" t="s">
        <v>16668</v>
      </c>
    </row>
    <row r="5651" spans="1:2">
      <c r="A5651" t="s">
        <v>16669</v>
      </c>
      <c r="B5651" t="s">
        <v>16670</v>
      </c>
    </row>
    <row r="5652" spans="1:2">
      <c r="A5652" t="s">
        <v>16671</v>
      </c>
      <c r="B5652" t="s">
        <v>16672</v>
      </c>
    </row>
    <row r="5653" spans="1:2">
      <c r="A5653" t="s">
        <v>16671</v>
      </c>
      <c r="B5653" t="s">
        <v>16672</v>
      </c>
    </row>
    <row r="5654" spans="1:2">
      <c r="A5654" t="s">
        <v>16673</v>
      </c>
      <c r="B5654" t="s">
        <v>16674</v>
      </c>
    </row>
    <row r="5655" spans="1:2">
      <c r="A5655" t="s">
        <v>16675</v>
      </c>
      <c r="B5655" t="s">
        <v>16676</v>
      </c>
    </row>
    <row r="5656" spans="1:2">
      <c r="A5656" t="s">
        <v>16677</v>
      </c>
      <c r="B5656" t="s">
        <v>16678</v>
      </c>
    </row>
    <row r="5657" spans="1:2">
      <c r="A5657" t="s">
        <v>16679</v>
      </c>
      <c r="B5657" t="s">
        <v>16680</v>
      </c>
    </row>
    <row r="5658" spans="1:2">
      <c r="A5658" t="s">
        <v>16681</v>
      </c>
      <c r="B5658" t="s">
        <v>16682</v>
      </c>
    </row>
    <row r="5659" spans="1:2">
      <c r="A5659" t="s">
        <v>16683</v>
      </c>
      <c r="B5659" t="s">
        <v>16684</v>
      </c>
    </row>
    <row r="5660" spans="1:2">
      <c r="A5660" t="s">
        <v>16685</v>
      </c>
      <c r="B5660" t="s">
        <v>16686</v>
      </c>
    </row>
    <row r="5661" spans="1:2">
      <c r="A5661" t="s">
        <v>16687</v>
      </c>
      <c r="B5661" t="s">
        <v>16688</v>
      </c>
    </row>
    <row r="5662" spans="1:2">
      <c r="A5662" t="s">
        <v>16689</v>
      </c>
      <c r="B5662" t="s">
        <v>16690</v>
      </c>
    </row>
    <row r="5663" spans="1:2">
      <c r="A5663" t="s">
        <v>16691</v>
      </c>
      <c r="B5663" t="s">
        <v>16692</v>
      </c>
    </row>
    <row r="5664" spans="1:2">
      <c r="A5664" t="s">
        <v>16693</v>
      </c>
      <c r="B5664" t="s">
        <v>16694</v>
      </c>
    </row>
    <row r="5665" spans="1:2">
      <c r="A5665" t="s">
        <v>16695</v>
      </c>
      <c r="B5665" t="s">
        <v>16696</v>
      </c>
    </row>
    <row r="5666" spans="1:2">
      <c r="A5666" t="s">
        <v>16697</v>
      </c>
      <c r="B5666" t="s">
        <v>16698</v>
      </c>
    </row>
    <row r="5667" spans="1:2">
      <c r="A5667" t="s">
        <v>16699</v>
      </c>
      <c r="B5667" t="s">
        <v>16700</v>
      </c>
    </row>
    <row r="5668" spans="1:2">
      <c r="A5668" t="s">
        <v>16701</v>
      </c>
      <c r="B5668" t="s">
        <v>16702</v>
      </c>
    </row>
    <row r="5669" spans="1:2">
      <c r="A5669" t="s">
        <v>16703</v>
      </c>
      <c r="B5669" t="s">
        <v>16704</v>
      </c>
    </row>
    <row r="5670" spans="1:2">
      <c r="A5670" t="s">
        <v>16705</v>
      </c>
      <c r="B5670" t="s">
        <v>16706</v>
      </c>
    </row>
    <row r="5671" spans="1:2">
      <c r="A5671" t="s">
        <v>16707</v>
      </c>
      <c r="B5671" t="s">
        <v>16708</v>
      </c>
    </row>
    <row r="5672" spans="1:2">
      <c r="A5672" t="s">
        <v>16709</v>
      </c>
      <c r="B5672" t="s">
        <v>16710</v>
      </c>
    </row>
    <row r="5673" spans="1:2">
      <c r="A5673" t="s">
        <v>16711</v>
      </c>
      <c r="B5673" t="s">
        <v>16712</v>
      </c>
    </row>
    <row r="5674" spans="1:2">
      <c r="A5674" t="s">
        <v>16713</v>
      </c>
      <c r="B5674" t="s">
        <v>16714</v>
      </c>
    </row>
    <row r="5675" spans="1:2">
      <c r="A5675" t="s">
        <v>16715</v>
      </c>
      <c r="B5675" t="s">
        <v>16716</v>
      </c>
    </row>
    <row r="5676" spans="1:2">
      <c r="A5676" t="s">
        <v>16717</v>
      </c>
      <c r="B5676" t="s">
        <v>16718</v>
      </c>
    </row>
    <row r="5677" spans="1:2">
      <c r="A5677" t="s">
        <v>16719</v>
      </c>
      <c r="B5677" t="s">
        <v>16720</v>
      </c>
    </row>
    <row r="5678" spans="1:2">
      <c r="A5678" t="s">
        <v>16721</v>
      </c>
      <c r="B5678" t="s">
        <v>16722</v>
      </c>
    </row>
    <row r="5679" spans="1:2">
      <c r="A5679" t="s">
        <v>16723</v>
      </c>
      <c r="B5679" t="s">
        <v>16724</v>
      </c>
    </row>
    <row r="5680" spans="1:2">
      <c r="A5680" t="s">
        <v>16725</v>
      </c>
      <c r="B5680" t="s">
        <v>16726</v>
      </c>
    </row>
    <row r="5681" spans="1:2">
      <c r="A5681" t="s">
        <v>16727</v>
      </c>
      <c r="B5681" t="s">
        <v>8152</v>
      </c>
    </row>
    <row r="5682" spans="1:2">
      <c r="A5682" t="s">
        <v>16728</v>
      </c>
      <c r="B5682" t="s">
        <v>16729</v>
      </c>
    </row>
    <row r="5683" spans="1:2">
      <c r="A5683" t="s">
        <v>16730</v>
      </c>
      <c r="B5683" t="s">
        <v>16731</v>
      </c>
    </row>
    <row r="5684" spans="1:2">
      <c r="A5684" t="s">
        <v>16732</v>
      </c>
      <c r="B5684" t="s">
        <v>16733</v>
      </c>
    </row>
    <row r="5685" spans="1:2">
      <c r="A5685" t="s">
        <v>16734</v>
      </c>
      <c r="B5685" t="s">
        <v>16735</v>
      </c>
    </row>
    <row r="5686" spans="1:2">
      <c r="A5686" t="s">
        <v>16736</v>
      </c>
      <c r="B5686" t="s">
        <v>16737</v>
      </c>
    </row>
    <row r="5687" spans="1:2">
      <c r="A5687" t="s">
        <v>16738</v>
      </c>
      <c r="B5687" t="s">
        <v>16739</v>
      </c>
    </row>
    <row r="5688" spans="1:2">
      <c r="A5688" t="s">
        <v>16740</v>
      </c>
      <c r="B5688" t="s">
        <v>16741</v>
      </c>
    </row>
    <row r="5689" spans="1:2">
      <c r="A5689" t="s">
        <v>16742</v>
      </c>
      <c r="B5689" t="s">
        <v>16743</v>
      </c>
    </row>
    <row r="5690" spans="1:2">
      <c r="A5690" t="s">
        <v>16744</v>
      </c>
      <c r="B5690" t="s">
        <v>16745</v>
      </c>
    </row>
    <row r="5691" spans="1:2">
      <c r="A5691" t="s">
        <v>16746</v>
      </c>
      <c r="B5691" t="s">
        <v>16747</v>
      </c>
    </row>
    <row r="5692" spans="1:2">
      <c r="A5692" t="s">
        <v>16748</v>
      </c>
      <c r="B5692" t="s">
        <v>16749</v>
      </c>
    </row>
    <row r="5693" spans="1:2">
      <c r="A5693" t="s">
        <v>16750</v>
      </c>
      <c r="B5693" t="s">
        <v>1535</v>
      </c>
    </row>
    <row r="5694" spans="1:2">
      <c r="A5694" t="s">
        <v>16751</v>
      </c>
      <c r="B5694" t="s">
        <v>16752</v>
      </c>
    </row>
    <row r="5695" spans="1:2">
      <c r="A5695" t="s">
        <v>16753</v>
      </c>
      <c r="B5695" t="s">
        <v>16754</v>
      </c>
    </row>
    <row r="5696" spans="1:2">
      <c r="A5696" t="s">
        <v>16755</v>
      </c>
      <c r="B5696" t="s">
        <v>16756</v>
      </c>
    </row>
    <row r="5697" spans="1:2">
      <c r="A5697" t="s">
        <v>16757</v>
      </c>
      <c r="B5697" t="s">
        <v>16758</v>
      </c>
    </row>
    <row r="5698" spans="1:2">
      <c r="A5698" t="s">
        <v>16759</v>
      </c>
      <c r="B5698" t="s">
        <v>16760</v>
      </c>
    </row>
    <row r="5699" spans="1:2">
      <c r="A5699" t="s">
        <v>16761</v>
      </c>
      <c r="B5699" t="s">
        <v>16762</v>
      </c>
    </row>
    <row r="5700" spans="1:2">
      <c r="A5700" t="s">
        <v>16763</v>
      </c>
      <c r="B5700" t="s">
        <v>16764</v>
      </c>
    </row>
    <row r="5701" spans="1:2">
      <c r="A5701" t="s">
        <v>16765</v>
      </c>
      <c r="B5701" t="s">
        <v>16766</v>
      </c>
    </row>
    <row r="5702" spans="1:2">
      <c r="A5702" t="s">
        <v>16767</v>
      </c>
      <c r="B5702" t="s">
        <v>16768</v>
      </c>
    </row>
    <row r="5703" spans="1:2">
      <c r="A5703" t="s">
        <v>16769</v>
      </c>
      <c r="B5703" t="s">
        <v>16770</v>
      </c>
    </row>
    <row r="5704" spans="1:2">
      <c r="A5704" t="s">
        <v>16771</v>
      </c>
      <c r="B5704" t="s">
        <v>16772</v>
      </c>
    </row>
    <row r="5705" spans="1:2">
      <c r="A5705" t="s">
        <v>16773</v>
      </c>
      <c r="B5705" t="s">
        <v>16774</v>
      </c>
    </row>
    <row r="5706" spans="1:2">
      <c r="A5706" t="s">
        <v>16775</v>
      </c>
      <c r="B5706" t="s">
        <v>16776</v>
      </c>
    </row>
    <row r="5707" spans="1:2">
      <c r="A5707" t="s">
        <v>16777</v>
      </c>
      <c r="B5707" t="s">
        <v>16778</v>
      </c>
    </row>
    <row r="5708" spans="1:2">
      <c r="A5708" t="s">
        <v>16779</v>
      </c>
      <c r="B5708" t="s">
        <v>9557</v>
      </c>
    </row>
    <row r="5709" spans="1:2">
      <c r="A5709" t="s">
        <v>16780</v>
      </c>
      <c r="B5709" t="s">
        <v>16781</v>
      </c>
    </row>
    <row r="5710" spans="1:2">
      <c r="A5710" t="s">
        <v>16782</v>
      </c>
      <c r="B5710" t="s">
        <v>11527</v>
      </c>
    </row>
    <row r="5711" spans="1:2">
      <c r="A5711" t="s">
        <v>16783</v>
      </c>
      <c r="B5711" t="s">
        <v>16784</v>
      </c>
    </row>
    <row r="5712" spans="1:2">
      <c r="A5712" t="s">
        <v>16785</v>
      </c>
      <c r="B5712" t="s">
        <v>16786</v>
      </c>
    </row>
    <row r="5713" spans="1:2">
      <c r="A5713" t="s">
        <v>16787</v>
      </c>
      <c r="B5713" t="s">
        <v>16788</v>
      </c>
    </row>
    <row r="5714" spans="1:2">
      <c r="A5714" t="s">
        <v>16789</v>
      </c>
      <c r="B5714" t="s">
        <v>16790</v>
      </c>
    </row>
    <row r="5715" spans="1:2">
      <c r="A5715" t="s">
        <v>16791</v>
      </c>
      <c r="B5715" t="s">
        <v>16792</v>
      </c>
    </row>
    <row r="5716" spans="1:2">
      <c r="A5716" t="s">
        <v>16793</v>
      </c>
      <c r="B5716" t="s">
        <v>16794</v>
      </c>
    </row>
    <row r="5717" spans="1:2">
      <c r="A5717" t="s">
        <v>16795</v>
      </c>
      <c r="B5717" t="s">
        <v>16796</v>
      </c>
    </row>
    <row r="5718" spans="1:2">
      <c r="A5718" t="s">
        <v>16797</v>
      </c>
      <c r="B5718" t="s">
        <v>16798</v>
      </c>
    </row>
    <row r="5719" spans="1:2">
      <c r="A5719" t="s">
        <v>16799</v>
      </c>
      <c r="B5719" t="s">
        <v>16800</v>
      </c>
    </row>
    <row r="5720" spans="1:2">
      <c r="A5720" t="s">
        <v>16801</v>
      </c>
      <c r="B5720" t="s">
        <v>16802</v>
      </c>
    </row>
    <row r="5721" spans="1:2">
      <c r="A5721" t="s">
        <v>16803</v>
      </c>
      <c r="B5721" t="s">
        <v>16804</v>
      </c>
    </row>
    <row r="5722" spans="1:2">
      <c r="A5722" t="s">
        <v>16805</v>
      </c>
      <c r="B5722" t="s">
        <v>16806</v>
      </c>
    </row>
    <row r="5723" spans="1:2">
      <c r="A5723" t="s">
        <v>16807</v>
      </c>
      <c r="B5723" t="s">
        <v>16808</v>
      </c>
    </row>
    <row r="5724" spans="1:2">
      <c r="A5724" t="s">
        <v>16809</v>
      </c>
      <c r="B5724" t="s">
        <v>16810</v>
      </c>
    </row>
    <row r="5725" spans="1:2">
      <c r="A5725" t="s">
        <v>16811</v>
      </c>
      <c r="B5725" t="s">
        <v>16812</v>
      </c>
    </row>
    <row r="5726" spans="1:2">
      <c r="A5726" t="s">
        <v>16813</v>
      </c>
      <c r="B5726" t="s">
        <v>16814</v>
      </c>
    </row>
    <row r="5727" spans="1:2">
      <c r="A5727" t="s">
        <v>16815</v>
      </c>
      <c r="B5727" t="s">
        <v>16816</v>
      </c>
    </row>
    <row r="5728" spans="1:2">
      <c r="A5728" t="s">
        <v>16817</v>
      </c>
      <c r="B5728" t="s">
        <v>16818</v>
      </c>
    </row>
    <row r="5729" spans="1:2">
      <c r="A5729" t="s">
        <v>16819</v>
      </c>
      <c r="B5729" t="s">
        <v>16820</v>
      </c>
    </row>
    <row r="5730" spans="1:2">
      <c r="A5730" t="s">
        <v>16821</v>
      </c>
      <c r="B5730" t="s">
        <v>16822</v>
      </c>
    </row>
    <row r="5731" spans="1:2">
      <c r="A5731" t="s">
        <v>16823</v>
      </c>
      <c r="B5731" t="s">
        <v>16824</v>
      </c>
    </row>
    <row r="5732" spans="1:2">
      <c r="A5732" t="s">
        <v>16825</v>
      </c>
      <c r="B5732" t="s">
        <v>16826</v>
      </c>
    </row>
    <row r="5733" spans="1:2">
      <c r="A5733" t="s">
        <v>16827</v>
      </c>
      <c r="B5733" t="s">
        <v>16828</v>
      </c>
    </row>
    <row r="5734" spans="1:2">
      <c r="A5734" t="s">
        <v>16829</v>
      </c>
      <c r="B5734" t="s">
        <v>16830</v>
      </c>
    </row>
    <row r="5735" spans="1:2">
      <c r="A5735" t="s">
        <v>16831</v>
      </c>
      <c r="B5735" t="s">
        <v>16832</v>
      </c>
    </row>
    <row r="5736" spans="1:2">
      <c r="A5736" t="s">
        <v>16833</v>
      </c>
      <c r="B5736" t="s">
        <v>16834</v>
      </c>
    </row>
    <row r="5737" spans="1:2">
      <c r="A5737" t="s">
        <v>16835</v>
      </c>
      <c r="B5737" t="s">
        <v>16836</v>
      </c>
    </row>
    <row r="5738" spans="1:2">
      <c r="A5738" t="s">
        <v>16837</v>
      </c>
      <c r="B5738" t="s">
        <v>16838</v>
      </c>
    </row>
    <row r="5739" spans="1:2">
      <c r="A5739" t="s">
        <v>16839</v>
      </c>
      <c r="B5739" t="s">
        <v>16840</v>
      </c>
    </row>
    <row r="5740" spans="1:2">
      <c r="A5740" t="s">
        <v>16841</v>
      </c>
      <c r="B5740" t="s">
        <v>16842</v>
      </c>
    </row>
    <row r="5741" spans="1:2">
      <c r="A5741" t="s">
        <v>16843</v>
      </c>
      <c r="B5741" t="s">
        <v>16844</v>
      </c>
    </row>
    <row r="5742" spans="1:2">
      <c r="A5742" t="s">
        <v>16845</v>
      </c>
      <c r="B5742" t="s">
        <v>16846</v>
      </c>
    </row>
    <row r="5743" spans="1:2">
      <c r="A5743" t="s">
        <v>16847</v>
      </c>
      <c r="B5743" t="s">
        <v>16848</v>
      </c>
    </row>
    <row r="5744" spans="1:2">
      <c r="A5744" t="s">
        <v>16849</v>
      </c>
      <c r="B5744" t="s">
        <v>16850</v>
      </c>
    </row>
    <row r="5745" spans="1:2">
      <c r="A5745" t="s">
        <v>16851</v>
      </c>
      <c r="B5745" t="s">
        <v>9565</v>
      </c>
    </row>
    <row r="5746" spans="1:2">
      <c r="A5746" t="s">
        <v>16852</v>
      </c>
      <c r="B5746" t="s">
        <v>16853</v>
      </c>
    </row>
    <row r="5747" spans="1:2">
      <c r="A5747" t="s">
        <v>16854</v>
      </c>
      <c r="B5747" t="s">
        <v>16855</v>
      </c>
    </row>
    <row r="5748" spans="1:2">
      <c r="A5748" t="s">
        <v>16856</v>
      </c>
      <c r="B5748" t="s">
        <v>16857</v>
      </c>
    </row>
    <row r="5749" spans="1:2">
      <c r="A5749" t="s">
        <v>16858</v>
      </c>
      <c r="B5749" t="s">
        <v>16859</v>
      </c>
    </row>
    <row r="5750" spans="1:2">
      <c r="A5750" t="s">
        <v>16860</v>
      </c>
      <c r="B5750" t="s">
        <v>16861</v>
      </c>
    </row>
    <row r="5751" spans="1:2">
      <c r="A5751" t="s">
        <v>16862</v>
      </c>
      <c r="B5751" t="s">
        <v>16863</v>
      </c>
    </row>
    <row r="5752" spans="1:2">
      <c r="A5752" t="s">
        <v>16864</v>
      </c>
      <c r="B5752" t="s">
        <v>16865</v>
      </c>
    </row>
    <row r="5753" spans="1:2">
      <c r="A5753" t="s">
        <v>16866</v>
      </c>
      <c r="B5753" t="s">
        <v>16867</v>
      </c>
    </row>
    <row r="5754" spans="1:2">
      <c r="A5754" t="s">
        <v>16868</v>
      </c>
      <c r="B5754" t="s">
        <v>16869</v>
      </c>
    </row>
    <row r="5755" spans="1:2">
      <c r="A5755" t="s">
        <v>16870</v>
      </c>
      <c r="B5755" t="s">
        <v>16871</v>
      </c>
    </row>
    <row r="5756" spans="1:2">
      <c r="A5756" t="s">
        <v>16872</v>
      </c>
      <c r="B5756" t="s">
        <v>16873</v>
      </c>
    </row>
    <row r="5757" spans="1:2">
      <c r="A5757" t="s">
        <v>16874</v>
      </c>
      <c r="B5757" t="s">
        <v>16875</v>
      </c>
    </row>
    <row r="5758" spans="1:2">
      <c r="A5758" t="s">
        <v>16876</v>
      </c>
      <c r="B5758" t="s">
        <v>16877</v>
      </c>
    </row>
    <row r="5759" spans="1:2">
      <c r="A5759" t="s">
        <v>16878</v>
      </c>
      <c r="B5759" t="s">
        <v>16879</v>
      </c>
    </row>
    <row r="5760" spans="1:2">
      <c r="A5760" t="s">
        <v>16880</v>
      </c>
      <c r="B5760" t="s">
        <v>16881</v>
      </c>
    </row>
    <row r="5761" spans="1:2">
      <c r="A5761" t="s">
        <v>16882</v>
      </c>
      <c r="B5761" t="s">
        <v>16883</v>
      </c>
    </row>
    <row r="5762" spans="1:2">
      <c r="A5762" t="s">
        <v>16884</v>
      </c>
      <c r="B5762" t="s">
        <v>16885</v>
      </c>
    </row>
    <row r="5763" spans="1:2">
      <c r="A5763" t="s">
        <v>16886</v>
      </c>
      <c r="B5763" t="s">
        <v>16887</v>
      </c>
    </row>
    <row r="5764" spans="1:2">
      <c r="A5764" t="s">
        <v>16888</v>
      </c>
      <c r="B5764" t="s">
        <v>16889</v>
      </c>
    </row>
    <row r="5765" spans="1:2">
      <c r="A5765" t="s">
        <v>16890</v>
      </c>
      <c r="B5765" t="s">
        <v>16891</v>
      </c>
    </row>
    <row r="5766" spans="1:2">
      <c r="A5766" t="s">
        <v>16892</v>
      </c>
      <c r="B5766" t="s">
        <v>16893</v>
      </c>
    </row>
    <row r="5767" spans="1:2">
      <c r="A5767" t="s">
        <v>16894</v>
      </c>
      <c r="B5767" t="s">
        <v>16895</v>
      </c>
    </row>
    <row r="5768" spans="1:2">
      <c r="A5768" t="s">
        <v>16896</v>
      </c>
      <c r="B5768" t="s">
        <v>16897</v>
      </c>
    </row>
    <row r="5769" spans="1:2">
      <c r="A5769" t="s">
        <v>16898</v>
      </c>
      <c r="B5769" t="s">
        <v>16899</v>
      </c>
    </row>
    <row r="5770" spans="1:2">
      <c r="A5770" t="s">
        <v>16900</v>
      </c>
      <c r="B5770" t="s">
        <v>16901</v>
      </c>
    </row>
    <row r="5771" spans="1:2">
      <c r="A5771" t="s">
        <v>16902</v>
      </c>
      <c r="B5771" t="s">
        <v>16903</v>
      </c>
    </row>
    <row r="5772" spans="1:2">
      <c r="A5772" t="s">
        <v>16904</v>
      </c>
      <c r="B5772" t="s">
        <v>16905</v>
      </c>
    </row>
    <row r="5773" spans="1:2">
      <c r="A5773" t="s">
        <v>16906</v>
      </c>
      <c r="B5773" t="s">
        <v>16907</v>
      </c>
    </row>
    <row r="5774" spans="1:2">
      <c r="A5774" t="s">
        <v>16908</v>
      </c>
      <c r="B5774" t="s">
        <v>16909</v>
      </c>
    </row>
    <row r="5775" spans="1:2">
      <c r="A5775" t="s">
        <v>16910</v>
      </c>
      <c r="B5775" t="s">
        <v>16911</v>
      </c>
    </row>
    <row r="5776" spans="1:2">
      <c r="A5776" t="s">
        <v>16912</v>
      </c>
      <c r="B5776" t="s">
        <v>16913</v>
      </c>
    </row>
    <row r="5777" spans="1:2">
      <c r="A5777" t="s">
        <v>16914</v>
      </c>
      <c r="B5777" t="s">
        <v>16915</v>
      </c>
    </row>
    <row r="5778" spans="1:2">
      <c r="A5778" t="s">
        <v>16916</v>
      </c>
      <c r="B5778" t="s">
        <v>16917</v>
      </c>
    </row>
    <row r="5779" spans="1:2">
      <c r="A5779" t="s">
        <v>16918</v>
      </c>
      <c r="B5779" t="s">
        <v>16919</v>
      </c>
    </row>
    <row r="5780" spans="1:2">
      <c r="A5780" t="s">
        <v>16920</v>
      </c>
      <c r="B5780" t="s">
        <v>9573</v>
      </c>
    </row>
    <row r="5781" spans="1:2">
      <c r="A5781" t="s">
        <v>16921</v>
      </c>
      <c r="B5781" t="s">
        <v>16922</v>
      </c>
    </row>
    <row r="5782" spans="1:2">
      <c r="A5782" t="s">
        <v>16923</v>
      </c>
      <c r="B5782" t="s">
        <v>16924</v>
      </c>
    </row>
    <row r="5783" spans="1:2">
      <c r="A5783" t="s">
        <v>16925</v>
      </c>
      <c r="B5783" t="s">
        <v>16926</v>
      </c>
    </row>
    <row r="5784" spans="1:2">
      <c r="A5784" t="s">
        <v>16927</v>
      </c>
      <c r="B5784" t="s">
        <v>16928</v>
      </c>
    </row>
    <row r="5785" spans="1:2">
      <c r="A5785" t="s">
        <v>16929</v>
      </c>
      <c r="B5785" t="s">
        <v>16930</v>
      </c>
    </row>
    <row r="5786" spans="1:2">
      <c r="A5786" t="s">
        <v>16931</v>
      </c>
      <c r="B5786" t="s">
        <v>16932</v>
      </c>
    </row>
    <row r="5787" spans="1:2">
      <c r="A5787" t="s">
        <v>16933</v>
      </c>
      <c r="B5787" t="s">
        <v>16934</v>
      </c>
    </row>
    <row r="5788" spans="1:2">
      <c r="A5788" t="s">
        <v>16935</v>
      </c>
      <c r="B5788" t="s">
        <v>16936</v>
      </c>
    </row>
    <row r="5789" spans="1:2">
      <c r="A5789" t="s">
        <v>16937</v>
      </c>
      <c r="B5789" t="s">
        <v>16938</v>
      </c>
    </row>
    <row r="5790" spans="1:2">
      <c r="A5790" t="s">
        <v>16939</v>
      </c>
      <c r="B5790" t="s">
        <v>16940</v>
      </c>
    </row>
    <row r="5791" spans="1:2">
      <c r="A5791" t="s">
        <v>16941</v>
      </c>
      <c r="B5791" t="s">
        <v>16942</v>
      </c>
    </row>
    <row r="5792" spans="1:2">
      <c r="A5792" t="s">
        <v>16943</v>
      </c>
      <c r="B5792" t="s">
        <v>16944</v>
      </c>
    </row>
    <row r="5793" spans="1:2">
      <c r="A5793" t="s">
        <v>16945</v>
      </c>
      <c r="B5793" t="s">
        <v>16946</v>
      </c>
    </row>
    <row r="5794" spans="1:2">
      <c r="A5794" t="s">
        <v>16947</v>
      </c>
      <c r="B5794" t="s">
        <v>16948</v>
      </c>
    </row>
    <row r="5795" spans="1:2">
      <c r="A5795" t="s">
        <v>16949</v>
      </c>
      <c r="B5795" t="s">
        <v>16950</v>
      </c>
    </row>
    <row r="5796" spans="1:2">
      <c r="A5796" t="s">
        <v>16951</v>
      </c>
      <c r="B5796" t="s">
        <v>16952</v>
      </c>
    </row>
    <row r="5797" spans="1:2">
      <c r="A5797" t="s">
        <v>16953</v>
      </c>
      <c r="B5797" t="s">
        <v>16954</v>
      </c>
    </row>
    <row r="5798" spans="1:2">
      <c r="A5798" t="s">
        <v>16955</v>
      </c>
      <c r="B5798" t="s">
        <v>16956</v>
      </c>
    </row>
    <row r="5799" spans="1:2">
      <c r="A5799" t="s">
        <v>16957</v>
      </c>
      <c r="B5799" t="s">
        <v>16958</v>
      </c>
    </row>
    <row r="5800" spans="1:2">
      <c r="A5800" t="s">
        <v>16959</v>
      </c>
      <c r="B5800" t="s">
        <v>16960</v>
      </c>
    </row>
    <row r="5801" spans="1:2">
      <c r="A5801" t="s">
        <v>16961</v>
      </c>
      <c r="B5801" t="s">
        <v>16962</v>
      </c>
    </row>
    <row r="5802" spans="1:2">
      <c r="A5802" t="s">
        <v>16963</v>
      </c>
      <c r="B5802" t="s">
        <v>16964</v>
      </c>
    </row>
    <row r="5803" spans="1:2">
      <c r="A5803" t="s">
        <v>16965</v>
      </c>
      <c r="B5803" t="s">
        <v>16966</v>
      </c>
    </row>
    <row r="5804" spans="1:2">
      <c r="A5804" t="s">
        <v>16967</v>
      </c>
      <c r="B5804" t="s">
        <v>16968</v>
      </c>
    </row>
    <row r="5805" spans="1:2">
      <c r="A5805" t="s">
        <v>16969</v>
      </c>
      <c r="B5805" t="s">
        <v>16970</v>
      </c>
    </row>
    <row r="5806" spans="1:2">
      <c r="A5806" t="s">
        <v>16971</v>
      </c>
      <c r="B5806" t="s">
        <v>16972</v>
      </c>
    </row>
    <row r="5807" spans="1:2">
      <c r="A5807" t="s">
        <v>16973</v>
      </c>
      <c r="B5807" t="s">
        <v>16974</v>
      </c>
    </row>
    <row r="5808" spans="1:2">
      <c r="A5808" t="s">
        <v>16975</v>
      </c>
      <c r="B5808" t="s">
        <v>16976</v>
      </c>
    </row>
    <row r="5809" spans="1:2">
      <c r="A5809" t="s">
        <v>16977</v>
      </c>
      <c r="B5809" t="s">
        <v>16978</v>
      </c>
    </row>
    <row r="5810" spans="1:2">
      <c r="A5810" t="s">
        <v>16979</v>
      </c>
      <c r="B5810" t="s">
        <v>16980</v>
      </c>
    </row>
    <row r="5811" spans="1:2">
      <c r="A5811" t="s">
        <v>16981</v>
      </c>
      <c r="B5811" t="s">
        <v>16982</v>
      </c>
    </row>
    <row r="5812" spans="1:2">
      <c r="A5812" t="s">
        <v>16983</v>
      </c>
      <c r="B5812" t="s">
        <v>16984</v>
      </c>
    </row>
    <row r="5813" spans="1:2">
      <c r="A5813" t="s">
        <v>16985</v>
      </c>
      <c r="B5813" t="s">
        <v>16986</v>
      </c>
    </row>
    <row r="5814" spans="1:2">
      <c r="A5814" t="s">
        <v>16987</v>
      </c>
      <c r="B5814" t="s">
        <v>16988</v>
      </c>
    </row>
    <row r="5815" spans="1:2">
      <c r="A5815" t="s">
        <v>16989</v>
      </c>
      <c r="B5815" t="s">
        <v>16990</v>
      </c>
    </row>
    <row r="5816" spans="1:2">
      <c r="A5816" t="s">
        <v>16991</v>
      </c>
      <c r="B5816" t="s">
        <v>16992</v>
      </c>
    </row>
    <row r="5817" spans="1:2">
      <c r="A5817" t="s">
        <v>16993</v>
      </c>
      <c r="B5817" t="s">
        <v>16994</v>
      </c>
    </row>
    <row r="5818" spans="1:2">
      <c r="A5818" t="s">
        <v>16995</v>
      </c>
      <c r="B5818" t="s">
        <v>16996</v>
      </c>
    </row>
    <row r="5819" spans="1:2">
      <c r="A5819" t="s">
        <v>16997</v>
      </c>
      <c r="B5819" t="s">
        <v>16998</v>
      </c>
    </row>
    <row r="5820" spans="1:2">
      <c r="A5820" t="s">
        <v>16999</v>
      </c>
      <c r="B5820" t="s">
        <v>17000</v>
      </c>
    </row>
    <row r="5821" spans="1:2">
      <c r="A5821" t="s">
        <v>17001</v>
      </c>
      <c r="B5821" t="s">
        <v>17002</v>
      </c>
    </row>
    <row r="5822" spans="1:2">
      <c r="A5822" t="s">
        <v>17003</v>
      </c>
      <c r="B5822" t="s">
        <v>17004</v>
      </c>
    </row>
    <row r="5823" spans="1:2">
      <c r="A5823" t="s">
        <v>17005</v>
      </c>
      <c r="B5823" t="s">
        <v>17006</v>
      </c>
    </row>
    <row r="5824" spans="1:2">
      <c r="A5824" t="s">
        <v>17007</v>
      </c>
      <c r="B5824" t="s">
        <v>17008</v>
      </c>
    </row>
    <row r="5825" spans="1:2">
      <c r="A5825" t="s">
        <v>17009</v>
      </c>
      <c r="B5825" t="s">
        <v>17010</v>
      </c>
    </row>
    <row r="5826" spans="1:2">
      <c r="A5826" t="s">
        <v>17011</v>
      </c>
      <c r="B5826" t="s">
        <v>17012</v>
      </c>
    </row>
    <row r="5827" spans="1:2">
      <c r="A5827" t="s">
        <v>17013</v>
      </c>
      <c r="B5827" t="s">
        <v>17014</v>
      </c>
    </row>
    <row r="5828" spans="1:2">
      <c r="A5828" t="s">
        <v>17015</v>
      </c>
      <c r="B5828" t="s">
        <v>17016</v>
      </c>
    </row>
    <row r="5829" spans="1:2">
      <c r="A5829" t="s">
        <v>17017</v>
      </c>
      <c r="B5829" t="s">
        <v>17018</v>
      </c>
    </row>
    <row r="5830" spans="1:2">
      <c r="A5830" t="s">
        <v>17019</v>
      </c>
      <c r="B5830" t="s">
        <v>1263</v>
      </c>
    </row>
    <row r="5831" spans="1:2">
      <c r="A5831" t="s">
        <v>17020</v>
      </c>
      <c r="B5831" t="s">
        <v>17021</v>
      </c>
    </row>
    <row r="5832" spans="1:2">
      <c r="A5832" t="s">
        <v>17022</v>
      </c>
      <c r="B5832" t="s">
        <v>17023</v>
      </c>
    </row>
    <row r="5833" spans="1:2">
      <c r="A5833" t="s">
        <v>17024</v>
      </c>
      <c r="B5833" t="s">
        <v>1587</v>
      </c>
    </row>
    <row r="5834" spans="1:2">
      <c r="A5834" t="s">
        <v>17025</v>
      </c>
      <c r="B5834" t="s">
        <v>17026</v>
      </c>
    </row>
    <row r="5835" spans="1:2">
      <c r="A5835" t="s">
        <v>17027</v>
      </c>
      <c r="B5835" t="s">
        <v>17028</v>
      </c>
    </row>
    <row r="5836" spans="1:2">
      <c r="A5836" t="s">
        <v>17029</v>
      </c>
      <c r="B5836" t="s">
        <v>17030</v>
      </c>
    </row>
    <row r="5837" spans="1:2">
      <c r="A5837" t="s">
        <v>17031</v>
      </c>
      <c r="B5837" t="s">
        <v>856</v>
      </c>
    </row>
    <row r="5838" spans="1:2">
      <c r="A5838" t="s">
        <v>17032</v>
      </c>
      <c r="B5838" t="s">
        <v>17033</v>
      </c>
    </row>
    <row r="5839" spans="1:2">
      <c r="A5839" t="s">
        <v>17034</v>
      </c>
      <c r="B5839" t="s">
        <v>17035</v>
      </c>
    </row>
    <row r="5840" spans="1:2">
      <c r="A5840" t="s">
        <v>17036</v>
      </c>
      <c r="B5840" t="s">
        <v>17037</v>
      </c>
    </row>
    <row r="5841" spans="1:2">
      <c r="A5841" t="s">
        <v>17038</v>
      </c>
      <c r="B5841" t="s">
        <v>17039</v>
      </c>
    </row>
    <row r="5842" spans="1:2">
      <c r="A5842" t="s">
        <v>17040</v>
      </c>
      <c r="B5842" t="s">
        <v>17041</v>
      </c>
    </row>
    <row r="5843" spans="1:2">
      <c r="A5843" t="s">
        <v>17042</v>
      </c>
      <c r="B5843" t="s">
        <v>17043</v>
      </c>
    </row>
    <row r="5844" spans="1:2">
      <c r="A5844" t="s">
        <v>17044</v>
      </c>
      <c r="B5844" t="s">
        <v>17045</v>
      </c>
    </row>
    <row r="5845" spans="1:2">
      <c r="A5845" t="s">
        <v>17046</v>
      </c>
      <c r="B5845" t="s">
        <v>17047</v>
      </c>
    </row>
    <row r="5846" spans="1:2">
      <c r="A5846" t="s">
        <v>17048</v>
      </c>
      <c r="B5846" t="s">
        <v>17049</v>
      </c>
    </row>
    <row r="5847" spans="1:2">
      <c r="A5847" t="s">
        <v>17050</v>
      </c>
      <c r="B5847" t="s">
        <v>1204</v>
      </c>
    </row>
    <row r="5848" spans="1:2">
      <c r="A5848" t="s">
        <v>17051</v>
      </c>
      <c r="B5848" t="s">
        <v>12166</v>
      </c>
    </row>
    <row r="5849" spans="1:2">
      <c r="A5849" t="s">
        <v>17052</v>
      </c>
      <c r="B5849" t="s">
        <v>17053</v>
      </c>
    </row>
    <row r="5850" spans="1:2">
      <c r="A5850" t="s">
        <v>17054</v>
      </c>
      <c r="B5850" t="s">
        <v>17055</v>
      </c>
    </row>
    <row r="5851" spans="1:2">
      <c r="A5851" t="s">
        <v>17056</v>
      </c>
      <c r="B5851" t="s">
        <v>17057</v>
      </c>
    </row>
    <row r="5852" spans="1:2">
      <c r="A5852" t="s">
        <v>17058</v>
      </c>
      <c r="B5852" t="s">
        <v>17059</v>
      </c>
    </row>
    <row r="5853" spans="1:2">
      <c r="A5853" t="s">
        <v>17060</v>
      </c>
      <c r="B5853" t="s">
        <v>17061</v>
      </c>
    </row>
    <row r="5854" spans="1:2">
      <c r="A5854" t="s">
        <v>17062</v>
      </c>
      <c r="B5854" t="s">
        <v>7865</v>
      </c>
    </row>
    <row r="5855" spans="1:2">
      <c r="A5855" t="s">
        <v>17063</v>
      </c>
      <c r="B5855" t="s">
        <v>2713</v>
      </c>
    </row>
    <row r="5856" spans="1:2">
      <c r="A5856" t="s">
        <v>17064</v>
      </c>
      <c r="B5856" t="s">
        <v>781</v>
      </c>
    </row>
    <row r="5857" spans="1:2">
      <c r="A5857" t="s">
        <v>17065</v>
      </c>
      <c r="B5857" t="s">
        <v>17066</v>
      </c>
    </row>
    <row r="5858" spans="1:2">
      <c r="A5858" t="s">
        <v>17067</v>
      </c>
      <c r="B5858" t="s">
        <v>17068</v>
      </c>
    </row>
    <row r="5859" spans="1:2">
      <c r="A5859" t="s">
        <v>17069</v>
      </c>
      <c r="B5859" t="s">
        <v>17070</v>
      </c>
    </row>
    <row r="5860" spans="1:2">
      <c r="A5860" t="s">
        <v>17071</v>
      </c>
      <c r="B5860" t="s">
        <v>17072</v>
      </c>
    </row>
    <row r="5861" spans="1:2">
      <c r="A5861" t="s">
        <v>17073</v>
      </c>
      <c r="B5861" t="s">
        <v>1417</v>
      </c>
    </row>
    <row r="5862" spans="1:2">
      <c r="A5862" t="s">
        <v>17074</v>
      </c>
      <c r="B5862" t="s">
        <v>606</v>
      </c>
    </row>
    <row r="5863" spans="1:2">
      <c r="A5863" t="s">
        <v>17075</v>
      </c>
      <c r="B5863" t="s">
        <v>218</v>
      </c>
    </row>
    <row r="5864" spans="1:2">
      <c r="A5864" t="s">
        <v>17076</v>
      </c>
      <c r="B5864" t="s">
        <v>17077</v>
      </c>
    </row>
    <row r="5865" spans="1:2">
      <c r="A5865" t="s">
        <v>17078</v>
      </c>
      <c r="B5865" t="s">
        <v>17079</v>
      </c>
    </row>
    <row r="5866" spans="1:2">
      <c r="A5866" t="s">
        <v>17080</v>
      </c>
      <c r="B5866" t="s">
        <v>480</v>
      </c>
    </row>
    <row r="5867" spans="1:2">
      <c r="A5867" t="s">
        <v>17081</v>
      </c>
      <c r="B5867" t="s">
        <v>145</v>
      </c>
    </row>
    <row r="5868" spans="1:2">
      <c r="A5868" t="s">
        <v>17082</v>
      </c>
      <c r="B5868" t="s">
        <v>17083</v>
      </c>
    </row>
    <row r="5869" spans="1:2">
      <c r="A5869" t="s">
        <v>17084</v>
      </c>
      <c r="B5869" t="s">
        <v>17085</v>
      </c>
    </row>
    <row r="5870" spans="1:2">
      <c r="A5870" t="s">
        <v>17086</v>
      </c>
      <c r="B5870" t="s">
        <v>17087</v>
      </c>
    </row>
    <row r="5871" spans="1:2">
      <c r="A5871" t="s">
        <v>17088</v>
      </c>
      <c r="B5871" t="s">
        <v>1001</v>
      </c>
    </row>
    <row r="5872" spans="1:2">
      <c r="A5872" t="s">
        <v>17089</v>
      </c>
      <c r="B5872" t="s">
        <v>1359</v>
      </c>
    </row>
    <row r="5873" spans="1:2">
      <c r="A5873" t="s">
        <v>17090</v>
      </c>
      <c r="B5873" t="s">
        <v>17091</v>
      </c>
    </row>
    <row r="5874" spans="1:2">
      <c r="A5874" t="s">
        <v>17092</v>
      </c>
      <c r="B5874" t="s">
        <v>17093</v>
      </c>
    </row>
    <row r="5875" spans="1:2">
      <c r="A5875" t="s">
        <v>17094</v>
      </c>
      <c r="B5875" t="s">
        <v>17095</v>
      </c>
    </row>
    <row r="5876" spans="1:2">
      <c r="A5876" t="s">
        <v>17096</v>
      </c>
      <c r="B5876" t="s">
        <v>1840</v>
      </c>
    </row>
    <row r="5877" spans="1:2">
      <c r="A5877" t="s">
        <v>17097</v>
      </c>
      <c r="B5877" t="s">
        <v>17098</v>
      </c>
    </row>
    <row r="5878" spans="1:2">
      <c r="A5878" t="s">
        <v>17099</v>
      </c>
      <c r="B5878" t="s">
        <v>17100</v>
      </c>
    </row>
    <row r="5879" spans="1:2">
      <c r="A5879" t="s">
        <v>17101</v>
      </c>
      <c r="B5879" t="s">
        <v>17102</v>
      </c>
    </row>
    <row r="5880" spans="1:2">
      <c r="A5880" t="s">
        <v>17103</v>
      </c>
      <c r="B5880" t="s">
        <v>17104</v>
      </c>
    </row>
    <row r="5881" spans="1:2">
      <c r="A5881" t="s">
        <v>17105</v>
      </c>
      <c r="B5881" t="s">
        <v>17106</v>
      </c>
    </row>
    <row r="5882" spans="1:2">
      <c r="A5882" t="s">
        <v>17107</v>
      </c>
      <c r="B5882" t="s">
        <v>17108</v>
      </c>
    </row>
    <row r="5883" spans="1:2">
      <c r="A5883" t="s">
        <v>17109</v>
      </c>
      <c r="B5883" t="s">
        <v>17110</v>
      </c>
    </row>
    <row r="5884" spans="1:2">
      <c r="A5884" t="s">
        <v>17111</v>
      </c>
      <c r="B5884" t="s">
        <v>856</v>
      </c>
    </row>
    <row r="5885" spans="1:2">
      <c r="A5885" t="s">
        <v>17112</v>
      </c>
      <c r="B5885" t="s">
        <v>17113</v>
      </c>
    </row>
    <row r="5886" spans="1:2">
      <c r="A5886" t="s">
        <v>17114</v>
      </c>
      <c r="B5886" t="s">
        <v>17115</v>
      </c>
    </row>
    <row r="5887" spans="1:2">
      <c r="A5887" t="s">
        <v>17116</v>
      </c>
      <c r="B5887" t="s">
        <v>17117</v>
      </c>
    </row>
    <row r="5888" spans="1:2">
      <c r="A5888" t="s">
        <v>17118</v>
      </c>
      <c r="B5888" t="s">
        <v>17119</v>
      </c>
    </row>
    <row r="5889" spans="1:2">
      <c r="A5889" t="s">
        <v>17120</v>
      </c>
      <c r="B5889" t="s">
        <v>17121</v>
      </c>
    </row>
    <row r="5890" spans="1:2">
      <c r="A5890" t="s">
        <v>17122</v>
      </c>
      <c r="B5890" t="s">
        <v>7340</v>
      </c>
    </row>
    <row r="5891" spans="1:2">
      <c r="A5891" t="s">
        <v>17123</v>
      </c>
      <c r="B5891" t="s">
        <v>17124</v>
      </c>
    </row>
    <row r="5892" spans="1:2">
      <c r="A5892" t="s">
        <v>17125</v>
      </c>
      <c r="B5892" t="s">
        <v>17126</v>
      </c>
    </row>
    <row r="5893" spans="1:2">
      <c r="A5893" t="s">
        <v>17127</v>
      </c>
      <c r="B5893" t="s">
        <v>17128</v>
      </c>
    </row>
    <row r="5894" spans="1:2">
      <c r="A5894" t="s">
        <v>17129</v>
      </c>
      <c r="B5894" t="s">
        <v>8646</v>
      </c>
    </row>
    <row r="5895" spans="1:2">
      <c r="A5895" t="s">
        <v>17130</v>
      </c>
      <c r="B5895" t="s">
        <v>17131</v>
      </c>
    </row>
    <row r="5896" spans="1:2">
      <c r="A5896" t="s">
        <v>17132</v>
      </c>
      <c r="B5896" t="s">
        <v>17133</v>
      </c>
    </row>
    <row r="5897" spans="1:2">
      <c r="A5897" t="s">
        <v>17134</v>
      </c>
      <c r="B5897" t="s">
        <v>17135</v>
      </c>
    </row>
    <row r="5898" spans="1:2">
      <c r="A5898" t="s">
        <v>17136</v>
      </c>
      <c r="B5898" t="s">
        <v>17137</v>
      </c>
    </row>
    <row r="5899" spans="1:2">
      <c r="A5899" t="s">
        <v>17138</v>
      </c>
      <c r="B5899" t="s">
        <v>17139</v>
      </c>
    </row>
    <row r="5900" spans="1:2">
      <c r="A5900" t="s">
        <v>17140</v>
      </c>
      <c r="B5900" t="s">
        <v>17141</v>
      </c>
    </row>
    <row r="5901" spans="1:2">
      <c r="A5901" t="s">
        <v>17142</v>
      </c>
      <c r="B5901" t="s">
        <v>17143</v>
      </c>
    </row>
    <row r="5902" spans="1:2">
      <c r="A5902" t="s">
        <v>17144</v>
      </c>
      <c r="B5902" t="s">
        <v>17145</v>
      </c>
    </row>
    <row r="5903" spans="1:2">
      <c r="A5903" t="s">
        <v>17146</v>
      </c>
      <c r="B5903" t="s">
        <v>652</v>
      </c>
    </row>
    <row r="5904" spans="1:2">
      <c r="A5904" t="s">
        <v>17147</v>
      </c>
      <c r="B5904" t="s">
        <v>17148</v>
      </c>
    </row>
    <row r="5905" spans="1:2">
      <c r="A5905" t="s">
        <v>17149</v>
      </c>
      <c r="B5905" t="s">
        <v>17150</v>
      </c>
    </row>
    <row r="5906" spans="1:2">
      <c r="A5906" t="s">
        <v>17151</v>
      </c>
      <c r="B5906" t="s">
        <v>17152</v>
      </c>
    </row>
    <row r="5907" spans="1:2">
      <c r="A5907" t="s">
        <v>17153</v>
      </c>
      <c r="B5907" t="s">
        <v>17154</v>
      </c>
    </row>
    <row r="5908" spans="1:2">
      <c r="A5908" t="s">
        <v>17155</v>
      </c>
      <c r="B5908" t="s">
        <v>1811</v>
      </c>
    </row>
    <row r="5909" spans="1:2">
      <c r="A5909" t="s">
        <v>17156</v>
      </c>
      <c r="B5909" t="s">
        <v>17157</v>
      </c>
    </row>
    <row r="5910" spans="1:2">
      <c r="A5910" t="s">
        <v>17158</v>
      </c>
      <c r="B5910" t="s">
        <v>17159</v>
      </c>
    </row>
    <row r="5911" spans="1:2">
      <c r="A5911" t="s">
        <v>17160</v>
      </c>
      <c r="B5911" t="s">
        <v>1811</v>
      </c>
    </row>
    <row r="5912" spans="1:2">
      <c r="A5912" t="s">
        <v>17161</v>
      </c>
      <c r="B5912" t="s">
        <v>17162</v>
      </c>
    </row>
    <row r="5913" spans="1:2">
      <c r="A5913" t="s">
        <v>17163</v>
      </c>
      <c r="B5913" t="s">
        <v>7549</v>
      </c>
    </row>
    <row r="5914" spans="1:2">
      <c r="A5914" t="s">
        <v>17164</v>
      </c>
      <c r="B5914" t="s">
        <v>8977</v>
      </c>
    </row>
    <row r="5915" spans="1:2">
      <c r="A5915" t="s">
        <v>17165</v>
      </c>
      <c r="B5915" t="s">
        <v>7218</v>
      </c>
    </row>
    <row r="5916" spans="1:2">
      <c r="A5916" t="s">
        <v>17166</v>
      </c>
      <c r="B5916" t="s">
        <v>8986</v>
      </c>
    </row>
    <row r="5917" spans="1:2">
      <c r="A5917" t="s">
        <v>17167</v>
      </c>
      <c r="B5917" t="s">
        <v>17168</v>
      </c>
    </row>
    <row r="5918" spans="1:2">
      <c r="A5918" t="s">
        <v>17169</v>
      </c>
      <c r="B5918" t="s">
        <v>17170</v>
      </c>
    </row>
    <row r="5919" spans="1:2">
      <c r="A5919" t="s">
        <v>17171</v>
      </c>
      <c r="B5919" t="s">
        <v>17172</v>
      </c>
    </row>
    <row r="5920" spans="1:2">
      <c r="A5920" t="s">
        <v>17173</v>
      </c>
      <c r="B5920" t="s">
        <v>17174</v>
      </c>
    </row>
    <row r="5921" spans="1:2">
      <c r="A5921" t="s">
        <v>17175</v>
      </c>
      <c r="B5921" t="s">
        <v>17176</v>
      </c>
    </row>
    <row r="5922" spans="1:2">
      <c r="A5922" t="s">
        <v>17177</v>
      </c>
      <c r="B5922" t="s">
        <v>8578</v>
      </c>
    </row>
    <row r="5923" spans="1:2">
      <c r="A5923" t="s">
        <v>17178</v>
      </c>
      <c r="B5923" t="s">
        <v>17179</v>
      </c>
    </row>
    <row r="5924" spans="1:2">
      <c r="A5924" t="s">
        <v>17180</v>
      </c>
      <c r="B5924" t="s">
        <v>17181</v>
      </c>
    </row>
    <row r="5925" spans="1:2">
      <c r="A5925" t="s">
        <v>17182</v>
      </c>
      <c r="B5925" t="s">
        <v>17183</v>
      </c>
    </row>
    <row r="5926" spans="1:2">
      <c r="A5926" t="s">
        <v>17184</v>
      </c>
      <c r="B5926" t="s">
        <v>17185</v>
      </c>
    </row>
    <row r="5927" spans="1:2">
      <c r="A5927" t="s">
        <v>17186</v>
      </c>
      <c r="B5927" t="s">
        <v>17187</v>
      </c>
    </row>
    <row r="5928" spans="1:2">
      <c r="A5928" t="s">
        <v>17188</v>
      </c>
      <c r="B5928" t="s">
        <v>17189</v>
      </c>
    </row>
    <row r="5929" spans="1:2">
      <c r="A5929" t="s">
        <v>17190</v>
      </c>
      <c r="B5929" t="s">
        <v>17191</v>
      </c>
    </row>
    <row r="5930" spans="1:2">
      <c r="A5930" t="s">
        <v>17192</v>
      </c>
      <c r="B5930" t="s">
        <v>17193</v>
      </c>
    </row>
    <row r="5931" spans="1:2">
      <c r="A5931" t="s">
        <v>17194</v>
      </c>
      <c r="B5931" t="s">
        <v>17195</v>
      </c>
    </row>
    <row r="5932" spans="1:2">
      <c r="A5932" t="s">
        <v>17196</v>
      </c>
      <c r="B5932" t="s">
        <v>17197</v>
      </c>
    </row>
    <row r="5933" spans="1:2">
      <c r="A5933" t="s">
        <v>17198</v>
      </c>
      <c r="B5933" t="s">
        <v>8622</v>
      </c>
    </row>
    <row r="5934" spans="1:2">
      <c r="A5934" t="s">
        <v>17199</v>
      </c>
      <c r="B5934" t="s">
        <v>17200</v>
      </c>
    </row>
    <row r="5935" spans="1:2">
      <c r="A5935" t="s">
        <v>17201</v>
      </c>
      <c r="B5935" t="s">
        <v>17202</v>
      </c>
    </row>
    <row r="5936" spans="1:2">
      <c r="A5936" t="s">
        <v>17203</v>
      </c>
      <c r="B5936" t="s">
        <v>17204</v>
      </c>
    </row>
    <row r="5937" spans="1:2">
      <c r="A5937" t="s">
        <v>17205</v>
      </c>
      <c r="B5937" t="s">
        <v>17206</v>
      </c>
    </row>
    <row r="5938" spans="1:2">
      <c r="A5938" t="s">
        <v>17207</v>
      </c>
      <c r="B5938" t="s">
        <v>17208</v>
      </c>
    </row>
    <row r="5939" spans="1:2">
      <c r="A5939" t="s">
        <v>17209</v>
      </c>
      <c r="B5939" t="s">
        <v>17210</v>
      </c>
    </row>
    <row r="5940" spans="1:2">
      <c r="A5940" t="s">
        <v>17211</v>
      </c>
      <c r="B5940" t="s">
        <v>1577</v>
      </c>
    </row>
    <row r="5941" spans="1:2">
      <c r="A5941" t="s">
        <v>17212</v>
      </c>
      <c r="B5941" t="s">
        <v>17213</v>
      </c>
    </row>
    <row r="5942" spans="1:2">
      <c r="A5942" t="s">
        <v>17214</v>
      </c>
      <c r="B5942" t="s">
        <v>17215</v>
      </c>
    </row>
    <row r="5943" spans="1:2">
      <c r="A5943" t="s">
        <v>17216</v>
      </c>
      <c r="B5943" t="s">
        <v>17217</v>
      </c>
    </row>
    <row r="5944" spans="1:2">
      <c r="A5944" t="s">
        <v>17218</v>
      </c>
      <c r="B5944" t="s">
        <v>17219</v>
      </c>
    </row>
    <row r="5945" spans="1:2">
      <c r="A5945" t="s">
        <v>17220</v>
      </c>
      <c r="B5945" t="s">
        <v>17221</v>
      </c>
    </row>
    <row r="5946" spans="1:2">
      <c r="A5946" t="s">
        <v>17222</v>
      </c>
      <c r="B5946" t="s">
        <v>2017</v>
      </c>
    </row>
    <row r="5947" spans="1:2">
      <c r="A5947" t="s">
        <v>17223</v>
      </c>
      <c r="B5947" t="s">
        <v>17224</v>
      </c>
    </row>
    <row r="5948" spans="1:2">
      <c r="A5948" t="s">
        <v>17225</v>
      </c>
      <c r="B5948" t="s">
        <v>17226</v>
      </c>
    </row>
    <row r="5949" spans="1:2">
      <c r="A5949" t="s">
        <v>17227</v>
      </c>
      <c r="B5949" t="s">
        <v>2770</v>
      </c>
    </row>
    <row r="5950" spans="1:2">
      <c r="A5950" t="s">
        <v>17228</v>
      </c>
      <c r="B5950" t="s">
        <v>17229</v>
      </c>
    </row>
    <row r="5951" spans="1:2">
      <c r="A5951" t="s">
        <v>17230</v>
      </c>
      <c r="B5951" t="s">
        <v>2428</v>
      </c>
    </row>
    <row r="5952" spans="1:2">
      <c r="A5952" t="s">
        <v>17231</v>
      </c>
      <c r="B5952" t="s">
        <v>17232</v>
      </c>
    </row>
    <row r="5953" spans="1:2">
      <c r="A5953" t="s">
        <v>17233</v>
      </c>
      <c r="B5953" t="s">
        <v>17234</v>
      </c>
    </row>
    <row r="5954" spans="1:2">
      <c r="A5954" t="s">
        <v>17235</v>
      </c>
      <c r="B5954" t="s">
        <v>17236</v>
      </c>
    </row>
    <row r="5955" spans="1:2">
      <c r="A5955" t="s">
        <v>17237</v>
      </c>
      <c r="B5955" t="s">
        <v>17238</v>
      </c>
    </row>
    <row r="5956" spans="1:2">
      <c r="A5956" t="s">
        <v>17239</v>
      </c>
      <c r="B5956" t="s">
        <v>1127</v>
      </c>
    </row>
    <row r="5957" spans="1:2">
      <c r="A5957" t="s">
        <v>17240</v>
      </c>
      <c r="B5957" t="s">
        <v>17241</v>
      </c>
    </row>
    <row r="5958" spans="1:2">
      <c r="A5958" t="s">
        <v>17242</v>
      </c>
      <c r="B5958" t="s">
        <v>17243</v>
      </c>
    </row>
    <row r="5959" spans="1:2">
      <c r="A5959" t="s">
        <v>17244</v>
      </c>
      <c r="B5959" t="s">
        <v>17245</v>
      </c>
    </row>
    <row r="5960" spans="1:2">
      <c r="A5960" t="s">
        <v>17246</v>
      </c>
      <c r="B5960" t="s">
        <v>17247</v>
      </c>
    </row>
    <row r="5961" spans="1:2">
      <c r="A5961" t="s">
        <v>17248</v>
      </c>
      <c r="B5961" t="s">
        <v>17249</v>
      </c>
    </row>
    <row r="5962" spans="1:2">
      <c r="A5962" t="s">
        <v>17250</v>
      </c>
      <c r="B5962" t="s">
        <v>17251</v>
      </c>
    </row>
    <row r="5963" spans="1:2">
      <c r="A5963" t="s">
        <v>17252</v>
      </c>
      <c r="B5963" t="s">
        <v>17253</v>
      </c>
    </row>
    <row r="5964" spans="1:2">
      <c r="A5964" t="s">
        <v>17254</v>
      </c>
      <c r="B5964" t="s">
        <v>17255</v>
      </c>
    </row>
    <row r="5965" spans="1:2">
      <c r="A5965" t="s">
        <v>17256</v>
      </c>
      <c r="B5965" t="s">
        <v>17257</v>
      </c>
    </row>
    <row r="5966" spans="1:2">
      <c r="A5966" t="s">
        <v>17258</v>
      </c>
      <c r="B5966" t="s">
        <v>17259</v>
      </c>
    </row>
    <row r="5967" spans="1:2">
      <c r="A5967" t="s">
        <v>17260</v>
      </c>
      <c r="B5967" t="s">
        <v>17261</v>
      </c>
    </row>
    <row r="5968" spans="1:2">
      <c r="A5968" t="s">
        <v>17262</v>
      </c>
      <c r="B5968" t="s">
        <v>17263</v>
      </c>
    </row>
    <row r="5969" spans="1:2">
      <c r="A5969" t="s">
        <v>17264</v>
      </c>
      <c r="B5969" t="s">
        <v>17265</v>
      </c>
    </row>
    <row r="5970" spans="1:2">
      <c r="A5970" t="s">
        <v>17266</v>
      </c>
      <c r="B5970" t="s">
        <v>17267</v>
      </c>
    </row>
    <row r="5971" spans="1:2">
      <c r="A5971" t="s">
        <v>17268</v>
      </c>
      <c r="B5971" t="s">
        <v>1490</v>
      </c>
    </row>
    <row r="5972" spans="1:2">
      <c r="A5972" t="s">
        <v>17269</v>
      </c>
      <c r="B5972" t="s">
        <v>17270</v>
      </c>
    </row>
    <row r="5973" spans="1:2">
      <c r="A5973" t="s">
        <v>17271</v>
      </c>
      <c r="B5973" t="s">
        <v>17272</v>
      </c>
    </row>
    <row r="5974" spans="1:2">
      <c r="A5974" t="s">
        <v>17273</v>
      </c>
      <c r="B5974" t="s">
        <v>17274</v>
      </c>
    </row>
    <row r="5975" spans="1:2">
      <c r="A5975" t="s">
        <v>17275</v>
      </c>
      <c r="B5975" t="s">
        <v>17276</v>
      </c>
    </row>
    <row r="5976" spans="1:2">
      <c r="A5976" t="s">
        <v>17277</v>
      </c>
      <c r="B5976" t="s">
        <v>17278</v>
      </c>
    </row>
    <row r="5977" spans="1:2">
      <c r="A5977" t="s">
        <v>17279</v>
      </c>
      <c r="B5977" t="s">
        <v>17280</v>
      </c>
    </row>
    <row r="5978" spans="1:2">
      <c r="A5978" t="s">
        <v>17281</v>
      </c>
      <c r="B5978" t="s">
        <v>17282</v>
      </c>
    </row>
    <row r="5979" spans="1:2">
      <c r="A5979" t="s">
        <v>17283</v>
      </c>
      <c r="B5979" t="s">
        <v>17284</v>
      </c>
    </row>
    <row r="5980" spans="1:2">
      <c r="A5980" t="s">
        <v>17285</v>
      </c>
      <c r="B5980" t="s">
        <v>17286</v>
      </c>
    </row>
    <row r="5981" spans="1:2">
      <c r="A5981" t="s">
        <v>17287</v>
      </c>
      <c r="B5981" t="s">
        <v>17288</v>
      </c>
    </row>
    <row r="5982" spans="1:2">
      <c r="A5982" t="s">
        <v>17289</v>
      </c>
      <c r="B5982" t="s">
        <v>17290</v>
      </c>
    </row>
    <row r="5983" spans="1:2">
      <c r="A5983" t="s">
        <v>17291</v>
      </c>
      <c r="B5983" t="s">
        <v>17292</v>
      </c>
    </row>
    <row r="5984" spans="1:2">
      <c r="A5984" t="s">
        <v>17293</v>
      </c>
      <c r="B5984" t="s">
        <v>17294</v>
      </c>
    </row>
    <row r="5985" spans="1:2">
      <c r="A5985" t="s">
        <v>17295</v>
      </c>
      <c r="B5985" t="s">
        <v>17296</v>
      </c>
    </row>
    <row r="5986" spans="1:2">
      <c r="A5986" t="s">
        <v>17297</v>
      </c>
      <c r="B5986" t="s">
        <v>17298</v>
      </c>
    </row>
    <row r="5987" spans="1:2">
      <c r="A5987" t="s">
        <v>17299</v>
      </c>
      <c r="B5987" t="s">
        <v>17300</v>
      </c>
    </row>
    <row r="5988" spans="1:2">
      <c r="A5988" t="s">
        <v>17301</v>
      </c>
      <c r="B5988" t="s">
        <v>17302</v>
      </c>
    </row>
    <row r="5989" spans="1:2">
      <c r="A5989" t="s">
        <v>17303</v>
      </c>
      <c r="B5989" t="s">
        <v>17304</v>
      </c>
    </row>
    <row r="5990" spans="1:2">
      <c r="A5990" t="s">
        <v>17305</v>
      </c>
      <c r="B5990" t="s">
        <v>17306</v>
      </c>
    </row>
    <row r="5991" spans="1:2">
      <c r="A5991" t="s">
        <v>17307</v>
      </c>
      <c r="B5991" t="s">
        <v>1992</v>
      </c>
    </row>
    <row r="5992" spans="1:2">
      <c r="A5992" t="s">
        <v>17308</v>
      </c>
      <c r="B5992" t="s">
        <v>17309</v>
      </c>
    </row>
    <row r="5993" spans="1:2">
      <c r="A5993" t="s">
        <v>17310</v>
      </c>
      <c r="B5993" t="s">
        <v>17311</v>
      </c>
    </row>
    <row r="5994" spans="1:2">
      <c r="A5994" t="s">
        <v>17312</v>
      </c>
      <c r="B5994" t="s">
        <v>17313</v>
      </c>
    </row>
    <row r="5995" spans="1:2">
      <c r="A5995" t="s">
        <v>17314</v>
      </c>
      <c r="B5995" t="s">
        <v>17315</v>
      </c>
    </row>
    <row r="5996" spans="1:2">
      <c r="A5996" t="s">
        <v>17316</v>
      </c>
      <c r="B5996" t="s">
        <v>1422</v>
      </c>
    </row>
    <row r="5997" spans="1:2">
      <c r="A5997" t="s">
        <v>17317</v>
      </c>
      <c r="B5997" t="s">
        <v>17318</v>
      </c>
    </row>
    <row r="5998" spans="1:2">
      <c r="A5998" t="s">
        <v>17319</v>
      </c>
      <c r="B5998" t="s">
        <v>17320</v>
      </c>
    </row>
    <row r="5999" spans="1:2">
      <c r="A5999" t="s">
        <v>17321</v>
      </c>
      <c r="B5999" t="s">
        <v>17322</v>
      </c>
    </row>
    <row r="6000" spans="1:2">
      <c r="A6000" t="s">
        <v>17323</v>
      </c>
      <c r="B6000" t="s">
        <v>17324</v>
      </c>
    </row>
    <row r="6001" spans="1:2">
      <c r="A6001" t="s">
        <v>17325</v>
      </c>
      <c r="B6001" t="s">
        <v>17326</v>
      </c>
    </row>
    <row r="6002" spans="1:2">
      <c r="A6002" t="s">
        <v>17327</v>
      </c>
      <c r="B6002" t="s">
        <v>17328</v>
      </c>
    </row>
    <row r="6003" spans="1:2">
      <c r="A6003" t="s">
        <v>17329</v>
      </c>
      <c r="B6003" t="s">
        <v>2786</v>
      </c>
    </row>
    <row r="6004" spans="1:2">
      <c r="A6004" t="s">
        <v>17330</v>
      </c>
      <c r="B6004" t="s">
        <v>1655</v>
      </c>
    </row>
    <row r="6005" spans="1:2">
      <c r="A6005" t="s">
        <v>17331</v>
      </c>
      <c r="B6005" t="s">
        <v>17332</v>
      </c>
    </row>
    <row r="6006" spans="1:2">
      <c r="A6006" t="s">
        <v>17333</v>
      </c>
      <c r="B6006" t="s">
        <v>17334</v>
      </c>
    </row>
    <row r="6007" spans="1:2">
      <c r="A6007" t="s">
        <v>17333</v>
      </c>
      <c r="B6007" t="s">
        <v>17334</v>
      </c>
    </row>
    <row r="6008" spans="1:2">
      <c r="A6008" t="s">
        <v>17335</v>
      </c>
      <c r="B6008" t="s">
        <v>17336</v>
      </c>
    </row>
    <row r="6009" spans="1:2">
      <c r="A6009" t="s">
        <v>17335</v>
      </c>
      <c r="B6009" t="s">
        <v>17336</v>
      </c>
    </row>
    <row r="6010" spans="1:2">
      <c r="A6010" t="s">
        <v>17337</v>
      </c>
      <c r="B6010" t="s">
        <v>17338</v>
      </c>
    </row>
    <row r="6011" spans="1:2">
      <c r="A6011" t="s">
        <v>17337</v>
      </c>
      <c r="B6011" t="s">
        <v>17338</v>
      </c>
    </row>
    <row r="6012" spans="1:2">
      <c r="A6012" t="s">
        <v>17339</v>
      </c>
      <c r="B6012" t="s">
        <v>17340</v>
      </c>
    </row>
    <row r="6013" spans="1:2">
      <c r="A6013" t="s">
        <v>17339</v>
      </c>
      <c r="B6013" t="s">
        <v>17340</v>
      </c>
    </row>
    <row r="6014" spans="1:2">
      <c r="A6014" t="s">
        <v>17341</v>
      </c>
      <c r="B6014" t="s">
        <v>17342</v>
      </c>
    </row>
    <row r="6015" spans="1:2">
      <c r="A6015" t="s">
        <v>17341</v>
      </c>
      <c r="B6015" t="s">
        <v>17342</v>
      </c>
    </row>
    <row r="6016" spans="1:2">
      <c r="A6016" t="s">
        <v>17343</v>
      </c>
      <c r="B6016" t="s">
        <v>17344</v>
      </c>
    </row>
    <row r="6017" spans="1:2">
      <c r="A6017" t="s">
        <v>17343</v>
      </c>
      <c r="B6017" t="s">
        <v>17344</v>
      </c>
    </row>
    <row r="6018" spans="1:2">
      <c r="A6018" t="s">
        <v>17345</v>
      </c>
      <c r="B6018" t="s">
        <v>17346</v>
      </c>
    </row>
    <row r="6019" spans="1:2">
      <c r="A6019" t="s">
        <v>17347</v>
      </c>
      <c r="B6019" t="s">
        <v>17348</v>
      </c>
    </row>
    <row r="6020" spans="1:2">
      <c r="A6020" t="s">
        <v>17349</v>
      </c>
      <c r="B6020" t="s">
        <v>17350</v>
      </c>
    </row>
    <row r="6021" spans="1:2">
      <c r="A6021" t="s">
        <v>17351</v>
      </c>
      <c r="B6021" t="s">
        <v>17352</v>
      </c>
    </row>
    <row r="6022" spans="1:2">
      <c r="A6022" t="s">
        <v>17351</v>
      </c>
      <c r="B6022" t="s">
        <v>17352</v>
      </c>
    </row>
    <row r="6023" spans="1:2">
      <c r="A6023" t="s">
        <v>17353</v>
      </c>
      <c r="B6023" t="s">
        <v>17354</v>
      </c>
    </row>
    <row r="6024" spans="1:2">
      <c r="A6024" t="s">
        <v>17353</v>
      </c>
      <c r="B6024" t="s">
        <v>17354</v>
      </c>
    </row>
    <row r="6025" spans="1:2">
      <c r="A6025" t="s">
        <v>17355</v>
      </c>
      <c r="B6025" t="s">
        <v>17356</v>
      </c>
    </row>
    <row r="6026" spans="1:2">
      <c r="A6026" t="s">
        <v>17355</v>
      </c>
      <c r="B6026" t="s">
        <v>17356</v>
      </c>
    </row>
    <row r="6027" spans="1:2">
      <c r="A6027" t="s">
        <v>17357</v>
      </c>
      <c r="B6027" t="s">
        <v>17358</v>
      </c>
    </row>
    <row r="6028" spans="1:2">
      <c r="A6028" t="s">
        <v>17357</v>
      </c>
      <c r="B6028" t="s">
        <v>17358</v>
      </c>
    </row>
    <row r="6029" spans="1:2">
      <c r="A6029" t="s">
        <v>17359</v>
      </c>
      <c r="B6029" t="s">
        <v>17360</v>
      </c>
    </row>
    <row r="6030" spans="1:2">
      <c r="A6030" t="s">
        <v>17359</v>
      </c>
      <c r="B6030" t="s">
        <v>17360</v>
      </c>
    </row>
    <row r="6031" spans="1:2">
      <c r="A6031" t="s">
        <v>17361</v>
      </c>
      <c r="B6031" t="s">
        <v>17362</v>
      </c>
    </row>
    <row r="6032" spans="1:2">
      <c r="A6032" t="s">
        <v>17361</v>
      </c>
      <c r="B6032" t="s">
        <v>17362</v>
      </c>
    </row>
    <row r="6033" spans="1:2">
      <c r="A6033" t="s">
        <v>17363</v>
      </c>
      <c r="B6033" t="s">
        <v>17364</v>
      </c>
    </row>
    <row r="6034" spans="1:2">
      <c r="A6034" t="s">
        <v>17363</v>
      </c>
      <c r="B6034" t="s">
        <v>17364</v>
      </c>
    </row>
    <row r="6035" spans="1:2">
      <c r="A6035" t="s">
        <v>17365</v>
      </c>
      <c r="B6035" t="s">
        <v>17366</v>
      </c>
    </row>
    <row r="6036" spans="1:2">
      <c r="A6036" t="s">
        <v>17365</v>
      </c>
      <c r="B6036" t="s">
        <v>17366</v>
      </c>
    </row>
    <row r="6037" spans="1:2">
      <c r="A6037" t="s">
        <v>17367</v>
      </c>
      <c r="B6037" t="s">
        <v>17368</v>
      </c>
    </row>
    <row r="6038" spans="1:2">
      <c r="A6038" t="s">
        <v>17367</v>
      </c>
      <c r="B6038" t="s">
        <v>17368</v>
      </c>
    </row>
    <row r="6039" spans="1:2">
      <c r="A6039" t="s">
        <v>17369</v>
      </c>
      <c r="B6039" t="s">
        <v>17370</v>
      </c>
    </row>
    <row r="6040" spans="1:2">
      <c r="A6040" t="s">
        <v>17369</v>
      </c>
      <c r="B6040" t="s">
        <v>17370</v>
      </c>
    </row>
    <row r="6041" spans="1:2">
      <c r="A6041" t="s">
        <v>17371</v>
      </c>
      <c r="B6041" t="s">
        <v>17372</v>
      </c>
    </row>
    <row r="6042" spans="1:2">
      <c r="A6042" t="s">
        <v>17371</v>
      </c>
      <c r="B6042" t="s">
        <v>17372</v>
      </c>
    </row>
    <row r="6043" spans="1:2">
      <c r="A6043" t="s">
        <v>17373</v>
      </c>
      <c r="B6043" t="s">
        <v>17374</v>
      </c>
    </row>
    <row r="6044" spans="1:2">
      <c r="A6044" t="s">
        <v>17375</v>
      </c>
      <c r="B6044" t="s">
        <v>17376</v>
      </c>
    </row>
    <row r="6045" spans="1:2">
      <c r="A6045" t="s">
        <v>17377</v>
      </c>
      <c r="B6045" t="s">
        <v>17378</v>
      </c>
    </row>
    <row r="6046" spans="1:2">
      <c r="A6046" t="s">
        <v>17379</v>
      </c>
      <c r="B6046" t="s">
        <v>17380</v>
      </c>
    </row>
    <row r="6047" spans="1:2">
      <c r="A6047" t="s">
        <v>17381</v>
      </c>
      <c r="B6047" t="s">
        <v>17382</v>
      </c>
    </row>
    <row r="6048" spans="1:2">
      <c r="A6048" t="s">
        <v>17383</v>
      </c>
      <c r="B6048" t="s">
        <v>17384</v>
      </c>
    </row>
    <row r="6049" spans="1:2">
      <c r="A6049" t="s">
        <v>17385</v>
      </c>
      <c r="B6049" t="s">
        <v>17386</v>
      </c>
    </row>
    <row r="6050" spans="1:2">
      <c r="A6050" t="s">
        <v>17387</v>
      </c>
      <c r="B6050" t="s">
        <v>17388</v>
      </c>
    </row>
    <row r="6051" spans="1:2">
      <c r="A6051" t="s">
        <v>17389</v>
      </c>
      <c r="B6051" t="s">
        <v>17390</v>
      </c>
    </row>
    <row r="6052" spans="1:2">
      <c r="A6052" t="s">
        <v>17391</v>
      </c>
      <c r="B6052" t="s">
        <v>17392</v>
      </c>
    </row>
    <row r="6053" spans="1:2">
      <c r="A6053" t="s">
        <v>17393</v>
      </c>
      <c r="B6053" t="s">
        <v>17394</v>
      </c>
    </row>
    <row r="6054" spans="1:2">
      <c r="A6054" t="s">
        <v>17395</v>
      </c>
      <c r="B6054" t="s">
        <v>15182</v>
      </c>
    </row>
    <row r="6055" spans="1:2">
      <c r="A6055" t="s">
        <v>17396</v>
      </c>
      <c r="B6055" t="s">
        <v>17397</v>
      </c>
    </row>
    <row r="6056" spans="1:2">
      <c r="A6056" t="s">
        <v>17398</v>
      </c>
      <c r="B6056" t="s">
        <v>17399</v>
      </c>
    </row>
    <row r="6057" spans="1:2">
      <c r="A6057" t="s">
        <v>17400</v>
      </c>
      <c r="B6057" t="s">
        <v>17401</v>
      </c>
    </row>
    <row r="6058" spans="1:2">
      <c r="A6058" t="s">
        <v>17402</v>
      </c>
      <c r="B6058" t="s">
        <v>17403</v>
      </c>
    </row>
    <row r="6059" spans="1:2">
      <c r="A6059" t="s">
        <v>17404</v>
      </c>
      <c r="B6059" t="s">
        <v>17405</v>
      </c>
    </row>
    <row r="6060" spans="1:2">
      <c r="A6060" t="s">
        <v>17406</v>
      </c>
      <c r="B6060" t="s">
        <v>17407</v>
      </c>
    </row>
    <row r="6061" spans="1:2">
      <c r="A6061" t="s">
        <v>17408</v>
      </c>
      <c r="B6061" t="s">
        <v>17409</v>
      </c>
    </row>
    <row r="6062" spans="1:2">
      <c r="A6062" t="s">
        <v>17410</v>
      </c>
      <c r="B6062" t="s">
        <v>17411</v>
      </c>
    </row>
    <row r="6063" spans="1:2">
      <c r="A6063" t="s">
        <v>17412</v>
      </c>
      <c r="B6063" t="s">
        <v>17413</v>
      </c>
    </row>
    <row r="6064" spans="1:2">
      <c r="A6064" t="s">
        <v>17414</v>
      </c>
      <c r="B6064" t="s">
        <v>17415</v>
      </c>
    </row>
    <row r="6065" spans="1:2">
      <c r="A6065" t="s">
        <v>17416</v>
      </c>
      <c r="B6065" t="s">
        <v>17417</v>
      </c>
    </row>
    <row r="6066" spans="1:2">
      <c r="A6066" t="s">
        <v>17416</v>
      </c>
      <c r="B6066" t="s">
        <v>17418</v>
      </c>
    </row>
    <row r="6067" spans="1:2">
      <c r="A6067" t="s">
        <v>17416</v>
      </c>
      <c r="B6067" t="s">
        <v>17419</v>
      </c>
    </row>
    <row r="6068" spans="1:2">
      <c r="A6068" t="s">
        <v>17416</v>
      </c>
      <c r="B6068" t="s">
        <v>17420</v>
      </c>
    </row>
    <row r="6069" spans="1:2">
      <c r="A6069" t="s">
        <v>17416</v>
      </c>
      <c r="B6069" t="s">
        <v>17421</v>
      </c>
    </row>
    <row r="6070" spans="1:2">
      <c r="A6070" t="s">
        <v>17416</v>
      </c>
      <c r="B6070" t="s">
        <v>17422</v>
      </c>
    </row>
    <row r="6071" spans="1:2">
      <c r="A6071" t="s">
        <v>17416</v>
      </c>
      <c r="B6071" t="s">
        <v>17423</v>
      </c>
    </row>
    <row r="6072" spans="1:2">
      <c r="A6072" t="s">
        <v>17416</v>
      </c>
      <c r="B6072" t="s">
        <v>17424</v>
      </c>
    </row>
    <row r="6073" spans="1:2">
      <c r="A6073" t="s">
        <v>17416</v>
      </c>
      <c r="B6073" t="s">
        <v>17425</v>
      </c>
    </row>
    <row r="6074" spans="1:2">
      <c r="A6074" t="s">
        <v>17416</v>
      </c>
      <c r="B6074" t="s">
        <v>17426</v>
      </c>
    </row>
    <row r="6075" spans="1:2">
      <c r="A6075" t="s">
        <v>17427</v>
      </c>
      <c r="B6075" t="s">
        <v>17428</v>
      </c>
    </row>
    <row r="6076" spans="1:2">
      <c r="A6076" t="s">
        <v>17427</v>
      </c>
      <c r="B6076" t="s">
        <v>17429</v>
      </c>
    </row>
    <row r="6077" spans="1:2">
      <c r="A6077" t="s">
        <v>17427</v>
      </c>
      <c r="B6077" t="s">
        <v>17430</v>
      </c>
    </row>
    <row r="6078" spans="1:2">
      <c r="A6078" t="s">
        <v>17427</v>
      </c>
      <c r="B6078" t="s">
        <v>17431</v>
      </c>
    </row>
    <row r="6079" spans="1:2">
      <c r="A6079" t="s">
        <v>17427</v>
      </c>
      <c r="B6079" t="s">
        <v>17431</v>
      </c>
    </row>
    <row r="6080" spans="1:2">
      <c r="A6080" t="s">
        <v>17427</v>
      </c>
      <c r="B6080" t="s">
        <v>17432</v>
      </c>
    </row>
    <row r="6081" spans="1:2">
      <c r="A6081" t="s">
        <v>17427</v>
      </c>
      <c r="B6081" t="s">
        <v>17429</v>
      </c>
    </row>
    <row r="6082" spans="1:2">
      <c r="A6082" t="s">
        <v>17427</v>
      </c>
      <c r="B6082" t="s">
        <v>17433</v>
      </c>
    </row>
    <row r="6083" spans="1:2">
      <c r="A6083" t="s">
        <v>17427</v>
      </c>
      <c r="B6083" t="s">
        <v>17434</v>
      </c>
    </row>
    <row r="6084" spans="1:2">
      <c r="A6084" t="s">
        <v>17427</v>
      </c>
      <c r="B6084" t="s">
        <v>17435</v>
      </c>
    </row>
    <row r="6085" spans="1:2">
      <c r="A6085" t="s">
        <v>17436</v>
      </c>
      <c r="B6085" t="s">
        <v>646</v>
      </c>
    </row>
    <row r="6086" spans="1:2">
      <c r="A6086" t="s">
        <v>17436</v>
      </c>
      <c r="B6086" t="s">
        <v>646</v>
      </c>
    </row>
    <row r="6087" spans="1:2">
      <c r="A6087" t="s">
        <v>17436</v>
      </c>
      <c r="B6087" t="s">
        <v>17437</v>
      </c>
    </row>
    <row r="6088" spans="1:2">
      <c r="A6088" t="s">
        <v>17436</v>
      </c>
      <c r="B6088" t="s">
        <v>646</v>
      </c>
    </row>
    <row r="6089" spans="1:2">
      <c r="A6089" t="s">
        <v>17436</v>
      </c>
      <c r="B6089" t="s">
        <v>17438</v>
      </c>
    </row>
    <row r="6090" spans="1:2">
      <c r="A6090" t="s">
        <v>17436</v>
      </c>
      <c r="B6090" t="s">
        <v>646</v>
      </c>
    </row>
    <row r="6091" spans="1:2">
      <c r="A6091" t="s">
        <v>17436</v>
      </c>
      <c r="B6091" t="s">
        <v>646</v>
      </c>
    </row>
    <row r="6092" spans="1:2">
      <c r="A6092" t="s">
        <v>17436</v>
      </c>
      <c r="B6092" t="s">
        <v>646</v>
      </c>
    </row>
    <row r="6093" spans="1:2">
      <c r="A6093" t="s">
        <v>17436</v>
      </c>
      <c r="B6093" t="s">
        <v>646</v>
      </c>
    </row>
    <row r="6094" spans="1:2">
      <c r="A6094" t="s">
        <v>17436</v>
      </c>
      <c r="B6094" t="s">
        <v>17439</v>
      </c>
    </row>
    <row r="6095" spans="1:2">
      <c r="A6095" t="s">
        <v>17436</v>
      </c>
      <c r="B6095" t="s">
        <v>646</v>
      </c>
    </row>
    <row r="6096" spans="1:2">
      <c r="A6096" t="s">
        <v>17440</v>
      </c>
      <c r="B6096" t="s">
        <v>17441</v>
      </c>
    </row>
    <row r="6097" spans="1:2">
      <c r="A6097" t="s">
        <v>17440</v>
      </c>
      <c r="B6097" t="s">
        <v>17442</v>
      </c>
    </row>
    <row r="6098" spans="1:2">
      <c r="A6098" t="s">
        <v>17440</v>
      </c>
      <c r="B6098" t="s">
        <v>17443</v>
      </c>
    </row>
    <row r="6099" spans="1:2">
      <c r="A6099" t="s">
        <v>17440</v>
      </c>
      <c r="B6099" t="s">
        <v>17444</v>
      </c>
    </row>
    <row r="6100" spans="1:2">
      <c r="A6100" t="s">
        <v>17440</v>
      </c>
      <c r="B6100" t="s">
        <v>17445</v>
      </c>
    </row>
    <row r="6101" spans="1:2">
      <c r="A6101" t="s">
        <v>17440</v>
      </c>
      <c r="B6101" t="s">
        <v>17446</v>
      </c>
    </row>
    <row r="6102" spans="1:2">
      <c r="A6102" t="s">
        <v>17440</v>
      </c>
      <c r="B6102" t="s">
        <v>17441</v>
      </c>
    </row>
    <row r="6103" spans="1:2">
      <c r="A6103" t="s">
        <v>17440</v>
      </c>
      <c r="B6103" t="s">
        <v>17442</v>
      </c>
    </row>
    <row r="6104" spans="1:2">
      <c r="A6104" t="s">
        <v>17440</v>
      </c>
      <c r="B6104" t="s">
        <v>17447</v>
      </c>
    </row>
    <row r="6105" spans="1:2">
      <c r="A6105" t="s">
        <v>17440</v>
      </c>
      <c r="B6105" t="s">
        <v>17448</v>
      </c>
    </row>
    <row r="6106" spans="1:2">
      <c r="A6106" t="s">
        <v>17440</v>
      </c>
      <c r="B6106" t="s">
        <v>17446</v>
      </c>
    </row>
    <row r="6107" spans="1:2">
      <c r="A6107" t="s">
        <v>17449</v>
      </c>
      <c r="B6107" t="s">
        <v>17450</v>
      </c>
    </row>
    <row r="6108" spans="1:2">
      <c r="A6108" t="s">
        <v>17449</v>
      </c>
      <c r="B6108" t="s">
        <v>17450</v>
      </c>
    </row>
    <row r="6109" spans="1:2">
      <c r="A6109" t="s">
        <v>17449</v>
      </c>
      <c r="B6109" t="s">
        <v>17450</v>
      </c>
    </row>
    <row r="6110" spans="1:2">
      <c r="A6110" t="s">
        <v>17449</v>
      </c>
      <c r="B6110" t="s">
        <v>17450</v>
      </c>
    </row>
    <row r="6111" spans="1:2">
      <c r="A6111" t="s">
        <v>17449</v>
      </c>
      <c r="B6111" t="s">
        <v>17450</v>
      </c>
    </row>
    <row r="6112" spans="1:2">
      <c r="A6112" t="s">
        <v>17449</v>
      </c>
      <c r="B6112" t="s">
        <v>17450</v>
      </c>
    </row>
    <row r="6113" spans="1:2">
      <c r="A6113" t="s">
        <v>17449</v>
      </c>
      <c r="B6113" t="s">
        <v>17450</v>
      </c>
    </row>
    <row r="6114" spans="1:2">
      <c r="A6114" t="s">
        <v>17449</v>
      </c>
      <c r="B6114" t="s">
        <v>17450</v>
      </c>
    </row>
    <row r="6115" spans="1:2">
      <c r="A6115" t="s">
        <v>17449</v>
      </c>
      <c r="B6115" t="s">
        <v>17451</v>
      </c>
    </row>
    <row r="6116" spans="1:2">
      <c r="A6116" t="s">
        <v>17449</v>
      </c>
      <c r="B6116" t="s">
        <v>17450</v>
      </c>
    </row>
    <row r="6117" spans="1:2">
      <c r="A6117" t="s">
        <v>17449</v>
      </c>
      <c r="B6117" t="s">
        <v>17450</v>
      </c>
    </row>
    <row r="6118" spans="1:2">
      <c r="A6118" t="s">
        <v>17452</v>
      </c>
      <c r="B6118" t="s">
        <v>17453</v>
      </c>
    </row>
    <row r="6119" spans="1:2">
      <c r="A6119" t="s">
        <v>17452</v>
      </c>
      <c r="B6119" t="s">
        <v>17453</v>
      </c>
    </row>
    <row r="6120" spans="1:2">
      <c r="A6120" t="s">
        <v>17452</v>
      </c>
      <c r="B6120" t="s">
        <v>17454</v>
      </c>
    </row>
    <row r="6121" spans="1:2">
      <c r="A6121" t="s">
        <v>17452</v>
      </c>
      <c r="B6121" t="s">
        <v>17453</v>
      </c>
    </row>
    <row r="6122" spans="1:2">
      <c r="A6122" t="s">
        <v>17452</v>
      </c>
      <c r="B6122" t="s">
        <v>17453</v>
      </c>
    </row>
    <row r="6123" spans="1:2">
      <c r="A6123" t="s">
        <v>17452</v>
      </c>
      <c r="B6123" t="s">
        <v>17453</v>
      </c>
    </row>
    <row r="6124" spans="1:2">
      <c r="A6124" t="s">
        <v>17452</v>
      </c>
      <c r="B6124" t="s">
        <v>17453</v>
      </c>
    </row>
    <row r="6125" spans="1:2">
      <c r="A6125" t="s">
        <v>17452</v>
      </c>
      <c r="B6125" t="s">
        <v>17453</v>
      </c>
    </row>
    <row r="6126" spans="1:2">
      <c r="A6126" t="s">
        <v>17452</v>
      </c>
      <c r="B6126" t="s">
        <v>17453</v>
      </c>
    </row>
    <row r="6127" spans="1:2">
      <c r="A6127" t="s">
        <v>17452</v>
      </c>
      <c r="B6127" t="s">
        <v>17453</v>
      </c>
    </row>
    <row r="6128" spans="1:2">
      <c r="A6128" t="s">
        <v>17452</v>
      </c>
      <c r="B6128" t="s">
        <v>17453</v>
      </c>
    </row>
    <row r="6129" spans="1:2">
      <c r="A6129" t="s">
        <v>17455</v>
      </c>
      <c r="B6129" t="s">
        <v>17456</v>
      </c>
    </row>
    <row r="6130" spans="1:2">
      <c r="A6130" t="s">
        <v>17455</v>
      </c>
      <c r="B6130" t="s">
        <v>17457</v>
      </c>
    </row>
    <row r="6131" spans="1:2">
      <c r="A6131" t="s">
        <v>17455</v>
      </c>
      <c r="B6131" t="s">
        <v>17458</v>
      </c>
    </row>
    <row r="6132" spans="1:2">
      <c r="A6132" t="s">
        <v>17455</v>
      </c>
      <c r="B6132" t="s">
        <v>17459</v>
      </c>
    </row>
    <row r="6133" spans="1:2">
      <c r="A6133" t="s">
        <v>17455</v>
      </c>
      <c r="B6133" t="s">
        <v>17459</v>
      </c>
    </row>
    <row r="6134" spans="1:2">
      <c r="A6134" t="s">
        <v>17455</v>
      </c>
      <c r="B6134" t="s">
        <v>17460</v>
      </c>
    </row>
    <row r="6135" spans="1:2">
      <c r="A6135" t="s">
        <v>17455</v>
      </c>
      <c r="B6135" t="s">
        <v>17461</v>
      </c>
    </row>
    <row r="6136" spans="1:2">
      <c r="A6136" t="s">
        <v>17455</v>
      </c>
      <c r="B6136" t="s">
        <v>17462</v>
      </c>
    </row>
    <row r="6137" spans="1:2">
      <c r="A6137" t="s">
        <v>17455</v>
      </c>
      <c r="B6137" t="s">
        <v>17463</v>
      </c>
    </row>
    <row r="6138" spans="1:2">
      <c r="A6138" t="s">
        <v>17455</v>
      </c>
      <c r="B6138" t="s">
        <v>17464</v>
      </c>
    </row>
    <row r="6139" spans="1:2">
      <c r="A6139" t="s">
        <v>17465</v>
      </c>
      <c r="B6139" t="s">
        <v>17466</v>
      </c>
    </row>
    <row r="6140" spans="1:2">
      <c r="A6140" t="s">
        <v>17465</v>
      </c>
      <c r="B6140" t="s">
        <v>8507</v>
      </c>
    </row>
    <row r="6141" spans="1:2">
      <c r="A6141" t="s">
        <v>17465</v>
      </c>
      <c r="B6141" t="s">
        <v>17467</v>
      </c>
    </row>
    <row r="6142" spans="1:2">
      <c r="A6142" t="s">
        <v>17465</v>
      </c>
      <c r="B6142" t="s">
        <v>17468</v>
      </c>
    </row>
    <row r="6143" spans="1:2">
      <c r="A6143" t="s">
        <v>17465</v>
      </c>
      <c r="B6143" t="s">
        <v>17469</v>
      </c>
    </row>
    <row r="6144" spans="1:2">
      <c r="A6144" t="s">
        <v>17465</v>
      </c>
      <c r="B6144" t="s">
        <v>17470</v>
      </c>
    </row>
    <row r="6145" spans="1:2">
      <c r="A6145" t="s">
        <v>17465</v>
      </c>
      <c r="B6145" t="s">
        <v>17471</v>
      </c>
    </row>
    <row r="6146" spans="1:2">
      <c r="A6146" t="s">
        <v>17465</v>
      </c>
      <c r="B6146" t="s">
        <v>17472</v>
      </c>
    </row>
    <row r="6147" spans="1:2">
      <c r="A6147" t="s">
        <v>17465</v>
      </c>
      <c r="B6147" t="s">
        <v>17473</v>
      </c>
    </row>
    <row r="6148" spans="1:2">
      <c r="A6148" t="s">
        <v>17474</v>
      </c>
      <c r="B6148" t="s">
        <v>17475</v>
      </c>
    </row>
    <row r="6149" spans="1:2">
      <c r="A6149" t="s">
        <v>17474</v>
      </c>
      <c r="B6149" t="s">
        <v>17476</v>
      </c>
    </row>
    <row r="6150" spans="1:2">
      <c r="A6150" t="s">
        <v>17474</v>
      </c>
      <c r="B6150" t="s">
        <v>17477</v>
      </c>
    </row>
    <row r="6151" spans="1:2">
      <c r="A6151" t="s">
        <v>17474</v>
      </c>
      <c r="B6151" t="s">
        <v>17478</v>
      </c>
    </row>
    <row r="6152" spans="1:2">
      <c r="A6152" t="s">
        <v>17474</v>
      </c>
      <c r="B6152" t="s">
        <v>17479</v>
      </c>
    </row>
    <row r="6153" spans="1:2">
      <c r="A6153" t="s">
        <v>17474</v>
      </c>
      <c r="B6153" t="s">
        <v>17480</v>
      </c>
    </row>
    <row r="6154" spans="1:2">
      <c r="A6154" t="s">
        <v>17474</v>
      </c>
      <c r="B6154" t="s">
        <v>17481</v>
      </c>
    </row>
    <row r="6155" spans="1:2">
      <c r="A6155" t="s">
        <v>17474</v>
      </c>
      <c r="B6155" t="s">
        <v>17482</v>
      </c>
    </row>
    <row r="6156" spans="1:2">
      <c r="A6156" t="s">
        <v>17474</v>
      </c>
      <c r="B6156" t="s">
        <v>17483</v>
      </c>
    </row>
    <row r="6157" spans="1:2">
      <c r="A6157" t="s">
        <v>17474</v>
      </c>
      <c r="B6157" t="s">
        <v>17484</v>
      </c>
    </row>
    <row r="6158" spans="1:2">
      <c r="A6158" t="s">
        <v>17485</v>
      </c>
      <c r="B6158" t="s">
        <v>9573</v>
      </c>
    </row>
    <row r="6159" spans="1:2">
      <c r="A6159" t="s">
        <v>17486</v>
      </c>
      <c r="B6159" t="s">
        <v>8152</v>
      </c>
    </row>
    <row r="6160" spans="1:2">
      <c r="A6160" t="s">
        <v>17487</v>
      </c>
      <c r="B6160" t="s">
        <v>9557</v>
      </c>
    </row>
    <row r="6161" spans="1:2">
      <c r="A6161" t="s">
        <v>17488</v>
      </c>
      <c r="B6161" t="s">
        <v>17489</v>
      </c>
    </row>
    <row r="6162" spans="1:2">
      <c r="A6162" t="s">
        <v>17490</v>
      </c>
      <c r="B6162" t="s">
        <v>9565</v>
      </c>
    </row>
    <row r="6163" spans="1:2">
      <c r="A6163" t="s">
        <v>17491</v>
      </c>
      <c r="B6163" t="s">
        <v>17492</v>
      </c>
    </row>
    <row r="6164" spans="1:2">
      <c r="A6164" t="s">
        <v>17493</v>
      </c>
      <c r="B6164" t="s">
        <v>8170</v>
      </c>
    </row>
    <row r="6165" spans="1:2">
      <c r="A6165" t="s">
        <v>17494</v>
      </c>
      <c r="B6165" t="s">
        <v>17495</v>
      </c>
    </row>
    <row r="6166" spans="1:2">
      <c r="A6166" t="s">
        <v>17496</v>
      </c>
      <c r="B6166" t="s">
        <v>947</v>
      </c>
    </row>
    <row r="6167" spans="1:2">
      <c r="A6167" t="s">
        <v>17497</v>
      </c>
      <c r="B6167" t="s">
        <v>17498</v>
      </c>
    </row>
    <row r="6168" spans="1:2">
      <c r="A6168" t="s">
        <v>17499</v>
      </c>
      <c r="B6168" t="s">
        <v>17500</v>
      </c>
    </row>
    <row r="6169" spans="1:2">
      <c r="A6169" t="s">
        <v>17501</v>
      </c>
      <c r="B6169" t="s">
        <v>403</v>
      </c>
    </row>
    <row r="6170" spans="1:2">
      <c r="A6170" t="s">
        <v>17502</v>
      </c>
      <c r="B6170" t="s">
        <v>17503</v>
      </c>
    </row>
    <row r="6171" spans="1:2">
      <c r="A6171" t="s">
        <v>17504</v>
      </c>
      <c r="B6171" t="s">
        <v>17505</v>
      </c>
    </row>
    <row r="6172" spans="1:2">
      <c r="A6172" t="s">
        <v>17506</v>
      </c>
      <c r="B6172" t="s">
        <v>17507</v>
      </c>
    </row>
    <row r="6173" spans="1:2">
      <c r="A6173" t="s">
        <v>17508</v>
      </c>
      <c r="B6173" t="s">
        <v>17509</v>
      </c>
    </row>
    <row r="6174" spans="1:2">
      <c r="A6174" t="s">
        <v>17510</v>
      </c>
      <c r="B6174" t="s">
        <v>17511</v>
      </c>
    </row>
    <row r="6175" spans="1:2">
      <c r="A6175" t="s">
        <v>17512</v>
      </c>
      <c r="B6175" t="s">
        <v>17513</v>
      </c>
    </row>
    <row r="6176" spans="1:2">
      <c r="A6176" t="s">
        <v>17514</v>
      </c>
      <c r="B6176" t="s">
        <v>17515</v>
      </c>
    </row>
    <row r="6177" spans="1:2">
      <c r="A6177" t="s">
        <v>17516</v>
      </c>
      <c r="B6177" t="s">
        <v>17517</v>
      </c>
    </row>
  </sheetData>
  <autoFilter ref="A1:B6231" xr:uid="{00000000-0009-0000-0000-00000A000000}"/>
  <pageMargins left="0.7" right="0.7" top="0.75" bottom="0.75" header="0.3" footer="0.3"/>
  <pageSetup orientation="portrait"/>
  <headerFooter>
    <oddFooter xml:space="preserve">&amp;L_x000D_&amp;1#&amp;"Calibri"&amp;8&amp;K000000  Rockwell Automation Company 'Internal'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defaultColWidth="8.875" defaultRowHeight="12.75"/>
  <cols>
    <col min="1" max="1" width="143" customWidth="1"/>
    <col min="2" max="2" width="3" customWidth="1"/>
  </cols>
  <sheetData>
    <row r="1" spans="1:2" ht="100.5" customHeight="1">
      <c r="A1" s="39" t="str">
        <f ca="1">OFFSET(L!$C$1,MATCH("Instructions"&amp;ADDRESS(ROW(),COLUMN(),4),L!$A:$A,0)-1,SL,,)</f>
        <v>RMI website: (www.responsiblemineralsinitiative.org)
Training and guidance, template, Responsible Minerals Assurance Process conformant smelter list.</v>
      </c>
      <c r="B1" s="40" t="s">
        <v>96</v>
      </c>
    </row>
    <row r="2" spans="1:2" ht="30">
      <c r="A2" s="41" t="str">
        <f ca="1">OFFSET(L!$C$1,MATCH("Instructions"&amp;ADDRESS(ROW(),COLUMN(),4),L!$A:$A,0)-1,SL,,)</f>
        <v>Introduction</v>
      </c>
      <c r="B2" s="40" t="s">
        <v>97</v>
      </c>
    </row>
    <row r="3" spans="1:2" ht="165">
      <c r="A3" s="4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0" t="s">
        <v>98</v>
      </c>
    </row>
    <row r="4" spans="1:2" ht="222.6" customHeight="1">
      <c r="A4" s="4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0" t="s">
        <v>99</v>
      </c>
    </row>
    <row r="5" spans="1:2" ht="15">
      <c r="A5" s="43"/>
      <c r="B5" s="40"/>
    </row>
    <row r="6" spans="1:2" ht="30">
      <c r="A6" s="41" t="str">
        <f ca="1">OFFSET(L!$C$1,MATCH("Instructions"&amp;ADDRESS(ROW(),COLUMN(),4),L!$A:$A,0)-1,SL,,)</f>
        <v>Instructions for completing Company Information questions (rows 8 - 22).
Provide comments in ENGLISH only</v>
      </c>
      <c r="B6" s="40" t="s">
        <v>97</v>
      </c>
    </row>
    <row r="7" spans="1:2" ht="15">
      <c r="A7" s="44" t="str">
        <f ca="1">OFFSET(L!$C$1,MATCH("Instructions"&amp;ADDRESS(ROW(),COLUMN(),4),L!$A:$A,0)-1,SL,,)</f>
        <v xml:space="preserve">Note:  Entries with (*) are mandatory fields. </v>
      </c>
      <c r="B7" s="40"/>
    </row>
    <row r="8" spans="1:2" ht="30">
      <c r="A8" s="42" t="str">
        <f ca="1">OFFSET(L!$C$1,MATCH("Instructions"&amp;ADDRESS(ROW(),COLUMN(),4),L!$A:$A,0)-1,SL,,)</f>
        <v>1. Insert your company's Legal Name.  Please do not use abbreviations. In this field you have the option to add other commercial names, DBAs, etc.</v>
      </c>
      <c r="B8" s="40"/>
    </row>
    <row r="9" spans="1:2" ht="405.6" customHeight="1">
      <c r="A9" s="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0" t="s">
        <v>96</v>
      </c>
    </row>
    <row r="10" spans="1:2" ht="36" customHeight="1">
      <c r="A10" s="42" t="str">
        <f ca="1">OFFSET(L!$C$1,MATCH("Instructions"&amp;ADDRESS(ROW(),COLUMN(),4),L!$A:$A,0)-1,SL,,)</f>
        <v>3. Insert your company’s unique identifier number or code (DUNS number, VAT number, customer-specific identifier, etc.)</v>
      </c>
      <c r="B10" s="40"/>
    </row>
    <row r="11" spans="1:2" ht="35.25" customHeight="1">
      <c r="A11" s="42" t="str">
        <f ca="1">OFFSET(L!$C$1,MATCH("Instructions"&amp;ADDRESS(ROW(),COLUMN(),4),L!$A:$A,0)-1,SL,,)</f>
        <v xml:space="preserve">4. Insert the source for the unique identifier number or code ("DUNS", "VAT", "Customer", etc).  </v>
      </c>
      <c r="B11" s="40"/>
    </row>
    <row r="12" spans="1:2" ht="30">
      <c r="A12" s="42" t="str">
        <f ca="1">OFFSET(L!$C$1,MATCH("Instructions"&amp;ADDRESS(ROW(),COLUMN(),4),L!$A:$A,0)-1,SL,,)</f>
        <v>5. Insert your full company address (street, city, state, country, postal code).  This field is optional.</v>
      </c>
      <c r="B12" s="40" t="s">
        <v>97</v>
      </c>
    </row>
    <row r="13" spans="1:2" ht="33.75" customHeight="1">
      <c r="A13" s="42" t="str">
        <f ca="1">OFFSET(L!$C$1,MATCH("Instructions"&amp;ADDRESS(ROW(),COLUMN(),4),L!$A:$A,0)-1,SL,,)</f>
        <v>6. Insert the name of the person to contact regarding the contents of the declaration information. This field is mandatory.</v>
      </c>
      <c r="B13" s="40"/>
    </row>
    <row r="14" spans="1:2" ht="30">
      <c r="A14" s="42" t="str">
        <f ca="1">OFFSET(L!$C$1,MATCH("Instructions"&amp;ADDRESS(ROW(),COLUMN(),4),L!$A:$A,0)-1,SL,,)</f>
        <v>7. Insert the email address of the contact person.  If an email address is not available, state ‘‘not available’’ or ‘‘n/a.’’ A blank field may cause an error in form implementation.  This field is mandatory.</v>
      </c>
      <c r="B14" s="40"/>
    </row>
    <row r="15" spans="1:2" ht="25.5" customHeight="1">
      <c r="A15" s="42" t="str">
        <f ca="1">OFFSET(L!$C$1,MATCH("Instructions"&amp;ADDRESS(ROW(),COLUMN(),4),L!$A:$A,0)-1,SL,,)</f>
        <v>8. Insert the telephone number for the contact. This field is mandatory.</v>
      </c>
      <c r="B15" s="40"/>
    </row>
    <row r="16" spans="1:2" ht="45">
      <c r="A16" s="4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0"/>
    </row>
    <row r="17" spans="1:2" ht="15">
      <c r="A17" s="42" t="str">
        <f ca="1">OFFSET(L!$C$1,MATCH("Instructions"&amp;ADDRESS(ROW(),COLUMN(),4),L!$A:$A,0)-1,SL,,)</f>
        <v>10. Insert the title for the Authorizing person. This field is optional.</v>
      </c>
      <c r="B17" s="40"/>
    </row>
    <row r="18" spans="1:2" ht="30">
      <c r="A18" s="42" t="str">
        <f ca="1">OFFSET(L!$C$1,MATCH("Instructions"&amp;ADDRESS(ROW(),COLUMN(),4),L!$A:$A,0)-1,SL,,)</f>
        <v>11. Insert the email address of the Authorizing person.  If an email address is not available, state ‘‘not available’’ or ‘‘n/a.’’ A blank field may cause an error in form implementation.  This field is mandatory.</v>
      </c>
      <c r="B18" s="40"/>
    </row>
    <row r="19" spans="1:2" ht="15">
      <c r="A19" s="42" t="str">
        <f ca="1">OFFSET(L!$C$1,MATCH("Instructions"&amp;ADDRESS(ROW(),COLUMN(),4),L!$A:$A,0)-1,SL,,)</f>
        <v>12. Insert the telephone number for the Authorizing person. This field is optional.</v>
      </c>
      <c r="B19" s="40"/>
    </row>
    <row r="20" spans="1:2" ht="33.75" customHeight="1">
      <c r="A20" s="42" t="str">
        <f ca="1">OFFSET(L!$C$1,MATCH("Instructions"&amp;ADDRESS(ROW(),COLUMN(),4),L!$A:$A,0)-1,SL,,)</f>
        <v>13. Please enter the Date of Completion for this form using the format DD-MMM-YYYY.  This field is mandatory.</v>
      </c>
      <c r="B20" s="40"/>
    </row>
    <row r="21" spans="1:2" ht="30">
      <c r="A21" s="42" t="str">
        <f ca="1">OFFSET(L!$C$1,MATCH("Instructions"&amp;ADDRESS(ROW(),COLUMN(),4),L!$A:$A,0)-1,SL,,)</f>
        <v xml:space="preserve">14. As an example, the user may save the file name as:  companyname-date.xls (date as YYYY-MM-DD).  </v>
      </c>
      <c r="B21" s="40" t="s">
        <v>97</v>
      </c>
    </row>
    <row r="22" spans="1:2" ht="15">
      <c r="A22" s="43"/>
      <c r="B22" s="40"/>
    </row>
    <row r="23" spans="1:2" ht="30">
      <c r="A23" s="41" t="str">
        <f ca="1">OFFSET(L!$C$1,MATCH("Instructions"&amp;ADDRESS(ROW(),COLUMN(),4),L!$A:$A,0)-1,SL,,)</f>
        <v>Instructions for completing the eight Due Diligence Questions (rows 24 - 71).
Provide answers in ENGLISH only</v>
      </c>
      <c r="B23" s="40" t="s">
        <v>97</v>
      </c>
    </row>
    <row r="24" spans="1:2" ht="80.650000000000006" customHeight="1">
      <c r="A24" s="4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0" t="s">
        <v>100</v>
      </c>
    </row>
    <row r="25" spans="1:2" ht="72" customHeight="1">
      <c r="A25" s="4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0" t="s">
        <v>97</v>
      </c>
    </row>
    <row r="26" spans="1:2" ht="280.89999999999998" customHeight="1">
      <c r="A26" s="4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0" t="s">
        <v>97</v>
      </c>
    </row>
    <row r="27" spans="1:2" ht="30">
      <c r="A27" s="42" t="str">
        <f ca="1">OFFSET(L!$C$1,MATCH("Instructions"&amp;ADDRESS(ROW(),COLUMN(),4),L!$A:$A,0)-1,SL,,)</f>
        <v>Some companies may require substantiation for a "No" answer that should be entered into the Comment Field.</v>
      </c>
      <c r="B27" s="40" t="s">
        <v>97</v>
      </c>
    </row>
    <row r="28" spans="1:2" ht="247.5" customHeight="1">
      <c r="A28" s="4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0"/>
    </row>
    <row r="29" spans="1:2" ht="157.15" customHeight="1">
      <c r="A29" s="4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0" t="s">
        <v>97</v>
      </c>
    </row>
    <row r="30" spans="1:2" ht="181.9" customHeight="1">
      <c r="A30" s="4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0"/>
    </row>
    <row r="31" spans="1:2" ht="135">
      <c r="A31" s="4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0" t="s">
        <v>97</v>
      </c>
    </row>
    <row r="32" spans="1:2" ht="234.6" customHeight="1">
      <c r="A32" s="4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0" t="s">
        <v>100</v>
      </c>
    </row>
    <row r="33" spans="1:2" ht="75">
      <c r="A33" s="4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0"/>
    </row>
    <row r="34" spans="1:2" ht="60">
      <c r="A34" s="4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0" t="s">
        <v>97</v>
      </c>
    </row>
    <row r="35" spans="1:2" ht="21" customHeight="1">
      <c r="A35" s="42" t="str">
        <f ca="1">OFFSET(L!$C$1,MATCH("Instructions"&amp;ADDRESS(ROW(),COLUMN(),4),L!$A:$A,0)-1,SL,,)</f>
        <v>Provide comments in the Comment sections as required to clarify your responses.</v>
      </c>
      <c r="B35" s="40"/>
    </row>
    <row r="36" spans="1:2" ht="15">
      <c r="A36" s="43"/>
      <c r="B36" s="40"/>
    </row>
    <row r="37" spans="1:2" ht="45">
      <c r="A37" s="41" t="str">
        <f ca="1">OFFSET(L!$C$1,MATCH("Instructions"&amp;ADDRESS(ROW(),COLUMN(),4),L!$A:$A,0)-1,SL,,)</f>
        <v>Instructions for completing Questions A. – H. (rows 75 - 89).  Questions A. through H. are mandatory if the both of responses to Question 1 and 2 are “Yes” for any metal.
Provide answers in ENGLISH only</v>
      </c>
      <c r="B37" s="40" t="s">
        <v>97</v>
      </c>
    </row>
    <row r="38" spans="1:2" ht="135">
      <c r="A38" s="4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0" t="s">
        <v>101</v>
      </c>
    </row>
    <row r="39" spans="1:2" ht="60">
      <c r="A39" s="4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0"/>
    </row>
    <row r="40" spans="1:2" ht="65.650000000000006" customHeight="1">
      <c r="A40" s="4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0"/>
    </row>
    <row r="41" spans="1:2" ht="75">
      <c r="A41" s="4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0" t="s">
        <v>102</v>
      </c>
    </row>
    <row r="42" spans="1:2" ht="180">
      <c r="A42" s="4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0" t="s">
        <v>100</v>
      </c>
    </row>
    <row r="43" spans="1:2" ht="150">
      <c r="A43" s="4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0" t="s">
        <v>103</v>
      </c>
    </row>
    <row r="44" spans="1:2" ht="135">
      <c r="A44" s="4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0" t="s">
        <v>97</v>
      </c>
    </row>
    <row r="45" spans="1:2" ht="120">
      <c r="A45" s="4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0" t="s">
        <v>98</v>
      </c>
    </row>
    <row r="46" spans="1:2" ht="85.5" customHeight="1">
      <c r="A46" s="4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0" t="s">
        <v>97</v>
      </c>
    </row>
    <row r="47" spans="1:2" ht="15">
      <c r="A47" s="43"/>
      <c r="B47" s="40"/>
    </row>
    <row r="48" spans="1:2" ht="30">
      <c r="A48" s="41" t="str">
        <f ca="1">OFFSET(L!$C$1,MATCH("Instructions"&amp;ADDRESS(ROW(),COLUMN(),4),L!$A:$A,0)-1,SL,,)</f>
        <v>Instructions for completing the Smelter List Tab.
Provide answers in ENGLISH only</v>
      </c>
      <c r="B48" s="40" t="s">
        <v>97</v>
      </c>
    </row>
    <row r="49" spans="1:2" ht="22.5" customHeight="1">
      <c r="A49" s="44" t="str">
        <f ca="1">OFFSET(L!$C$1,MATCH("Instructions"&amp;ADDRESS(ROW(),COLUMN(),4),L!$A:$A,0)-1,SL,,)</f>
        <v>Note:  Columns with (*) are mandatory fields</v>
      </c>
      <c r="B49" s="40"/>
    </row>
    <row r="50" spans="1:2" ht="60">
      <c r="A50" s="4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0" t="s">
        <v>96</v>
      </c>
    </row>
    <row r="51" spans="1:2" ht="51" customHeight="1">
      <c r="A51" s="42" t="str">
        <f ca="1">OFFSET(L!$C$1,MATCH("Instructions"&amp;ADDRESS(ROW(),COLUMN(),4),L!$A:$A,0)-1,SL,,)</f>
        <v>1. Smelter Identification Input Column - If you know the Smelter Identification Number, input the number in Column A (columns B, C, E, F, G, I, and J will auto-populate).  Column A does not autopopulate.</v>
      </c>
      <c r="B51" s="40" t="s">
        <v>97</v>
      </c>
    </row>
    <row r="52" spans="1:2" ht="44.65" customHeight="1">
      <c r="A52" s="42" t="str">
        <f ca="1">OFFSET(L!$C$1,MATCH("Instructions"&amp;ADDRESS(ROW(),COLUMN(),4),L!$A:$A,0)-1,SL,,)</f>
        <v>2. Metal (*)   -   Use the pull down menu to select the metal for which you are entering smelter information.  This field is mandatory.</v>
      </c>
      <c r="B52" s="40"/>
    </row>
    <row r="53" spans="1:2" ht="79.150000000000006" customHeight="1">
      <c r="A53" s="4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0" t="s">
        <v>97</v>
      </c>
    </row>
    <row r="54" spans="1:2" ht="60">
      <c r="A54" s="42" t="str">
        <f ca="1">OFFSET(L!$C$1,MATCH("Instructions"&amp;ADDRESS(ROW(),COLUMN(),4),L!$A:$A,0)-1,SL,,)</f>
        <v>4. Smelter Name (1)- Fill in smelter name if you selected "Smelter Not Listed" in column C.  This field will auto-populate when a smelter name in selected in Column C.  This field is mandatory.</v>
      </c>
      <c r="B54" s="40" t="s">
        <v>96</v>
      </c>
    </row>
    <row r="55" spans="1:2" ht="75">
      <c r="A55" s="4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0" t="s">
        <v>102</v>
      </c>
    </row>
    <row r="56" spans="1:2" ht="60">
      <c r="A56" s="4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0" t="s">
        <v>96</v>
      </c>
    </row>
    <row r="57" spans="1:2" ht="60">
      <c r="A57" s="4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0" t="s">
        <v>96</v>
      </c>
    </row>
    <row r="58" spans="1:2" ht="60">
      <c r="A58" s="42" t="str">
        <f ca="1">OFFSET(L!$C$1,MATCH("Instructions"&amp;ADDRESS(ROW(),COLUMN(),4),L!$A:$A,0)-1,SL,,)</f>
        <v>8. Smelter Street -  Provide the street name on which the smelter is located. This field is optional.</v>
      </c>
      <c r="B58" s="40" t="s">
        <v>96</v>
      </c>
    </row>
    <row r="59" spans="1:2" ht="30">
      <c r="A59" s="42" t="str">
        <f ca="1">OFFSET(L!$C$1,MATCH("Instructions"&amp;ADDRESS(ROW(),COLUMN(),4),L!$A:$A,0)-1,SL,,)</f>
        <v>9. Smelter City – Provide the city name of where the smelter is located. This field is optional.</v>
      </c>
      <c r="B59" s="40" t="s">
        <v>97</v>
      </c>
    </row>
    <row r="60" spans="1:2" ht="45" customHeight="1">
      <c r="A60" s="42" t="str">
        <f ca="1">OFFSET(L!$C$1,MATCH("Instructions"&amp;ADDRESS(ROW(),COLUMN(),4),L!$A:$A,0)-1,SL,,)</f>
        <v>10. Smelter Location: State/Province, if applicable – Provide the state or province where the smelter is located. This field is optional.</v>
      </c>
      <c r="B60" s="40" t="s">
        <v>100</v>
      </c>
    </row>
    <row r="61" spans="1:2" ht="180">
      <c r="A61" s="4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0" t="s">
        <v>100</v>
      </c>
    </row>
    <row r="62" spans="1:2" ht="60">
      <c r="A62" s="4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0" t="s">
        <v>96</v>
      </c>
    </row>
    <row r="63" spans="1:2" ht="125.45" customHeight="1">
      <c r="A63" s="4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0" t="s">
        <v>96</v>
      </c>
    </row>
    <row r="64" spans="1:2" ht="136.15" customHeight="1">
      <c r="A64" s="4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0"/>
    </row>
    <row r="65" spans="1:2" ht="90">
      <c r="A65" s="42" t="str">
        <f ca="1">OFFSET(L!$C$1,MATCH("Instructions"&amp;ADDRESS(ROW(),COLUMN(),4),L!$A:$A,0)-1,SL,,)</f>
        <v>15. Indicates whether the smelter solely obtains inputs for its smelting process(es) from recycled or scrap sources. This question is optional.  Permissible responses to this question are:
- Yes
- No
- Unknown</v>
      </c>
      <c r="B65" s="40"/>
    </row>
    <row r="66" spans="1:2" ht="110.25" customHeight="1">
      <c r="A66" s="42" t="str">
        <f ca="1">OFFSET(L!$C$1,MATCH("Instructions"&amp;ADDRESS(ROW(),COLUMN(),4),L!$A:$A,0)-1,SL,,)</f>
        <v>16. Comments – free form text field to enter any comments concerning the smelter.  Example: smelter is being acquired by Company YYY</v>
      </c>
      <c r="B66" s="40"/>
    </row>
    <row r="67" spans="1:2" ht="15">
      <c r="A67" s="47"/>
      <c r="B67" s="40"/>
    </row>
    <row r="68" spans="1:2" ht="34.5" customHeight="1">
      <c r="A68" s="41" t="str">
        <f ca="1">OFFSET(L!$C$1,MATCH("Instructions"&amp;ADDRESS(ROW(),COLUMN(),4),L!$A:$A,0)-1,SL,,)</f>
        <v>TERMS AND CONDITIONS</v>
      </c>
      <c r="B68" s="40"/>
    </row>
    <row r="69" spans="1:2" ht="15">
      <c r="A69" s="47"/>
      <c r="B69" s="40"/>
    </row>
    <row r="70" spans="1:2" ht="80.650000000000006" customHeight="1">
      <c r="A70" s="41"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0" t="s">
        <v>97</v>
      </c>
    </row>
    <row r="71" spans="1:2" ht="93.6" customHeight="1">
      <c r="A71" s="4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0" t="s">
        <v>104</v>
      </c>
    </row>
    <row r="72" spans="1:2" ht="155.44999999999999" customHeight="1">
      <c r="A72" s="4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0" t="s">
        <v>103</v>
      </c>
    </row>
    <row r="73" spans="1:2" ht="75">
      <c r="A73" s="4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0" t="s">
        <v>102</v>
      </c>
    </row>
    <row r="74" spans="1:2" ht="30">
      <c r="A74" s="42"/>
      <c r="B74" s="40" t="s">
        <v>97</v>
      </c>
    </row>
    <row r="75" spans="1:2" ht="15">
      <c r="A75" s="42" t="str">
        <f ca="1">OFFSET(L!$C$1,MATCH("General"&amp;"Cpy",L!$A:$A,0)-1,SL,,)</f>
        <v>© 2022 Responsible Minerals Initiative. All rights reserved.</v>
      </c>
      <c r="B75" s="48"/>
    </row>
    <row r="76" spans="1:2" ht="15">
      <c r="A76" s="49" t="s">
        <v>105</v>
      </c>
      <c r="B76" s="48"/>
    </row>
    <row r="77" spans="1:2" ht="15">
      <c r="A77" s="50"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 xml:space="preserve">&amp;L_x000D_&amp;1#&amp;"Calibri"&amp;8&amp;K000000  Rockwell Automation Company 'Internal' </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0"/>
      <c r="B1" s="311"/>
      <c r="C1" s="311"/>
      <c r="D1" s="312"/>
    </row>
    <row r="2" spans="1:5" ht="71.25" customHeight="1">
      <c r="A2" s="51"/>
      <c r="B2" s="52" t="str">
        <f ca="1">OFFSET(L!$C$1,MATCH("Definitions"&amp;ADDRESS(ROW(),COLUMN(),4),L!$A:$A,0)-1,SL,,)</f>
        <v>ITEM</v>
      </c>
      <c r="C2" s="52" t="str">
        <f ca="1">OFFSET(L!$C$1,MATCH("Definitions"&amp;ADDRESS(ROW(),COLUMN(),4),L!$A:$A,0)-1,SL,,)</f>
        <v>DEFINITION</v>
      </c>
      <c r="D2" s="314"/>
      <c r="E2" s="48"/>
    </row>
    <row r="3" spans="1:5" ht="64.150000000000006" customHeight="1">
      <c r="A3" s="51"/>
      <c r="B3" s="53" t="str">
        <f ca="1">OFFSET(L!$C$1,MATCH("Definitions"&amp;ADDRESS(ROW(),COLUMN(),4),L!$A:$A,0)-1,SL,,)</f>
        <v>3TG</v>
      </c>
      <c r="C3" s="53" t="str">
        <f ca="1">OFFSET(L!$C$1,MATCH("Definitions"&amp;ADDRESS(ROW(),COLUMN(),4),L!$A:$A,0)-1,SL,,)</f>
        <v>Tantalum, tin, tungsten, gold</v>
      </c>
      <c r="D3" s="314"/>
      <c r="E3" s="40" t="s">
        <v>100</v>
      </c>
    </row>
    <row r="4" spans="1:5" ht="63.75" customHeight="1">
      <c r="A4" s="51"/>
      <c r="B4" s="53" t="str">
        <f ca="1">OFFSET(L!$C$1,MATCH("Definitions"&amp;ADDRESS(ROW(),COLUMN(),4),L!$A:$A,0)-1,SL,,)</f>
        <v>Authorizer</v>
      </c>
      <c r="C4" s="5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40"/>
    </row>
    <row r="5" spans="1:5" ht="60">
      <c r="A5" s="51"/>
      <c r="B5" s="53" t="str">
        <f ca="1">OFFSET(L!$C$1,MATCH("Definitions"&amp;ADDRESS(ROW(),COLUMN(),4),L!$A:$A,0)-1,SL,,)</f>
        <v>Conflict-Affected and High-Risk Area (CAHRA)</v>
      </c>
      <c r="C5" s="5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40"/>
    </row>
    <row r="6" spans="1:5" ht="151.15" customHeight="1">
      <c r="A6" s="51"/>
      <c r="B6" s="53" t="str">
        <f ca="1">OFFSET(L!$C$1,MATCH("Definitions"&amp;ADDRESS(ROW(),COLUMN(),4),L!$A:$A,0)-1,SL,,)</f>
        <v>Conflict Mineral</v>
      </c>
      <c r="C6" s="5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40" t="s">
        <v>96</v>
      </c>
    </row>
    <row r="7" spans="1:5" ht="105.6" customHeight="1">
      <c r="A7" s="51"/>
      <c r="B7" s="53" t="str">
        <f ca="1">OFFSET(L!$C$1,MATCH("Definitions"&amp;ADDRESS(ROW(),COLUMN(),4),L!$A:$A,0)-1,SL,,)</f>
        <v>Covered Country(ies)</v>
      </c>
      <c r="C7" s="5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40" t="s">
        <v>96</v>
      </c>
    </row>
    <row r="8" spans="1:5" ht="135">
      <c r="A8" s="51"/>
      <c r="B8" s="53" t="str">
        <f ca="1">OFFSET(L!$C$1,MATCH("Definitions"&amp;ADDRESS(ROW(),COLUMN(),4),L!$A:$A,0)-1,SL,,)</f>
        <v>Declaration Scope or Class</v>
      </c>
      <c r="C8" s="5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40" t="s">
        <v>101</v>
      </c>
    </row>
    <row r="9" spans="1:5" ht="60">
      <c r="A9" s="51"/>
      <c r="B9" s="53" t="str">
        <f ca="1">OFFSET(L!$C$1,MATCH("Definitions"&amp;ADDRESS(ROW(),COLUMN(),4),L!$A:$A,0)-1,SL,,)</f>
        <v>Dodd-Frank</v>
      </c>
      <c r="C9" s="53" t="str">
        <f ca="1">OFFSET(L!$C$1,MATCH("Definitions"&amp;ADDRESS(ROW(),COLUMN(),4),L!$A:$A,0)-1,SL,,)</f>
        <v>2010 United States legislation, Dodd-Frank Wall Street Reform and Consumer Protection Act, Section 1502 (“Dodd-Frank”) (http://www.sec.gov/about/laws/wallstreetreform-cpa.pdf)</v>
      </c>
      <c r="D9" s="314"/>
      <c r="E9" s="40" t="s">
        <v>96</v>
      </c>
    </row>
    <row r="10" spans="1:5" ht="45">
      <c r="A10" s="51"/>
      <c r="B10" s="53" t="str">
        <f ca="1">OFFSET(L!$C$1,MATCH("Definitions"&amp;ADDRESS(ROW(),COLUMN(),4),L!$A:$A,0)-1,SL,,)</f>
        <v>DRC</v>
      </c>
      <c r="C10" s="53" t="str">
        <f ca="1">OFFSET(L!$C$1,MATCH("Definitions"&amp;ADDRESS(ROW(),COLUMN(),4),L!$A:$A,0)-1,SL,,)</f>
        <v>Democratic Republic of Congo</v>
      </c>
      <c r="D10" s="314"/>
      <c r="E10" s="40" t="s">
        <v>100</v>
      </c>
    </row>
    <row r="11" spans="1:5" ht="60" hidden="1">
      <c r="A11" s="51"/>
      <c r="B11" s="53" t="str">
        <f ca="1">OFFSET(L!$C$1,MATCH("Definitions"&amp;ADDRESS(ROW(),COLUMN(),4),L!$A:$A,0)-1,SL,,)</f>
        <v>DRC conflict-free</v>
      </c>
      <c r="C11" s="5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40" t="s">
        <v>100</v>
      </c>
    </row>
    <row r="12" spans="1:5" ht="60">
      <c r="A12" s="51"/>
      <c r="B12" s="53" t="str">
        <f ca="1">OFFSET(L!$C$1,MATCH("Definitions"&amp;ADDRESS(ROW(),COLUMN(),4),L!$A:$A,0)-1,SL,,)</f>
        <v>Gold (Au) refiner (smelter)</v>
      </c>
      <c r="C12" s="5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40" t="s">
        <v>100</v>
      </c>
    </row>
    <row r="13" spans="1:5" ht="107.25" customHeight="1">
      <c r="A13" s="51"/>
      <c r="B13" s="53" t="str">
        <f ca="1">OFFSET(L!$C$1,MATCH("Definitions"&amp;ADDRESS(ROW(),COLUMN(),4),L!$A:$A,0)-1,SL,,)</f>
        <v>Independent Third-Party Audit Firm</v>
      </c>
      <c r="C13" s="5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40" t="s">
        <v>102</v>
      </c>
    </row>
    <row r="14" spans="1:5" ht="300">
      <c r="A14" s="51"/>
      <c r="B14" s="53" t="str">
        <f ca="1">OFFSET(L!$C$1,MATCH("Definitions"&amp;ADDRESS(ROW(),COLUMN(),4),L!$A:$A,0)-1,SL,,)</f>
        <v>Intentionally added</v>
      </c>
      <c r="C14" s="5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40" t="s">
        <v>100</v>
      </c>
    </row>
    <row r="15" spans="1:5" ht="135">
      <c r="A15" s="51"/>
      <c r="B15" s="53" t="str">
        <f ca="1">OFFSET(L!$C$1,MATCH("Definitions"&amp;ADDRESS(ROW(),COLUMN(),4),L!$A:$A,0)-1,SL,,)</f>
        <v>IPC</v>
      </c>
      <c r="C15" s="5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40" t="s">
        <v>100</v>
      </c>
    </row>
    <row r="16" spans="1:5" ht="60">
      <c r="A16" s="51"/>
      <c r="B16" s="53" t="str">
        <f ca="1">OFFSET(L!$C$1,MATCH("Definitions"&amp;ADDRESS(ROW(),COLUMN(),4),L!$A:$A,0)-1,SL,,)</f>
        <v>IPC-1755 Responsible Sourcing of Minerals Data Exchange Standard</v>
      </c>
      <c r="C16" s="5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40" t="s">
        <v>100</v>
      </c>
    </row>
    <row r="17" spans="1:5" ht="180">
      <c r="A17" s="51"/>
      <c r="B17" s="53" t="str">
        <f ca="1">OFFSET(L!$C$1,MATCH("Definitions"&amp;ADDRESS(ROW(),COLUMN(),4),L!$A:$A,0)-1,SL,,)</f>
        <v>Necessary for the Functionality of a Product</v>
      </c>
      <c r="C17" s="5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40" t="s">
        <v>100</v>
      </c>
    </row>
    <row r="18" spans="1:5" ht="150">
      <c r="A18" s="51"/>
      <c r="B18" s="53" t="str">
        <f ca="1">OFFSET(L!$C$1,MATCH("Definitions"&amp;ADDRESS(ROW(),COLUMN(),4),L!$A:$A,0)-1,SL,,)</f>
        <v>Necessary for the Production of a Product</v>
      </c>
      <c r="C18" s="5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40" t="s">
        <v>100</v>
      </c>
    </row>
    <row r="19" spans="1:5" ht="15">
      <c r="A19" s="51"/>
      <c r="B19" s="53" t="str">
        <f ca="1">OFFSET(L!$C$1,MATCH("Definitions"&amp;ADDRESS(ROW(),COLUMN(),4),L!$A:$A,0)-1,SL,,)</f>
        <v>OECD</v>
      </c>
      <c r="C19" s="53" t="str">
        <f ca="1">OFFSET(L!$C$1,MATCH("Definitions"&amp;ADDRESS(ROW(),COLUMN(),4),L!$A:$A,0)-1,SL,,)</f>
        <v>Organisation for Economic Co-operation and Development</v>
      </c>
      <c r="D19" s="314"/>
      <c r="E19" s="40"/>
    </row>
    <row r="20" spans="1:5" ht="45">
      <c r="A20" s="51"/>
      <c r="B20" s="53" t="str">
        <f ca="1">OFFSET(L!$C$1,MATCH("Definitions"&amp;ADDRESS(ROW(),COLUMN(),4),L!$A:$A,0)-1,SL,,)</f>
        <v>Product</v>
      </c>
      <c r="C20" s="53" t="str">
        <f ca="1">OFFSET(L!$C$1,MATCH("Definitions"&amp;ADDRESS(ROW(),COLUMN(),4),L!$A:$A,0)-1,SL,,)</f>
        <v>A company’s Product or Finished good is a material or item which has completed the final stage of manufacturing and/or processing and is available for distribution or sale to customers.</v>
      </c>
      <c r="D20" s="314"/>
      <c r="E20" s="40"/>
    </row>
    <row r="21" spans="1:5" ht="15">
      <c r="A21" s="51"/>
      <c r="B21" s="53" t="str">
        <f ca="1">OFFSET(L!$C$1,MATCH("Definitions"&amp;ADDRESS(ROW(),COLUMN(),4),L!$A:$A,0)-1,SL,,)</f>
        <v>RBA</v>
      </c>
      <c r="C21" s="53" t="str">
        <f ca="1">OFFSET(L!$C$1,MATCH("Definitions"&amp;ADDRESS(ROW(),COLUMN(),4),L!$A:$A,0)-1,SL,,)</f>
        <v>Responsible Business Alliance (www.responsiblebusiness.org)</v>
      </c>
      <c r="D21" s="314"/>
      <c r="E21" s="40"/>
    </row>
    <row r="22" spans="1:5" ht="106.5" customHeight="1">
      <c r="A22" s="51"/>
      <c r="B22" s="53" t="str">
        <f ca="1">OFFSET(L!$C$1,MATCH("Definitions"&amp;ADDRESS(ROW(),COLUMN(),4),L!$A:$A,0)-1,SL,,)</f>
        <v>Recycled or Scrap Sources</v>
      </c>
      <c r="C22" s="5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40"/>
    </row>
    <row r="23" spans="1:5" ht="60">
      <c r="A23" s="51"/>
      <c r="B23" s="53" t="str">
        <f ca="1">OFFSET(L!$C$1,MATCH("Definitions"&amp;ADDRESS(ROW(),COLUMN(),4),L!$A:$A,0)-1,SL,,)</f>
        <v>Responsible Minerals Assurance Process (RMAP)</v>
      </c>
      <c r="C23" s="5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40"/>
    </row>
    <row r="24" spans="1:5" ht="168" customHeight="1">
      <c r="A24" s="51"/>
      <c r="B24" s="53" t="str">
        <f ca="1">OFFSET(L!$C$1,MATCH("Definitions"&amp;ADDRESS(ROW(),COLUMN(),4),L!$A:$A,0)-1,SL,,)</f>
        <v>Responsible Minerals Initiative</v>
      </c>
      <c r="C24" s="5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40"/>
    </row>
    <row r="25" spans="1:5" ht="177.6" customHeight="1">
      <c r="A25" s="51"/>
      <c r="B25" s="53" t="str">
        <f ca="1">OFFSET(L!$C$1,MATCH("Definitions"&amp;ADDRESS(ROW(),COLUMN(),4),L!$A:$A,0)-1,SL,,)</f>
        <v>RMAP Conformant Smelter List</v>
      </c>
      <c r="C25" s="5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40" t="s">
        <v>100</v>
      </c>
    </row>
    <row r="26" spans="1:5" ht="75">
      <c r="A26" s="51"/>
      <c r="B26" s="53" t="str">
        <f ca="1">OFFSET(L!$C$1,MATCH("Definitions"&amp;ADDRESS(ROW(),COLUMN(),4),L!$A:$A,0)-1,SL,,)</f>
        <v>SEC</v>
      </c>
      <c r="C26" s="53" t="str">
        <f ca="1">OFFSET(L!$C$1,MATCH("Definitions"&amp;ADDRESS(ROW(),COLUMN(),4),L!$A:$A,0)-1,SL,,)</f>
        <v>U.S. Securities and Exchange Commission (www.sec.gov)</v>
      </c>
      <c r="D26" s="314"/>
      <c r="E26" s="40" t="s">
        <v>102</v>
      </c>
    </row>
    <row r="27" spans="1:5" ht="75">
      <c r="A27" s="51"/>
      <c r="B27" s="53" t="str">
        <f ca="1">OFFSET(L!$C$1,MATCH("Definitions"&amp;ADDRESS(ROW(),COLUMN(),4),L!$A:$A,0)-1,SL,,)</f>
        <v>Smelter</v>
      </c>
      <c r="C27" s="5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40" t="s">
        <v>100</v>
      </c>
    </row>
    <row r="28" spans="1:5" ht="60">
      <c r="A28" s="51"/>
      <c r="B28" s="53" t="str">
        <f ca="1">OFFSET(L!$C$1,MATCH("Definitions"&amp;ADDRESS(ROW(),COLUMN(),4),L!$A:$A,0)-1,SL,,)</f>
        <v>Smelter Identification Number</v>
      </c>
      <c r="C28" s="5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40" t="s">
        <v>96</v>
      </c>
    </row>
    <row r="29" spans="1:5" ht="90">
      <c r="A29" s="51"/>
      <c r="B29" s="53" t="str">
        <f ca="1">OFFSET(L!$C$1,MATCH("Definitions"&amp;ADDRESS(ROW(),COLUMN(),4),L!$A:$A,0)-1,SL,,)</f>
        <v>Tantalum (Ta) smelter</v>
      </c>
      <c r="C29" s="5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40" t="s">
        <v>102</v>
      </c>
    </row>
    <row r="30" spans="1:5" ht="151.9" customHeight="1">
      <c r="A30" s="51"/>
      <c r="B30" s="53" t="str">
        <f ca="1">OFFSET(L!$C$1,MATCH("Definitions"&amp;ADDRESS(ROW(),COLUMN(),4),L!$A:$A,0)-1,SL,,)</f>
        <v>Tin (Sn) smelter</v>
      </c>
      <c r="C30" s="5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40" t="s">
        <v>107</v>
      </c>
    </row>
    <row r="31" spans="1:5" ht="136.9" customHeight="1">
      <c r="A31" s="51"/>
      <c r="B31" s="53" t="str">
        <f ca="1">OFFSET(L!$C$1,MATCH("Definitions"&amp;ADDRESS(ROW(),COLUMN(),4),L!$A:$A,0)-1,SL,,)</f>
        <v>Tungsten (W) smelter</v>
      </c>
      <c r="C31" s="5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40"/>
    </row>
    <row r="32" spans="1:5" ht="15">
      <c r="A32" s="51"/>
      <c r="B32" s="313" t="str">
        <f ca="1">OFFSET(L!$C$1,MATCH("General"&amp;"Cpy",L!$A:$A,0)-1,SL,,)</f>
        <v>© 2022 Responsible Minerals Initiative. All rights reserved.</v>
      </c>
      <c r="C32" s="313"/>
      <c r="D32" s="314"/>
      <c r="E32" s="40"/>
    </row>
    <row r="33" spans="1:4">
      <c r="A33" s="54"/>
      <c r="B33" s="55"/>
      <c r="C33" s="55"/>
      <c r="D33" s="315"/>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headerFooter>
    <oddFooter xml:space="preserve">&amp;L_x000D_&amp;1#&amp;"Calibri"&amp;8&amp;K000000  Rockwell Automation Company 'Internal'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87" zoomScaleNormal="10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34"/>
      <c r="B1" s="335"/>
      <c r="C1" s="335"/>
      <c r="D1" s="335"/>
      <c r="E1" s="335"/>
      <c r="F1" s="335"/>
      <c r="G1" s="335"/>
      <c r="H1" s="335"/>
      <c r="I1" s="335"/>
      <c r="J1" s="335"/>
      <c r="K1" s="336"/>
      <c r="L1" s="40"/>
      <c r="P1" s="7"/>
      <c r="Q1" s="7"/>
      <c r="R1" s="7"/>
      <c r="S1" s="7"/>
      <c r="T1" s="7"/>
      <c r="U1" s="7"/>
      <c r="V1" s="7"/>
      <c r="W1" s="7"/>
      <c r="X1" s="7"/>
      <c r="Y1" s="7"/>
      <c r="Z1" s="7"/>
      <c r="AA1" s="7"/>
      <c r="AB1" s="7"/>
      <c r="AC1" s="7"/>
      <c r="AD1" s="7"/>
      <c r="AE1" s="7"/>
      <c r="AF1" s="7"/>
      <c r="AG1" s="7"/>
      <c r="AH1" s="7"/>
    </row>
    <row r="2" spans="1:34" ht="82.35" customHeight="1">
      <c r="A2" s="56"/>
      <c r="B2" s="57"/>
      <c r="C2" s="58"/>
      <c r="D2" s="337" t="str">
        <f ca="1">OFFSET(L!$C$1,MATCH("Declaration"&amp;ADDRESS(ROW(),COLUMN(),4),L!$A:$A,0)-1,SL,,)</f>
        <v>Conflict Minerals Reporting Template (CMRT)</v>
      </c>
      <c r="E2" s="338"/>
      <c r="F2" s="338"/>
      <c r="G2" s="338"/>
      <c r="H2" s="338"/>
      <c r="I2" s="338"/>
      <c r="J2" s="339"/>
      <c r="K2" s="59"/>
      <c r="L2" s="60"/>
      <c r="N2" s="61"/>
      <c r="O2" s="61"/>
      <c r="P2" s="7"/>
      <c r="Q2" s="7"/>
      <c r="R2" s="7"/>
      <c r="S2" s="7"/>
      <c r="T2" s="7"/>
      <c r="U2" s="7"/>
      <c r="V2" s="7"/>
      <c r="W2" s="7"/>
      <c r="X2" s="7"/>
      <c r="Y2" s="7"/>
      <c r="Z2" s="7"/>
      <c r="AA2" s="7"/>
      <c r="AB2" s="7"/>
      <c r="AC2" s="7"/>
      <c r="AD2" s="7"/>
      <c r="AE2" s="7"/>
      <c r="AF2" s="7"/>
      <c r="AG2" s="7"/>
      <c r="AH2" s="7"/>
    </row>
    <row r="3" spans="1:34" ht="139.5" customHeight="1">
      <c r="A3" s="56"/>
      <c r="B3" s="62" t="s">
        <v>108</v>
      </c>
      <c r="C3" s="63"/>
      <c r="D3" s="64" t="s">
        <v>109</v>
      </c>
      <c r="E3" s="7"/>
      <c r="F3" s="350"/>
      <c r="G3" s="350"/>
      <c r="H3" s="350"/>
      <c r="I3" s="65"/>
      <c r="J3" s="66" t="s">
        <v>110</v>
      </c>
      <c r="K3" s="59"/>
      <c r="L3" s="40"/>
      <c r="P3" s="67">
        <f>MATCH($D$3,LN,0)</f>
        <v>1</v>
      </c>
    </row>
    <row r="4" spans="1:34" ht="15.75">
      <c r="A4" s="56"/>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59"/>
      <c r="L4" s="69"/>
      <c r="P4" s="7"/>
      <c r="Q4" s="7"/>
      <c r="R4" s="7"/>
      <c r="S4" s="7"/>
      <c r="T4" s="7"/>
      <c r="U4" s="7"/>
      <c r="V4" s="7"/>
      <c r="W4" s="7"/>
      <c r="X4" s="7"/>
      <c r="Y4" s="7"/>
      <c r="Z4" s="7"/>
      <c r="AA4" s="7"/>
      <c r="AB4" s="7"/>
      <c r="AC4" s="7"/>
      <c r="AD4" s="7"/>
      <c r="AE4" s="7"/>
      <c r="AF4" s="7"/>
      <c r="AG4" s="7"/>
      <c r="AH4" s="7"/>
    </row>
    <row r="5" spans="1:34" ht="15">
      <c r="A5" s="70" t="str">
        <f>LEFT(D9,1)</f>
        <v>A</v>
      </c>
      <c r="B5" s="71"/>
      <c r="C5" s="71"/>
      <c r="D5" s="71"/>
      <c r="E5" s="71"/>
      <c r="F5" s="71"/>
      <c r="G5" s="71"/>
      <c r="H5" s="71"/>
      <c r="I5" s="71"/>
      <c r="J5" s="71"/>
      <c r="K5" s="59"/>
      <c r="L5" s="69"/>
      <c r="M5" s="72"/>
      <c r="N5" s="72"/>
      <c r="O5" s="72"/>
      <c r="P5" s="73"/>
      <c r="Q5" s="73"/>
      <c r="R5" s="73"/>
      <c r="S5" s="73"/>
      <c r="T5" s="73"/>
      <c r="U5" s="73"/>
      <c r="V5" s="73"/>
      <c r="W5" s="73"/>
      <c r="X5" s="73"/>
      <c r="Y5" s="73"/>
      <c r="Z5" s="73"/>
      <c r="AA5" s="73"/>
      <c r="AB5" s="73"/>
      <c r="AC5" s="73"/>
      <c r="AD5" s="73"/>
      <c r="AE5" s="73"/>
      <c r="AF5" s="73"/>
      <c r="AG5" s="73"/>
      <c r="AH5" s="73"/>
    </row>
    <row r="6" spans="1:34" ht="30">
      <c r="A6" s="56"/>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59"/>
      <c r="L6" s="69" t="s">
        <v>97</v>
      </c>
      <c r="P6" s="7"/>
      <c r="Q6" s="7"/>
      <c r="R6" s="7"/>
      <c r="S6" s="7"/>
      <c r="T6" s="7"/>
      <c r="U6" s="7"/>
      <c r="V6" s="7"/>
      <c r="W6" s="7"/>
      <c r="X6" s="7"/>
      <c r="Y6" s="7"/>
      <c r="Z6" s="7"/>
      <c r="AA6" s="7"/>
      <c r="AB6" s="7"/>
      <c r="AC6" s="7"/>
      <c r="AD6" s="7"/>
      <c r="AE6" s="7"/>
      <c r="AF6" s="7"/>
      <c r="AG6" s="7"/>
      <c r="AH6" s="7"/>
    </row>
    <row r="7" spans="1:34" ht="37.15" customHeight="1">
      <c r="A7" s="56"/>
      <c r="B7" s="355" t="str">
        <f ca="1">OFFSET(L!$C$1,MATCH("Declaration"&amp;ADDRESS(ROW(),COLUMN(),4),L!$A:$A,0)-1,SL,,)</f>
        <v>Company Information</v>
      </c>
      <c r="C7" s="355"/>
      <c r="D7" s="355"/>
      <c r="E7" s="355"/>
      <c r="F7" s="355"/>
      <c r="G7" s="355"/>
      <c r="H7" s="355"/>
      <c r="I7" s="355"/>
      <c r="J7" s="355"/>
      <c r="K7" s="59"/>
      <c r="L7" s="69"/>
      <c r="P7" s="7"/>
      <c r="Q7" s="7"/>
      <c r="R7" s="7"/>
      <c r="S7" s="7"/>
      <c r="T7" s="7"/>
      <c r="U7" s="7"/>
      <c r="V7" s="7"/>
      <c r="W7" s="7"/>
      <c r="X7" s="7"/>
      <c r="Y7" s="7"/>
      <c r="Z7" s="7"/>
      <c r="AA7" s="7"/>
      <c r="AB7" s="7"/>
      <c r="AC7" s="7"/>
      <c r="AD7" s="7"/>
      <c r="AE7" s="7"/>
      <c r="AF7" s="7"/>
      <c r="AG7" s="7"/>
      <c r="AH7" s="7"/>
    </row>
    <row r="8" spans="1:34" ht="15.75">
      <c r="A8" s="74"/>
      <c r="B8" s="75" t="str">
        <f ca="1">OFFSET(L!$C$1,MATCH("Declaration"&amp;ADDRESS(ROW(),COLUMN(),4),L!$A:$A,0)-1,SL,,)</f>
        <v>Company Name (*):</v>
      </c>
      <c r="C8" s="76"/>
      <c r="D8" s="340" t="s">
        <v>18041</v>
      </c>
      <c r="E8" s="341"/>
      <c r="F8" s="341"/>
      <c r="G8" s="341"/>
      <c r="H8" s="341"/>
      <c r="I8" s="341"/>
      <c r="J8" s="342"/>
      <c r="K8" s="77"/>
      <c r="L8" s="69"/>
      <c r="P8" s="7"/>
      <c r="Q8" s="7"/>
      <c r="R8" s="7"/>
      <c r="S8" s="7"/>
      <c r="T8" s="7"/>
      <c r="U8" s="7"/>
      <c r="V8" s="7"/>
      <c r="W8" s="7"/>
      <c r="X8" s="7"/>
      <c r="Y8" s="7"/>
      <c r="Z8" s="7"/>
      <c r="AA8" s="7"/>
      <c r="AB8" s="7"/>
      <c r="AC8" s="7"/>
      <c r="AD8" s="7"/>
      <c r="AE8" s="7"/>
      <c r="AF8" s="7"/>
      <c r="AG8" s="7"/>
      <c r="AH8" s="7"/>
    </row>
    <row r="9" spans="1:34" ht="15.75">
      <c r="A9" s="74"/>
      <c r="B9" s="75" t="str">
        <f ca="1">OFFSET(L!$C$1,MATCH("Declaration"&amp;ADDRESS(ROW(),COLUMN(),4),L!$A:$A,0)-1,SL,,)</f>
        <v>Declaration Scope or Class (*):</v>
      </c>
      <c r="C9" s="76"/>
      <c r="D9" s="352" t="s">
        <v>111</v>
      </c>
      <c r="E9" s="353"/>
      <c r="F9" s="353"/>
      <c r="G9" s="354"/>
      <c r="H9" s="78"/>
      <c r="I9" s="78"/>
      <c r="J9" s="78"/>
      <c r="K9" s="59"/>
      <c r="L9" s="69"/>
      <c r="P9" s="67" t="s">
        <v>111</v>
      </c>
      <c r="Q9" s="67" t="s">
        <v>112</v>
      </c>
      <c r="R9" s="67" t="s">
        <v>113</v>
      </c>
      <c r="S9" s="67"/>
      <c r="T9" s="79"/>
      <c r="U9" s="7"/>
      <c r="V9" s="7"/>
      <c r="W9" s="7"/>
      <c r="X9" s="7"/>
      <c r="Y9" s="7"/>
      <c r="Z9" s="7"/>
      <c r="AA9" s="7"/>
      <c r="AB9" s="7"/>
      <c r="AC9" s="7"/>
      <c r="AD9" s="7"/>
      <c r="AE9" s="7"/>
      <c r="AF9" s="7"/>
      <c r="AG9" s="7"/>
      <c r="AH9" s="7"/>
    </row>
    <row r="10" spans="1:34" ht="32.65" customHeight="1">
      <c r="A10" s="74"/>
      <c r="B10" s="356" t="str">
        <f ca="1">OFFSET(L!$C$1,MATCH("Declaration"&amp;ADDRESS(ROW(),COLUMN(),4)&amp;LEFT($D$9,1),L!$A:$A,0)-1,SL,,)</f>
        <v>Description of Scope:</v>
      </c>
      <c r="C10" s="80"/>
      <c r="D10" s="347" t="s">
        <v>114</v>
      </c>
      <c r="E10" s="348"/>
      <c r="F10" s="348"/>
      <c r="G10" s="348"/>
      <c r="H10" s="348"/>
      <c r="I10" s="348"/>
      <c r="J10" s="349"/>
      <c r="K10" s="59"/>
      <c r="L10" s="69"/>
      <c r="Q10" s="7"/>
      <c r="R10" s="7"/>
      <c r="S10" s="7"/>
      <c r="T10" s="7"/>
      <c r="U10" s="7"/>
      <c r="V10" s="7"/>
      <c r="W10" s="7"/>
      <c r="X10" s="7"/>
      <c r="Y10" s="7"/>
      <c r="Z10" s="7"/>
      <c r="AA10" s="7"/>
      <c r="AB10" s="7"/>
      <c r="AC10" s="7"/>
      <c r="AD10" s="7"/>
      <c r="AE10" s="7"/>
      <c r="AF10" s="7"/>
      <c r="AG10" s="7"/>
      <c r="AH10" s="7"/>
    </row>
    <row r="11" spans="1:34" ht="15.75">
      <c r="A11" s="74"/>
      <c r="B11" s="357"/>
      <c r="C11" s="80"/>
      <c r="D11" s="363" t="str">
        <f ca="1">IF(D9=Q9,OFFSET(L!$C$1,MATCH("Declaration"&amp;ADDRESS(ROW(),COLUMN(),4),L!$A:$A,0)-1,SL,,),"")</f>
        <v/>
      </c>
      <c r="E11" s="364"/>
      <c r="F11" s="364"/>
      <c r="G11" s="364"/>
      <c r="H11" s="364"/>
      <c r="I11" s="364"/>
      <c r="J11" s="365"/>
      <c r="K11" s="59"/>
      <c r="L11" s="69"/>
      <c r="Q11" s="7"/>
      <c r="R11" s="7"/>
      <c r="S11" s="7"/>
      <c r="T11" s="7"/>
      <c r="U11" s="7"/>
      <c r="V11" s="7"/>
      <c r="W11" s="7"/>
      <c r="X11" s="7"/>
      <c r="Y11" s="7"/>
      <c r="Z11" s="7"/>
      <c r="AA11" s="7"/>
      <c r="AB11" s="7"/>
      <c r="AC11" s="7"/>
      <c r="AD11" s="7"/>
      <c r="AE11" s="7"/>
      <c r="AF11" s="7"/>
      <c r="AG11" s="7"/>
      <c r="AH11" s="7"/>
    </row>
    <row r="12" spans="1:34" ht="15.75">
      <c r="A12" s="74"/>
      <c r="B12" s="81" t="str">
        <f ca="1">OFFSET(L!$C$1,MATCH("Declaration"&amp;ADDRESS(ROW(),COLUMN(),4),L!$A:$A,0)-1,SL,,)</f>
        <v>Company Unique ID:</v>
      </c>
      <c r="C12" s="82"/>
      <c r="D12" s="343" t="s">
        <v>18042</v>
      </c>
      <c r="E12" s="344"/>
      <c r="F12" s="344"/>
      <c r="G12" s="344"/>
      <c r="H12" s="344"/>
      <c r="I12" s="344"/>
      <c r="J12" s="345"/>
      <c r="K12" s="59"/>
      <c r="L12" s="69"/>
      <c r="Q12" s="7"/>
      <c r="R12" s="7"/>
      <c r="S12" s="7"/>
      <c r="T12" s="7"/>
      <c r="U12" s="7"/>
      <c r="V12" s="7"/>
      <c r="W12" s="7"/>
      <c r="X12" s="7"/>
      <c r="Y12" s="7"/>
      <c r="Z12" s="7"/>
      <c r="AA12" s="7"/>
      <c r="AB12" s="7"/>
      <c r="AC12" s="7"/>
      <c r="AD12" s="7"/>
      <c r="AE12" s="7"/>
      <c r="AF12" s="7"/>
      <c r="AG12" s="7"/>
      <c r="AH12" s="7"/>
    </row>
    <row r="13" spans="1:34" ht="15.75">
      <c r="A13" s="74"/>
      <c r="B13" s="81" t="str">
        <f ca="1">OFFSET(L!$C$1,MATCH("Declaration"&amp;ADDRESS(ROW(),COLUMN(),4),L!$A:$A,0)-1,SL,,)</f>
        <v>Company Unique ID Authority:</v>
      </c>
      <c r="C13" s="82"/>
      <c r="D13" s="343" t="s">
        <v>114</v>
      </c>
      <c r="E13" s="344"/>
      <c r="F13" s="344"/>
      <c r="G13" s="344"/>
      <c r="H13" s="344"/>
      <c r="I13" s="344"/>
      <c r="J13" s="345"/>
      <c r="K13" s="59"/>
      <c r="L13" s="69"/>
      <c r="Q13" s="7"/>
      <c r="R13" s="7"/>
      <c r="S13" s="7"/>
      <c r="T13" s="7"/>
      <c r="U13" s="7"/>
      <c r="V13" s="7"/>
      <c r="W13" s="7"/>
      <c r="X13" s="7"/>
      <c r="Y13" s="7"/>
      <c r="Z13" s="7"/>
      <c r="AA13" s="7"/>
      <c r="AB13" s="7"/>
      <c r="AC13" s="7"/>
      <c r="AD13" s="7"/>
      <c r="AE13" s="7"/>
      <c r="AF13" s="7"/>
      <c r="AG13" s="7"/>
      <c r="AH13" s="7"/>
    </row>
    <row r="14" spans="1:34" ht="15.75">
      <c r="A14" s="74"/>
      <c r="B14" s="81" t="str">
        <f ca="1">OFFSET(L!$C$1,MATCH("Declaration"&amp;ADDRESS(ROW(),COLUMN(),4),L!$A:$A,0)-1,SL,,)</f>
        <v>Address:</v>
      </c>
      <c r="C14" s="82"/>
      <c r="D14" s="343" t="s">
        <v>18043</v>
      </c>
      <c r="E14" s="344"/>
      <c r="F14" s="344"/>
      <c r="G14" s="344"/>
      <c r="H14" s="344"/>
      <c r="I14" s="344"/>
      <c r="J14" s="345"/>
      <c r="K14" s="59"/>
      <c r="L14" s="69"/>
      <c r="Q14" s="7"/>
      <c r="R14" s="7"/>
      <c r="S14" s="7"/>
      <c r="T14" s="7"/>
      <c r="U14" s="7"/>
      <c r="V14" s="7"/>
      <c r="W14" s="7"/>
      <c r="X14" s="7"/>
      <c r="Y14" s="7"/>
      <c r="Z14" s="7"/>
      <c r="AA14" s="7"/>
      <c r="AB14" s="7"/>
      <c r="AC14" s="7"/>
      <c r="AD14" s="7"/>
      <c r="AE14" s="7"/>
      <c r="AF14" s="7"/>
      <c r="AG14" s="7"/>
      <c r="AH14" s="7"/>
    </row>
    <row r="15" spans="1:34" ht="15.75">
      <c r="A15" s="74"/>
      <c r="B15" s="81" t="str">
        <f ca="1">OFFSET(L!$C$1,MATCH("Declaration"&amp;ADDRESS(ROW(),COLUMN(),4),L!$A:$A,0)-1,SL,,)</f>
        <v>Contact Name (*):</v>
      </c>
      <c r="C15" s="82"/>
      <c r="D15" s="343" t="s">
        <v>18046</v>
      </c>
      <c r="E15" s="344"/>
      <c r="F15" s="344"/>
      <c r="G15" s="344"/>
      <c r="H15" s="344"/>
      <c r="I15" s="344"/>
      <c r="J15" s="345"/>
      <c r="K15" s="59"/>
      <c r="L15" s="69"/>
      <c r="Q15" s="7"/>
      <c r="R15" s="7"/>
      <c r="S15" s="7"/>
      <c r="T15" s="7"/>
      <c r="U15" s="7"/>
      <c r="V15" s="7"/>
      <c r="W15" s="7"/>
      <c r="X15" s="7"/>
      <c r="Y15" s="7"/>
      <c r="Z15" s="7"/>
      <c r="AA15" s="7"/>
      <c r="AB15" s="7"/>
      <c r="AC15" s="7"/>
      <c r="AD15" s="7"/>
      <c r="AE15" s="7"/>
      <c r="AF15" s="7"/>
      <c r="AG15" s="7"/>
      <c r="AH15" s="7"/>
    </row>
    <row r="16" spans="1:34" ht="15.75">
      <c r="A16" s="74"/>
      <c r="B16" s="81" t="str">
        <f ca="1">OFFSET(L!$C$1,MATCH("Declaration"&amp;ADDRESS(ROW(),COLUMN(),4),L!$A:$A,0)-1,SL,,)</f>
        <v>Email – Contact (*):</v>
      </c>
      <c r="C16" s="82"/>
      <c r="D16" s="358" t="s">
        <v>18047</v>
      </c>
      <c r="E16" s="359"/>
      <c r="F16" s="359"/>
      <c r="G16" s="359"/>
      <c r="H16" s="359"/>
      <c r="I16" s="359"/>
      <c r="J16" s="360"/>
      <c r="K16" s="59"/>
      <c r="L16" s="69"/>
      <c r="Q16" s="7"/>
      <c r="R16" s="7"/>
      <c r="S16" s="7"/>
      <c r="T16" s="7"/>
      <c r="U16" s="7"/>
      <c r="V16" s="7"/>
      <c r="W16" s="7"/>
      <c r="X16" s="7"/>
      <c r="Y16" s="7"/>
      <c r="Z16" s="7"/>
      <c r="AA16" s="7"/>
      <c r="AB16" s="7"/>
      <c r="AC16" s="7"/>
      <c r="AD16" s="7"/>
      <c r="AE16" s="7"/>
      <c r="AF16" s="7"/>
      <c r="AG16" s="7"/>
      <c r="AH16" s="7"/>
    </row>
    <row r="17" spans="1:34" ht="15.75">
      <c r="A17" s="74"/>
      <c r="B17" s="81" t="str">
        <f ca="1">OFFSET(L!$C$1,MATCH("Declaration"&amp;ADDRESS(ROW(),COLUMN(),4),L!$A:$A,0)-1,SL,,)</f>
        <v>Phone – Contact (*):</v>
      </c>
      <c r="C17" s="82"/>
      <c r="D17" s="343" t="s">
        <v>18048</v>
      </c>
      <c r="E17" s="344"/>
      <c r="F17" s="344"/>
      <c r="G17" s="344"/>
      <c r="H17" s="344"/>
      <c r="I17" s="344"/>
      <c r="J17" s="345"/>
      <c r="K17" s="59"/>
      <c r="L17" s="69"/>
      <c r="Q17" s="7"/>
      <c r="R17" s="7"/>
      <c r="S17" s="7"/>
      <c r="T17" s="7"/>
      <c r="U17" s="7"/>
      <c r="V17" s="7"/>
      <c r="W17" s="7"/>
      <c r="X17" s="7"/>
      <c r="Y17" s="7"/>
      <c r="Z17" s="7"/>
      <c r="AA17" s="7"/>
      <c r="AB17" s="7"/>
      <c r="AC17" s="7"/>
      <c r="AD17" s="7"/>
      <c r="AE17" s="7"/>
      <c r="AF17" s="7"/>
      <c r="AG17" s="7"/>
      <c r="AH17" s="7"/>
    </row>
    <row r="18" spans="1:34" ht="22.5">
      <c r="A18" s="74"/>
      <c r="B18" s="81" t="str">
        <f ca="1">OFFSET(L!$C$1,MATCH("Declaration"&amp;ADDRESS(ROW(),COLUMN(),4),L!$A:$A,0)-1,SL,,)</f>
        <v>Authorizer (*):</v>
      </c>
      <c r="C18" s="82"/>
      <c r="D18" s="376" t="s">
        <v>18046</v>
      </c>
      <c r="E18" s="377"/>
      <c r="F18" s="377"/>
      <c r="G18" s="377"/>
      <c r="H18" s="377"/>
      <c r="I18" s="377"/>
      <c r="J18" s="378"/>
      <c r="K18" s="59"/>
      <c r="L18" s="84"/>
      <c r="Q18" s="7"/>
      <c r="R18" s="7"/>
      <c r="S18" s="7"/>
      <c r="T18" s="7"/>
      <c r="U18" s="7"/>
      <c r="V18" s="7"/>
      <c r="W18" s="7"/>
      <c r="X18" s="7"/>
      <c r="Y18" s="7"/>
      <c r="Z18" s="7"/>
      <c r="AA18" s="7"/>
      <c r="AB18" s="7"/>
      <c r="AC18" s="7"/>
      <c r="AD18" s="7"/>
      <c r="AE18" s="7"/>
      <c r="AF18" s="7"/>
      <c r="AG18" s="7"/>
      <c r="AH18" s="7"/>
    </row>
    <row r="19" spans="1:34" ht="22.5">
      <c r="A19" s="74"/>
      <c r="B19" s="81" t="str">
        <f ca="1">OFFSET(L!$C$1,MATCH("Declaration"&amp;ADDRESS(ROW(),COLUMN(),4),L!$A:$A,0)-1,SL,,)</f>
        <v>Title - Authorizer:</v>
      </c>
      <c r="C19" s="82"/>
      <c r="D19" s="343" t="s">
        <v>18049</v>
      </c>
      <c r="E19" s="344"/>
      <c r="F19" s="344"/>
      <c r="G19" s="344"/>
      <c r="H19" s="344"/>
      <c r="I19" s="344"/>
      <c r="J19" s="345"/>
      <c r="K19" s="59"/>
      <c r="L19" s="84"/>
      <c r="P19" s="7"/>
      <c r="Q19" s="7"/>
      <c r="R19" s="7"/>
      <c r="S19" s="7"/>
      <c r="T19" s="7"/>
      <c r="U19" s="7"/>
      <c r="V19" s="7"/>
      <c r="W19" s="7"/>
      <c r="X19" s="7"/>
      <c r="Y19" s="7"/>
      <c r="Z19" s="7"/>
      <c r="AA19" s="7"/>
      <c r="AB19" s="7"/>
      <c r="AC19" s="7"/>
      <c r="AD19" s="7"/>
      <c r="AE19" s="7"/>
      <c r="AF19" s="7"/>
      <c r="AG19" s="7"/>
      <c r="AH19" s="7"/>
    </row>
    <row r="20" spans="1:34" ht="22.5">
      <c r="A20" s="74"/>
      <c r="B20" s="81" t="str">
        <f ca="1">OFFSET(L!$C$1,MATCH("Declaration"&amp;ADDRESS(ROW(),COLUMN(),4),L!$A:$A,0)-1,SL,,)</f>
        <v>Email - Authorizer (*):</v>
      </c>
      <c r="C20" s="82"/>
      <c r="D20" s="358" t="s">
        <v>18047</v>
      </c>
      <c r="E20" s="359"/>
      <c r="F20" s="359"/>
      <c r="G20" s="359"/>
      <c r="H20" s="359"/>
      <c r="I20" s="359"/>
      <c r="J20" s="360"/>
      <c r="K20" s="59"/>
      <c r="L20" s="84"/>
      <c r="P20" s="7"/>
      <c r="Q20" s="7"/>
      <c r="R20" s="7"/>
      <c r="S20" s="7"/>
      <c r="T20" s="7"/>
      <c r="U20" s="7"/>
      <c r="V20" s="7"/>
      <c r="W20" s="7"/>
      <c r="X20" s="7"/>
      <c r="Y20" s="7"/>
      <c r="Z20" s="7"/>
      <c r="AA20" s="7"/>
      <c r="AB20" s="7"/>
      <c r="AC20" s="7"/>
      <c r="AD20" s="7"/>
      <c r="AE20" s="7"/>
      <c r="AF20" s="7"/>
      <c r="AG20" s="7"/>
      <c r="AH20" s="7"/>
    </row>
    <row r="21" spans="1:34" ht="15.75">
      <c r="A21" s="74"/>
      <c r="B21" s="81" t="str">
        <f ca="1">OFFSET(L!$C$1,MATCH("Declaration"&amp;ADDRESS(ROW(),COLUMN(),4),L!$A:$A,0)-1,SL,,)</f>
        <v>Phone - Authorizer:</v>
      </c>
      <c r="C21" s="85"/>
      <c r="D21" s="316" t="s">
        <v>18048</v>
      </c>
      <c r="E21" s="317"/>
      <c r="F21" s="317"/>
      <c r="G21" s="317"/>
      <c r="H21" s="317"/>
      <c r="I21" s="317"/>
      <c r="J21" s="318"/>
      <c r="K21" s="59"/>
      <c r="L21" s="69"/>
      <c r="P21" s="7"/>
      <c r="Q21" s="7"/>
      <c r="R21" s="7"/>
      <c r="S21" s="7"/>
      <c r="T21" s="7"/>
      <c r="U21" s="7"/>
      <c r="V21" s="7"/>
      <c r="W21" s="7"/>
      <c r="X21" s="7"/>
      <c r="Y21" s="7"/>
      <c r="Z21" s="7"/>
      <c r="AA21" s="7"/>
      <c r="AB21" s="7"/>
      <c r="AC21" s="7"/>
      <c r="AD21" s="7"/>
      <c r="AE21" s="7"/>
      <c r="AF21" s="7"/>
      <c r="AG21" s="7"/>
      <c r="AH21" s="7"/>
    </row>
    <row r="22" spans="1:34" ht="18">
      <c r="A22" s="74"/>
      <c r="B22" s="81" t="str">
        <f ca="1">OFFSET(L!$C$1,MATCH("Declaration"&amp;ADDRESS(ROW(),COLUMN(),4),L!$A:$A,0)-1,SL,,)</f>
        <v>Effective Date (*):</v>
      </c>
      <c r="C22" s="86"/>
      <c r="D22" s="321" t="s">
        <v>115</v>
      </c>
      <c r="E22" s="322"/>
      <c r="F22" s="87"/>
      <c r="G22" s="88"/>
      <c r="H22" s="88"/>
      <c r="I22" s="88"/>
      <c r="J22" s="88"/>
      <c r="K22" s="59"/>
      <c r="L22" s="40"/>
      <c r="P22" s="7"/>
      <c r="Q22" s="7"/>
      <c r="R22" s="7"/>
      <c r="S22" s="7"/>
      <c r="T22" s="7"/>
      <c r="U22" s="7"/>
      <c r="V22" s="7"/>
      <c r="W22" s="7"/>
      <c r="X22" s="7"/>
      <c r="Y22" s="7"/>
      <c r="Z22" s="7"/>
      <c r="AA22" s="7"/>
      <c r="AB22" s="7"/>
      <c r="AC22" s="7"/>
      <c r="AD22" s="7"/>
      <c r="AE22" s="7"/>
      <c r="AF22" s="7"/>
      <c r="AG22" s="7"/>
      <c r="AH22" s="7"/>
    </row>
    <row r="23" spans="1:34" ht="18">
      <c r="A23" s="89"/>
      <c r="B23" s="90"/>
      <c r="C23" s="91"/>
      <c r="D23" s="368"/>
      <c r="E23" s="368"/>
      <c r="F23" s="92"/>
      <c r="G23" s="93"/>
      <c r="H23" s="93"/>
      <c r="I23" s="93"/>
      <c r="J23" s="93"/>
      <c r="K23" s="59"/>
      <c r="L23" s="94"/>
      <c r="P23" s="7"/>
      <c r="Q23" s="7"/>
      <c r="R23" s="7"/>
      <c r="S23" s="7"/>
      <c r="T23" s="7"/>
      <c r="U23" s="7"/>
      <c r="V23" s="7"/>
      <c r="W23" s="7"/>
      <c r="X23" s="7"/>
      <c r="Y23" s="7"/>
      <c r="Z23" s="7"/>
      <c r="AA23" s="7"/>
      <c r="AB23" s="7"/>
      <c r="AC23" s="7"/>
      <c r="AD23" s="7"/>
      <c r="AE23" s="7"/>
      <c r="AF23" s="7"/>
      <c r="AG23" s="7"/>
      <c r="AH23" s="7"/>
    </row>
    <row r="24" spans="1:34" ht="15.75">
      <c r="A24" s="95"/>
      <c r="B24" s="323" t="str">
        <f ca="1">OFFSET(L!$C$1,MATCH("Declaration"&amp;ADDRESS(ROW(),COLUMN(),4),L!$A:$A,0)-1,SL,,)</f>
        <v>Answer the following questions 1 - 8 based on the declaration scope indicated above</v>
      </c>
      <c r="C24" s="323"/>
      <c r="D24" s="323"/>
      <c r="E24" s="323"/>
      <c r="F24" s="323"/>
      <c r="G24" s="323"/>
      <c r="H24" s="323"/>
      <c r="I24" s="323"/>
      <c r="J24" s="323"/>
      <c r="K24" s="97"/>
      <c r="L24" s="94"/>
      <c r="P24" s="7"/>
      <c r="Q24" s="7"/>
      <c r="R24" s="7"/>
      <c r="S24" s="7"/>
      <c r="T24" s="7"/>
      <c r="U24" s="7"/>
      <c r="V24" s="7"/>
      <c r="W24" s="7"/>
      <c r="X24" s="7"/>
      <c r="Y24" s="7"/>
      <c r="Z24" s="7"/>
      <c r="AA24" s="7"/>
      <c r="AB24" s="7"/>
      <c r="AC24" s="7"/>
      <c r="AD24" s="7"/>
      <c r="AE24" s="7"/>
      <c r="AF24" s="7"/>
      <c r="AG24" s="7"/>
      <c r="AH24" s="7"/>
    </row>
    <row r="25" spans="1:34" ht="48.6" customHeight="1">
      <c r="A25" s="89"/>
      <c r="B25" s="98" t="str">
        <f ca="1">OFFSET(L!$C$1,MATCH("Declaration"&amp;ADDRESS(ROW(),COLUMN(),4),L!$A:$A,0)-1,SL,,)</f>
        <v>1) Is any 3TG intentionally added or used in the product(s) or in the production process? (*)</v>
      </c>
      <c r="C25" s="91"/>
      <c r="D25" s="330" t="str">
        <f ca="1">OFFSET(L!$C$1,MATCH("Declaration"&amp;ADDRESS(ROW(),COLUMN(),4),L!$A:$A,0)-1,SL,,)</f>
        <v>Answer</v>
      </c>
      <c r="E25" s="330"/>
      <c r="F25" s="99"/>
      <c r="G25" s="98" t="str">
        <f ca="1">OFFSET(L!$C$1,MATCH("Declaration"&amp;ADDRESS(ROW(),COLUMN(),4),L!$A:$A,0)-1,SL,,)</f>
        <v>Comments</v>
      </c>
      <c r="H25" s="98"/>
      <c r="I25" s="98"/>
      <c r="J25" s="100"/>
      <c r="K25" s="59"/>
      <c r="L25" s="94" t="s">
        <v>100</v>
      </c>
      <c r="P25" s="7"/>
      <c r="Q25" s="7"/>
      <c r="R25" s="7"/>
      <c r="S25" s="7"/>
      <c r="T25" s="7"/>
      <c r="U25" s="7"/>
      <c r="V25" s="7"/>
      <c r="W25" s="7"/>
      <c r="X25" s="7"/>
      <c r="Y25" s="7"/>
      <c r="Z25" s="7"/>
      <c r="AA25" s="7"/>
      <c r="AB25" s="7"/>
      <c r="AC25" s="7"/>
      <c r="AD25" s="7"/>
      <c r="AE25" s="7"/>
      <c r="AF25" s="7"/>
      <c r="AG25" s="7"/>
      <c r="AH25" s="7"/>
    </row>
    <row r="26" spans="1:34" ht="22.5">
      <c r="A26" s="89"/>
      <c r="B26" s="81" t="str">
        <f ca="1">OFFSET(L!$C$1,MATCH("Declaration"&amp;ADDRESS(ROW(),COLUMN(),4),L!$A:$A,0)-1,SL,,)&amp;P26</f>
        <v>Tantalum  (*)</v>
      </c>
      <c r="C26" s="58"/>
      <c r="D26" s="319" t="s">
        <v>116</v>
      </c>
      <c r="E26" s="320"/>
      <c r="F26" s="101"/>
      <c r="G26" s="327" t="s">
        <v>114</v>
      </c>
      <c r="H26" s="328"/>
      <c r="I26" s="328"/>
      <c r="J26" s="329"/>
      <c r="K26" s="59"/>
      <c r="L26" s="102"/>
      <c r="P26" s="67" t="str">
        <f>IF(D$26="No","","(*)")</f>
        <v>(*)</v>
      </c>
      <c r="R26" s="7"/>
      <c r="S26" s="7"/>
      <c r="T26" s="7"/>
      <c r="U26" s="7"/>
      <c r="V26" s="7"/>
      <c r="W26" s="7"/>
      <c r="X26" s="7"/>
      <c r="Y26" s="7"/>
      <c r="Z26" s="7"/>
      <c r="AA26" s="7"/>
      <c r="AB26" s="7"/>
      <c r="AC26" s="7"/>
      <c r="AD26" s="7"/>
      <c r="AE26" s="7"/>
      <c r="AF26" s="7"/>
      <c r="AG26" s="7"/>
      <c r="AH26" s="7"/>
    </row>
    <row r="27" spans="1:34" ht="22.5">
      <c r="A27" s="89"/>
      <c r="B27" s="81" t="str">
        <f ca="1">OFFSET(L!$C$1,MATCH("Declaration"&amp;ADDRESS(ROW(),COLUMN(),4),L!$A:$A,0)-1,SL,,)&amp;P27</f>
        <v>Tin  (*)</v>
      </c>
      <c r="C27" s="58"/>
      <c r="D27" s="319" t="s">
        <v>116</v>
      </c>
      <c r="E27" s="320"/>
      <c r="F27" s="101"/>
      <c r="G27" s="327" t="s">
        <v>114</v>
      </c>
      <c r="H27" s="328"/>
      <c r="I27" s="328"/>
      <c r="J27" s="329"/>
      <c r="K27" s="59"/>
      <c r="L27" s="102"/>
      <c r="P27" s="67" t="str">
        <f>IF(D$27="No","","(*)")</f>
        <v>(*)</v>
      </c>
      <c r="R27" s="7"/>
      <c r="S27" s="7"/>
      <c r="T27" s="7"/>
      <c r="U27" s="7"/>
      <c r="V27" s="7"/>
      <c r="W27" s="7"/>
      <c r="X27" s="7"/>
      <c r="Y27" s="7"/>
      <c r="Z27" s="7"/>
      <c r="AA27" s="7"/>
      <c r="AB27" s="7"/>
      <c r="AC27" s="7"/>
      <c r="AD27" s="7"/>
      <c r="AE27" s="7"/>
      <c r="AF27" s="7"/>
      <c r="AG27" s="7"/>
      <c r="AH27" s="7"/>
    </row>
    <row r="28" spans="1:34" ht="22.5">
      <c r="A28" s="89"/>
      <c r="B28" s="81" t="str">
        <f ca="1">OFFSET(L!$C$1,MATCH("Declaration"&amp;ADDRESS(ROW(),COLUMN(),4),L!$A:$A,0)-1,SL,,)&amp;P28</f>
        <v>Gold  (*)</v>
      </c>
      <c r="C28" s="58"/>
      <c r="D28" s="319" t="s">
        <v>116</v>
      </c>
      <c r="E28" s="320"/>
      <c r="F28" s="101"/>
      <c r="G28" s="327" t="s">
        <v>114</v>
      </c>
      <c r="H28" s="328"/>
      <c r="I28" s="328"/>
      <c r="J28" s="329"/>
      <c r="K28" s="59"/>
      <c r="L28" s="102"/>
      <c r="P28" s="67" t="str">
        <f>IF(D$28="No","","(*)")</f>
        <v>(*)</v>
      </c>
      <c r="R28" s="7"/>
      <c r="S28" s="7"/>
      <c r="T28" s="7"/>
      <c r="U28" s="7"/>
      <c r="V28" s="7"/>
      <c r="W28" s="7"/>
      <c r="X28" s="7"/>
      <c r="Y28" s="7"/>
      <c r="Z28" s="7"/>
      <c r="AA28" s="7"/>
      <c r="AB28" s="7"/>
      <c r="AC28" s="7"/>
      <c r="AD28" s="7"/>
      <c r="AE28" s="7"/>
      <c r="AF28" s="7"/>
      <c r="AG28" s="7"/>
      <c r="AH28" s="7"/>
    </row>
    <row r="29" spans="1:34" ht="22.5">
      <c r="A29" s="89"/>
      <c r="B29" s="81" t="str">
        <f ca="1">OFFSET(L!$C$1,MATCH("Declaration"&amp;ADDRESS(ROW(),COLUMN(),4),L!$A:$A,0)-1,SL,,)&amp;P29</f>
        <v>Tungsten  (*)</v>
      </c>
      <c r="C29" s="58"/>
      <c r="D29" s="319" t="s">
        <v>116</v>
      </c>
      <c r="E29" s="320"/>
      <c r="F29" s="101"/>
      <c r="G29" s="327" t="s">
        <v>114</v>
      </c>
      <c r="H29" s="328"/>
      <c r="I29" s="328"/>
      <c r="J29" s="329"/>
      <c r="K29" s="59"/>
      <c r="L29" s="102"/>
      <c r="P29" s="67" t="str">
        <f>IF(D$29="No","","(*)")</f>
        <v>(*)</v>
      </c>
      <c r="R29" s="7"/>
      <c r="S29" s="7"/>
      <c r="T29" s="7"/>
      <c r="U29" s="7"/>
      <c r="V29" s="7"/>
      <c r="W29" s="7"/>
      <c r="X29" s="7"/>
      <c r="Y29" s="7"/>
      <c r="Z29" s="7"/>
      <c r="AA29" s="7"/>
      <c r="AB29" s="7"/>
      <c r="AC29" s="7"/>
      <c r="AD29" s="7"/>
      <c r="AE29" s="7"/>
      <c r="AF29" s="7"/>
      <c r="AG29" s="7"/>
      <c r="AH29" s="7"/>
    </row>
    <row r="30" spans="1:34" ht="18">
      <c r="A30" s="89"/>
      <c r="B30" s="103"/>
      <c r="C30" s="104"/>
      <c r="D30" s="103"/>
      <c r="E30" s="103"/>
      <c r="F30" s="105"/>
      <c r="G30" s="103"/>
      <c r="H30" s="106"/>
      <c r="I30" s="106"/>
      <c r="J30" s="106"/>
      <c r="K30" s="59"/>
      <c r="L30" s="94"/>
      <c r="R30" s="7"/>
      <c r="S30" s="7"/>
      <c r="T30" s="7"/>
      <c r="U30" s="7"/>
      <c r="V30" s="7"/>
      <c r="W30" s="7"/>
      <c r="X30" s="7"/>
      <c r="Y30" s="7"/>
      <c r="Z30" s="7"/>
      <c r="AA30" s="7"/>
      <c r="AB30" s="7"/>
      <c r="AC30" s="7"/>
      <c r="AD30" s="7"/>
      <c r="AE30" s="7"/>
      <c r="AF30" s="7"/>
      <c r="AG30" s="7"/>
      <c r="AH30" s="7"/>
    </row>
    <row r="31" spans="1:34" ht="48.6" customHeight="1">
      <c r="A31" s="89"/>
      <c r="B31" s="98" t="str">
        <f ca="1">OFFSET(L!$C$1,MATCH("Declaration"&amp;ADDRESS(ROW(),COLUMN(),4),L!$A:$A,0)-1,SL,,)&amp;Q$37</f>
        <v>2) Does any 3TG remain in the product(s)? (*)</v>
      </c>
      <c r="C31" s="104"/>
      <c r="D31" s="324" t="str">
        <f ca="1">D25</f>
        <v>Answer</v>
      </c>
      <c r="E31" s="324"/>
      <c r="F31" s="99"/>
      <c r="G31" s="98" t="str">
        <f ca="1">G25</f>
        <v>Comments</v>
      </c>
      <c r="H31" s="98"/>
      <c r="I31" s="98"/>
      <c r="J31" s="100"/>
      <c r="K31" s="59"/>
      <c r="L31" s="94" t="s">
        <v>97</v>
      </c>
      <c r="P31" s="67">
        <f>COUNTIF(D$26:D$29,"No")</f>
        <v>0</v>
      </c>
      <c r="Q31" s="67" t="str">
        <f>IF(P31=4,""," (*)")</f>
        <v xml:space="preserve"> (*)</v>
      </c>
      <c r="R31" s="7"/>
      <c r="S31" s="7"/>
      <c r="T31" s="7"/>
      <c r="U31" s="7"/>
      <c r="V31" s="7"/>
      <c r="W31" s="7"/>
      <c r="X31" s="7"/>
      <c r="Y31" s="7"/>
      <c r="Z31" s="7"/>
      <c r="AA31" s="7"/>
      <c r="AB31" s="7"/>
      <c r="AC31" s="7"/>
      <c r="AD31" s="7"/>
      <c r="AE31" s="7"/>
      <c r="AF31" s="7"/>
      <c r="AG31" s="7"/>
      <c r="AH31" s="7"/>
    </row>
    <row r="32" spans="1:34" ht="22.5">
      <c r="A32" s="89"/>
      <c r="B32" s="81" t="str">
        <f ca="1">B26</f>
        <v>Tantalum  (*)</v>
      </c>
      <c r="C32" s="104"/>
      <c r="D32" s="325" t="s">
        <v>116</v>
      </c>
      <c r="E32" s="326"/>
      <c r="F32" s="108"/>
      <c r="G32" s="327" t="s">
        <v>114</v>
      </c>
      <c r="H32" s="328"/>
      <c r="I32" s="328"/>
      <c r="J32" s="329"/>
      <c r="K32" s="59"/>
      <c r="L32" s="102"/>
      <c r="P32" s="67" t="str">
        <f>IF(D$32="No","","(*)")</f>
        <v>(*)</v>
      </c>
      <c r="Q32" s="7"/>
      <c r="R32" s="7"/>
      <c r="S32" s="7"/>
      <c r="T32" s="7"/>
      <c r="U32" s="7"/>
      <c r="V32" s="7"/>
      <c r="W32" s="7"/>
      <c r="X32" s="7"/>
      <c r="Y32" s="7"/>
      <c r="Z32" s="7"/>
      <c r="AA32" s="7"/>
      <c r="AB32" s="7"/>
      <c r="AC32" s="7"/>
      <c r="AD32" s="7"/>
      <c r="AE32" s="7"/>
      <c r="AF32" s="7"/>
      <c r="AG32" s="7"/>
      <c r="AH32" s="7"/>
    </row>
    <row r="33" spans="1:34" ht="22.5">
      <c r="A33" s="89"/>
      <c r="B33" s="81" t="str">
        <f ca="1">B27</f>
        <v>Tin  (*)</v>
      </c>
      <c r="C33" s="104"/>
      <c r="D33" s="319" t="s">
        <v>116</v>
      </c>
      <c r="E33" s="320"/>
      <c r="F33" s="108"/>
      <c r="G33" s="327" t="s">
        <v>114</v>
      </c>
      <c r="H33" s="328"/>
      <c r="I33" s="328"/>
      <c r="J33" s="329"/>
      <c r="K33" s="59"/>
      <c r="L33" s="102"/>
      <c r="P33" s="67" t="str">
        <f>IF(D$33="No","","(*)")</f>
        <v>(*)</v>
      </c>
      <c r="Q33" s="7"/>
      <c r="R33" s="7"/>
      <c r="S33" s="7"/>
      <c r="T33" s="7"/>
      <c r="U33" s="7"/>
      <c r="V33" s="7"/>
      <c r="W33" s="7"/>
      <c r="X33" s="7"/>
      <c r="Y33" s="7"/>
      <c r="Z33" s="7"/>
      <c r="AA33" s="7"/>
      <c r="AB33" s="7"/>
      <c r="AC33" s="7"/>
      <c r="AD33" s="7"/>
      <c r="AE33" s="7"/>
      <c r="AF33" s="7"/>
      <c r="AG33" s="7"/>
      <c r="AH33" s="7"/>
    </row>
    <row r="34" spans="1:34" ht="22.5">
      <c r="A34" s="89"/>
      <c r="B34" s="81" t="str">
        <f ca="1">B28</f>
        <v>Gold  (*)</v>
      </c>
      <c r="C34" s="104"/>
      <c r="D34" s="319" t="s">
        <v>116</v>
      </c>
      <c r="E34" s="320"/>
      <c r="F34" s="108"/>
      <c r="G34" s="327" t="s">
        <v>114</v>
      </c>
      <c r="H34" s="328"/>
      <c r="I34" s="328"/>
      <c r="J34" s="329"/>
      <c r="K34" s="59"/>
      <c r="L34" s="102"/>
      <c r="P34" s="67" t="str">
        <f>IF(D$34="No","","(*)")</f>
        <v>(*)</v>
      </c>
      <c r="Q34" s="7"/>
      <c r="R34" s="7"/>
      <c r="S34" s="7"/>
      <c r="T34" s="7"/>
      <c r="U34" s="7"/>
      <c r="V34" s="7"/>
      <c r="W34" s="7"/>
      <c r="X34" s="7"/>
      <c r="Y34" s="7"/>
      <c r="Z34" s="7"/>
      <c r="AA34" s="7"/>
      <c r="AB34" s="7"/>
      <c r="AC34" s="7"/>
      <c r="AD34" s="7"/>
      <c r="AE34" s="7"/>
      <c r="AF34" s="7"/>
      <c r="AG34" s="7"/>
      <c r="AH34" s="7"/>
    </row>
    <row r="35" spans="1:34" ht="22.5">
      <c r="A35" s="89"/>
      <c r="B35" s="81" t="str">
        <f ca="1">B29</f>
        <v>Tungsten  (*)</v>
      </c>
      <c r="C35" s="104"/>
      <c r="D35" s="319" t="s">
        <v>116</v>
      </c>
      <c r="E35" s="320"/>
      <c r="F35" s="108"/>
      <c r="G35" s="327" t="s">
        <v>114</v>
      </c>
      <c r="H35" s="328"/>
      <c r="I35" s="328"/>
      <c r="J35" s="329"/>
      <c r="K35" s="59"/>
      <c r="L35" s="102"/>
      <c r="P35" s="67" t="str">
        <f>IF(D$35="No","","(*)")</f>
        <v>(*)</v>
      </c>
      <c r="Q35" s="7"/>
      <c r="R35" s="7"/>
      <c r="S35" s="7"/>
      <c r="T35" s="7"/>
      <c r="U35" s="7"/>
      <c r="V35" s="7"/>
      <c r="W35" s="7"/>
      <c r="X35" s="7"/>
      <c r="Y35" s="7"/>
      <c r="Z35" s="7"/>
      <c r="AA35" s="7"/>
      <c r="AB35" s="7"/>
      <c r="AC35" s="7"/>
      <c r="AD35" s="7"/>
      <c r="AE35" s="7"/>
      <c r="AF35" s="7"/>
      <c r="AG35" s="7"/>
      <c r="AH35" s="7"/>
    </row>
    <row r="36" spans="1:34" ht="18">
      <c r="A36" s="89"/>
      <c r="B36" s="105"/>
      <c r="C36" s="104"/>
      <c r="D36" s="105"/>
      <c r="E36" s="105"/>
      <c r="F36" s="109"/>
      <c r="G36" s="105"/>
      <c r="H36" s="106"/>
      <c r="I36" s="106"/>
      <c r="J36" s="106"/>
      <c r="K36" s="59"/>
      <c r="L36" s="94"/>
      <c r="P36" s="7"/>
      <c r="Q36" s="7"/>
      <c r="R36" s="7"/>
      <c r="S36" s="7"/>
      <c r="T36" s="7"/>
      <c r="U36" s="7"/>
      <c r="V36" s="7"/>
      <c r="W36" s="7"/>
      <c r="X36" s="7"/>
      <c r="Y36" s="7"/>
      <c r="Z36" s="7"/>
      <c r="AA36" s="7"/>
      <c r="AB36" s="7"/>
      <c r="AC36" s="7"/>
      <c r="AD36" s="7"/>
      <c r="AE36" s="7"/>
      <c r="AF36" s="7"/>
      <c r="AG36" s="7"/>
      <c r="AH36" s="7"/>
    </row>
    <row r="37" spans="1:34" ht="48.6" customHeight="1">
      <c r="A37" s="89"/>
      <c r="B37" s="98" t="str">
        <f ca="1">OFFSET(L!$C$1,MATCH("Declaration"&amp;ADDRESS(ROW(),COLUMN(),4),L!$A:$A,0)-1,SL,,)&amp;Q$37</f>
        <v>3) Do any of the smelters in your supply chain source the 3TG from the covered countries? (SEC term, see definitions tab) (*)</v>
      </c>
      <c r="C37" s="104"/>
      <c r="D37" s="324" t="str">
        <f ca="1">D25</f>
        <v>Answer</v>
      </c>
      <c r="E37" s="324"/>
      <c r="F37" s="99"/>
      <c r="G37" s="98" t="str">
        <f ca="1">G25</f>
        <v>Comments</v>
      </c>
      <c r="H37" s="367"/>
      <c r="I37" s="367"/>
      <c r="J37" s="367"/>
      <c r="K37" s="59"/>
      <c r="L37" s="94" t="s">
        <v>97</v>
      </c>
      <c r="P37" s="67">
        <f>COUNTIF(D$26:D$29,"No")+COUNTIF(D$32:D$35,"No")</f>
        <v>0</v>
      </c>
      <c r="Q37" s="67" t="str">
        <f>IF(P37&gt;3,""," (*)")</f>
        <v xml:space="preserve"> (*)</v>
      </c>
      <c r="R37" s="7"/>
      <c r="S37" s="7"/>
      <c r="T37" s="7"/>
      <c r="U37" s="7"/>
      <c r="V37" s="7"/>
      <c r="W37" s="7"/>
      <c r="X37" s="7"/>
      <c r="Y37" s="7"/>
      <c r="Z37" s="7"/>
      <c r="AA37" s="7"/>
      <c r="AB37" s="7"/>
      <c r="AC37" s="7"/>
      <c r="AD37" s="7"/>
      <c r="AE37" s="7"/>
      <c r="AF37" s="7"/>
      <c r="AG37" s="7"/>
      <c r="AH37" s="7"/>
    </row>
    <row r="38" spans="1:34" ht="22.5">
      <c r="A38" s="89"/>
      <c r="B38" s="81" t="str">
        <f ca="1">OFFSET(L!$C$1,MATCH("Declaration"&amp;ADDRESS(ROW(),COLUMN(),4),L!$A:$A,0)-1,SL,,)&amp;P38</f>
        <v>Tantalum  (*)</v>
      </c>
      <c r="C38" s="104"/>
      <c r="D38" s="319" t="s">
        <v>116</v>
      </c>
      <c r="E38" s="320"/>
      <c r="F38" s="108"/>
      <c r="G38" s="327" t="s">
        <v>114</v>
      </c>
      <c r="H38" s="328"/>
      <c r="I38" s="328"/>
      <c r="J38" s="329"/>
      <c r="K38" s="59"/>
      <c r="L38" s="102"/>
      <c r="P38" s="67" t="str">
        <f>IF((OR(D$26="No",D$32="No")),"","(*)")</f>
        <v>(*)</v>
      </c>
      <c r="Q38" s="7"/>
      <c r="R38" s="7"/>
      <c r="S38" s="7"/>
      <c r="T38" s="7"/>
      <c r="U38" s="7"/>
      <c r="V38" s="7"/>
      <c r="W38" s="7"/>
      <c r="X38" s="7"/>
      <c r="Y38" s="7"/>
      <c r="Z38" s="7"/>
      <c r="AA38" s="7"/>
      <c r="AB38" s="7"/>
      <c r="AC38" s="7"/>
      <c r="AD38" s="7"/>
      <c r="AE38" s="7"/>
      <c r="AF38" s="7"/>
      <c r="AG38" s="7"/>
    </row>
    <row r="39" spans="1:34" ht="22.5">
      <c r="A39" s="89"/>
      <c r="B39" s="81" t="str">
        <f ca="1">OFFSET(L!$C$1,MATCH("Declaration"&amp;ADDRESS(ROW(),COLUMN(),4),L!$A:$A,0)-1,SL,,)&amp;P39</f>
        <v>Tin  (*)</v>
      </c>
      <c r="C39" s="104"/>
      <c r="D39" s="319" t="s">
        <v>116</v>
      </c>
      <c r="E39" s="320"/>
      <c r="F39" s="108"/>
      <c r="G39" s="327" t="s">
        <v>114</v>
      </c>
      <c r="H39" s="328"/>
      <c r="I39" s="328"/>
      <c r="J39" s="329"/>
      <c r="K39" s="59"/>
      <c r="L39" s="102"/>
      <c r="P39" s="67" t="str">
        <f>IF((OR(D$27="No",D$33="No")),"","(*)")</f>
        <v>(*)</v>
      </c>
      <c r="Q39" s="7"/>
      <c r="R39" s="7"/>
      <c r="S39" s="7"/>
      <c r="T39" s="7"/>
      <c r="U39" s="7"/>
      <c r="V39" s="7"/>
      <c r="W39" s="7"/>
      <c r="X39" s="7"/>
      <c r="Y39" s="7"/>
      <c r="Z39" s="7"/>
      <c r="AA39" s="7"/>
      <c r="AB39" s="7"/>
      <c r="AC39" s="7"/>
      <c r="AD39" s="7"/>
      <c r="AE39" s="7"/>
      <c r="AF39" s="7"/>
      <c r="AG39" s="7"/>
    </row>
    <row r="40" spans="1:34" ht="22.5">
      <c r="A40" s="89"/>
      <c r="B40" s="81" t="str">
        <f ca="1">OFFSET(L!$C$1,MATCH("Declaration"&amp;ADDRESS(ROW(),COLUMN(),4),L!$A:$A,0)-1,SL,,)&amp;P40</f>
        <v>Gold  (*)</v>
      </c>
      <c r="C40" s="104"/>
      <c r="D40" s="319" t="s">
        <v>116</v>
      </c>
      <c r="E40" s="320"/>
      <c r="F40" s="108"/>
      <c r="G40" s="327" t="s">
        <v>114</v>
      </c>
      <c r="H40" s="328"/>
      <c r="I40" s="328"/>
      <c r="J40" s="329"/>
      <c r="K40" s="59"/>
      <c r="L40" s="102"/>
      <c r="P40" s="67" t="str">
        <f>IF((OR(D$28="No",D$34="No")),"","(*)")</f>
        <v>(*)</v>
      </c>
      <c r="Q40" s="7"/>
      <c r="R40" s="7"/>
      <c r="S40" s="7"/>
      <c r="T40" s="7"/>
      <c r="U40" s="7"/>
      <c r="V40" s="7"/>
      <c r="W40" s="7"/>
      <c r="X40" s="7"/>
      <c r="Y40" s="7"/>
      <c r="Z40" s="7"/>
      <c r="AA40" s="7"/>
      <c r="AB40" s="7"/>
      <c r="AC40" s="7"/>
      <c r="AD40" s="7"/>
      <c r="AE40" s="7"/>
      <c r="AF40" s="7"/>
      <c r="AG40" s="7"/>
    </row>
    <row r="41" spans="1:34" ht="22.5">
      <c r="A41" s="89"/>
      <c r="B41" s="81" t="str">
        <f ca="1">OFFSET(L!$C$1,MATCH("Declaration"&amp;ADDRESS(ROW(),COLUMN(),4),L!$A:$A,0)-1,SL,,)&amp;P41</f>
        <v>Tungsten  (*)</v>
      </c>
      <c r="C41" s="104"/>
      <c r="D41" s="319" t="s">
        <v>116</v>
      </c>
      <c r="E41" s="320"/>
      <c r="F41" s="108"/>
      <c r="G41" s="327" t="s">
        <v>114</v>
      </c>
      <c r="H41" s="328"/>
      <c r="I41" s="328"/>
      <c r="J41" s="329"/>
      <c r="K41" s="59"/>
      <c r="L41" s="102"/>
      <c r="P41" s="67" t="str">
        <f>IF((OR(D$29="No",D$35="No")),"","(*)")</f>
        <v>(*)</v>
      </c>
      <c r="Q41" s="7"/>
      <c r="R41" s="7"/>
      <c r="S41" s="7"/>
      <c r="T41" s="7"/>
      <c r="U41" s="7"/>
      <c r="V41" s="7"/>
      <c r="W41" s="7"/>
      <c r="X41" s="7"/>
      <c r="Y41" s="7"/>
      <c r="Z41" s="7"/>
      <c r="AA41" s="7"/>
      <c r="AB41" s="7"/>
      <c r="AC41" s="7"/>
      <c r="AD41" s="7"/>
      <c r="AE41" s="7"/>
      <c r="AF41" s="7"/>
      <c r="AG41" s="7"/>
    </row>
    <row r="42" spans="1:34" ht="18">
      <c r="A42" s="89"/>
      <c r="B42" s="105"/>
      <c r="C42" s="104"/>
      <c r="D42" s="105"/>
      <c r="E42" s="105"/>
      <c r="F42" s="109"/>
      <c r="G42" s="105"/>
      <c r="H42" s="106"/>
      <c r="I42" s="106"/>
      <c r="J42" s="106"/>
      <c r="K42" s="59"/>
      <c r="L42" s="94"/>
      <c r="Q42" s="7"/>
      <c r="R42" s="7"/>
      <c r="S42" s="7"/>
      <c r="T42" s="7"/>
      <c r="U42" s="7"/>
      <c r="V42" s="7"/>
      <c r="W42" s="7"/>
      <c r="X42" s="7"/>
      <c r="Y42" s="7"/>
      <c r="Z42" s="7"/>
      <c r="AA42" s="7"/>
      <c r="AB42" s="7"/>
      <c r="AC42" s="7"/>
      <c r="AD42" s="7"/>
      <c r="AE42" s="7"/>
      <c r="AF42" s="7"/>
      <c r="AG42" s="7"/>
      <c r="AH42" s="7"/>
    </row>
    <row r="43" spans="1:34" ht="48.6" customHeight="1">
      <c r="A43" s="89"/>
      <c r="B43" s="98" t="str">
        <f ca="1">OFFSET(L!$C$1,MATCH("Declaration"&amp;ADDRESS(ROW(),COLUMN(),4),L!$A:$A,0)-1,SL,,)&amp;Q$37</f>
        <v>4) Do any of the smelters in your supply chain source the 3TG from conflict-affected and high-risk areas? (*)</v>
      </c>
      <c r="C43" s="104"/>
      <c r="D43" s="324" t="str">
        <f ca="1">D25</f>
        <v>Answer</v>
      </c>
      <c r="E43" s="324"/>
      <c r="F43" s="99"/>
      <c r="G43" s="98" t="str">
        <f ca="1">G25</f>
        <v>Comments</v>
      </c>
      <c r="H43" s="98"/>
      <c r="I43" s="98"/>
      <c r="J43" s="100"/>
      <c r="K43" s="59"/>
      <c r="L43" s="94"/>
      <c r="P43" s="67">
        <f>COUNTIF(D$26:D$29,"No")+COUNTIF(D$32:D$35,"No")</f>
        <v>0</v>
      </c>
      <c r="Q43" s="67" t="str">
        <f>IF(P43&gt;3,""," (*)")</f>
        <v xml:space="preserve"> (*)</v>
      </c>
      <c r="R43" s="7"/>
      <c r="S43" s="7"/>
      <c r="T43" s="7"/>
      <c r="U43" s="7"/>
      <c r="V43" s="7"/>
      <c r="W43" s="7"/>
      <c r="X43" s="7"/>
      <c r="Y43" s="7"/>
      <c r="Z43" s="7"/>
      <c r="AA43" s="7"/>
      <c r="AB43" s="7"/>
      <c r="AC43" s="7"/>
      <c r="AD43" s="7"/>
      <c r="AE43" s="7"/>
      <c r="AF43" s="7"/>
      <c r="AG43" s="7"/>
      <c r="AH43" s="7"/>
    </row>
    <row r="44" spans="1:34" ht="23.1" customHeight="1">
      <c r="A44" s="89"/>
      <c r="B44" s="81" t="str">
        <f ca="1">OFFSET(L!$C$1,MATCH("Declaration"&amp;ADDRESS(ROW(),COLUMN(),4),L!$A:$A,0)-1,SL,,)&amp;P44</f>
        <v>Tantalum  (*)</v>
      </c>
      <c r="C44" s="104"/>
      <c r="D44" s="319" t="s">
        <v>116</v>
      </c>
      <c r="E44" s="320"/>
      <c r="F44" s="108"/>
      <c r="G44" s="327" t="s">
        <v>114</v>
      </c>
      <c r="H44" s="328"/>
      <c r="I44" s="328"/>
      <c r="J44" s="329"/>
      <c r="K44" s="59"/>
      <c r="L44" s="94"/>
      <c r="P44" s="67" t="str">
        <f>IF((OR(D$26="No",D$32="No")),"","(*)")</f>
        <v>(*)</v>
      </c>
      <c r="Q44" s="7"/>
      <c r="R44" s="7"/>
      <c r="S44" s="7"/>
      <c r="T44" s="7"/>
      <c r="U44" s="7"/>
      <c r="V44" s="7"/>
      <c r="W44" s="7"/>
      <c r="X44" s="7"/>
      <c r="Y44" s="7"/>
      <c r="Z44" s="7"/>
      <c r="AA44" s="7"/>
      <c r="AB44" s="7"/>
      <c r="AC44" s="7"/>
      <c r="AD44" s="7"/>
      <c r="AE44" s="7"/>
      <c r="AF44" s="7"/>
      <c r="AG44" s="7"/>
      <c r="AH44" s="7"/>
    </row>
    <row r="45" spans="1:34" ht="23.1" customHeight="1">
      <c r="A45" s="89"/>
      <c r="B45" s="81" t="str">
        <f ca="1">OFFSET(L!$C$1,MATCH("Declaration"&amp;ADDRESS(ROW(),COLUMN(),4),L!$A:$A,0)-1,SL,,)&amp;P45</f>
        <v>Tin  (*)</v>
      </c>
      <c r="C45" s="104"/>
      <c r="D45" s="319" t="s">
        <v>116</v>
      </c>
      <c r="E45" s="320"/>
      <c r="F45" s="108"/>
      <c r="G45" s="327" t="s">
        <v>114</v>
      </c>
      <c r="H45" s="328"/>
      <c r="I45" s="328"/>
      <c r="J45" s="329"/>
      <c r="K45" s="59"/>
      <c r="L45" s="94"/>
      <c r="P45" s="67" t="str">
        <f>IF((OR(D$27="No",D$33="No")),"","(*)")</f>
        <v>(*)</v>
      </c>
      <c r="Q45" s="7"/>
      <c r="R45" s="7"/>
      <c r="S45" s="7"/>
      <c r="T45" s="7"/>
      <c r="U45" s="7"/>
      <c r="V45" s="7"/>
      <c r="W45" s="7"/>
      <c r="X45" s="7"/>
      <c r="Y45" s="7"/>
      <c r="Z45" s="7"/>
      <c r="AA45" s="7"/>
      <c r="AB45" s="7"/>
      <c r="AC45" s="7"/>
      <c r="AD45" s="7"/>
      <c r="AE45" s="7"/>
      <c r="AF45" s="7"/>
      <c r="AG45" s="7"/>
      <c r="AH45" s="7"/>
    </row>
    <row r="46" spans="1:34" ht="23.1" customHeight="1">
      <c r="A46" s="89"/>
      <c r="B46" s="81" t="str">
        <f ca="1">OFFSET(L!$C$1,MATCH("Declaration"&amp;ADDRESS(ROW(),COLUMN(),4),L!$A:$A,0)-1,SL,,)&amp;P46</f>
        <v>Gold  (*)</v>
      </c>
      <c r="C46" s="104"/>
      <c r="D46" s="319" t="s">
        <v>116</v>
      </c>
      <c r="E46" s="320"/>
      <c r="F46" s="108"/>
      <c r="G46" s="327" t="s">
        <v>114</v>
      </c>
      <c r="H46" s="328"/>
      <c r="I46" s="328"/>
      <c r="J46" s="329"/>
      <c r="K46" s="59"/>
      <c r="L46" s="94"/>
      <c r="P46" s="67" t="str">
        <f>IF((OR(D$28="No",D$34="No")),"","(*)")</f>
        <v>(*)</v>
      </c>
      <c r="Q46" s="7"/>
      <c r="R46" s="7"/>
      <c r="S46" s="7"/>
      <c r="T46" s="7"/>
      <c r="U46" s="7"/>
      <c r="V46" s="7"/>
      <c r="W46" s="7"/>
      <c r="X46" s="7"/>
      <c r="Y46" s="7"/>
      <c r="Z46" s="7"/>
      <c r="AA46" s="7"/>
      <c r="AB46" s="7"/>
      <c r="AC46" s="7"/>
      <c r="AD46" s="7"/>
      <c r="AE46" s="7"/>
      <c r="AF46" s="7"/>
      <c r="AG46" s="7"/>
      <c r="AH46" s="7"/>
    </row>
    <row r="47" spans="1:34" ht="23.1" customHeight="1">
      <c r="A47" s="89"/>
      <c r="B47" s="81" t="str">
        <f ca="1">OFFSET(L!$C$1,MATCH("Declaration"&amp;ADDRESS(ROW(),COLUMN(),4),L!$A:$A,0)-1,SL,,)&amp;P47</f>
        <v>Tungsten  (*)</v>
      </c>
      <c r="C47" s="104"/>
      <c r="D47" s="319" t="s">
        <v>116</v>
      </c>
      <c r="E47" s="320"/>
      <c r="F47" s="108"/>
      <c r="G47" s="327" t="s">
        <v>114</v>
      </c>
      <c r="H47" s="328"/>
      <c r="I47" s="328"/>
      <c r="J47" s="329"/>
      <c r="K47" s="59"/>
      <c r="L47" s="94"/>
      <c r="P47" s="67" t="str">
        <f>IF((OR(D$29="No",D$35="No")),"","(*)")</f>
        <v>(*)</v>
      </c>
      <c r="Q47" s="7"/>
      <c r="R47" s="7"/>
      <c r="S47" s="7"/>
      <c r="T47" s="7"/>
      <c r="U47" s="7"/>
      <c r="V47" s="7"/>
      <c r="W47" s="7"/>
      <c r="X47" s="7"/>
      <c r="Y47" s="7"/>
      <c r="Z47" s="7"/>
      <c r="AA47" s="7"/>
      <c r="AB47" s="7"/>
      <c r="AC47" s="7"/>
      <c r="AD47" s="7"/>
      <c r="AE47" s="7"/>
      <c r="AF47" s="7"/>
      <c r="AG47" s="7"/>
      <c r="AH47" s="7"/>
    </row>
    <row r="48" spans="1:34" ht="23.1" customHeight="1">
      <c r="A48" s="89"/>
      <c r="B48" s="105"/>
      <c r="C48" s="104"/>
      <c r="D48" s="105"/>
      <c r="E48" s="105"/>
      <c r="F48" s="109"/>
      <c r="G48" s="105"/>
      <c r="H48" s="106"/>
      <c r="I48" s="106"/>
      <c r="J48" s="106"/>
      <c r="K48" s="59"/>
      <c r="L48" s="94"/>
      <c r="R48" s="7"/>
      <c r="S48" s="7"/>
      <c r="T48" s="7"/>
      <c r="U48" s="7"/>
      <c r="V48" s="7"/>
      <c r="W48" s="7"/>
      <c r="X48" s="7"/>
      <c r="Y48" s="7"/>
      <c r="Z48" s="7"/>
      <c r="AA48" s="7"/>
      <c r="AB48" s="7"/>
      <c r="AC48" s="7"/>
      <c r="AD48" s="7"/>
      <c r="AE48" s="7"/>
      <c r="AF48" s="7"/>
      <c r="AG48" s="7"/>
      <c r="AH48" s="7"/>
    </row>
    <row r="49" spans="1:34" ht="48.6" customHeight="1">
      <c r="A49" s="89"/>
      <c r="B49" s="98" t="str">
        <f ca="1">OFFSET(L!$C$1,MATCH("Declaration"&amp;ADDRESS(ROW(),COLUMN(),4),L!$A:$A,0)-1,SL,,)&amp;Q$37</f>
        <v>5) Does 100 percent of the 3TG (necessary to the functionality or production of your products) originate from recycled or scrap sources?  (*)</v>
      </c>
      <c r="C49" s="104"/>
      <c r="D49" s="324" t="str">
        <f ca="1">D25</f>
        <v>Answer</v>
      </c>
      <c r="E49" s="324"/>
      <c r="F49" s="99"/>
      <c r="G49" s="98" t="str">
        <f ca="1">G25</f>
        <v>Comments</v>
      </c>
      <c r="H49" s="98"/>
      <c r="I49" s="98"/>
      <c r="J49" s="100"/>
      <c r="K49" s="59"/>
      <c r="L49" s="94" t="s">
        <v>97</v>
      </c>
      <c r="P49" s="7"/>
      <c r="Q49" s="7"/>
      <c r="R49" s="7"/>
      <c r="S49" s="7"/>
      <c r="T49" s="7"/>
      <c r="U49" s="7"/>
      <c r="V49" s="7"/>
      <c r="W49" s="7"/>
      <c r="X49" s="7"/>
      <c r="Y49" s="7"/>
      <c r="Z49" s="7"/>
      <c r="AA49" s="7"/>
      <c r="AB49" s="7"/>
      <c r="AC49" s="7"/>
      <c r="AD49" s="7"/>
      <c r="AE49" s="7"/>
      <c r="AF49" s="7"/>
      <c r="AG49" s="7"/>
      <c r="AH49" s="7"/>
    </row>
    <row r="50" spans="1:34" ht="22.5">
      <c r="A50" s="89"/>
      <c r="B50" s="81" t="str">
        <f ca="1">B38</f>
        <v>Tantalum  (*)</v>
      </c>
      <c r="C50" s="104"/>
      <c r="D50" s="319" t="s">
        <v>117</v>
      </c>
      <c r="E50" s="320"/>
      <c r="F50" s="108"/>
      <c r="G50" s="327" t="s">
        <v>114</v>
      </c>
      <c r="H50" s="328"/>
      <c r="I50" s="328"/>
      <c r="J50" s="329"/>
      <c r="K50" s="59"/>
      <c r="L50" s="102"/>
      <c r="P50" s="7"/>
      <c r="Q50" s="7"/>
      <c r="R50" s="7"/>
      <c r="S50" s="7"/>
      <c r="T50" s="7"/>
      <c r="U50" s="7"/>
      <c r="V50" s="7"/>
      <c r="W50" s="7"/>
      <c r="X50" s="7"/>
      <c r="Y50" s="7"/>
      <c r="Z50" s="7"/>
      <c r="AA50" s="7"/>
      <c r="AB50" s="7"/>
      <c r="AC50" s="7"/>
      <c r="AD50" s="7"/>
      <c r="AE50" s="7"/>
      <c r="AF50" s="7"/>
      <c r="AG50" s="7"/>
      <c r="AH50" s="7"/>
    </row>
    <row r="51" spans="1:34" ht="22.5">
      <c r="A51" s="89"/>
      <c r="B51" s="81" t="str">
        <f ca="1">B39</f>
        <v>Tin  (*)</v>
      </c>
      <c r="C51" s="104"/>
      <c r="D51" s="319" t="s">
        <v>117</v>
      </c>
      <c r="E51" s="320"/>
      <c r="F51" s="108"/>
      <c r="G51" s="327" t="s">
        <v>114</v>
      </c>
      <c r="H51" s="328"/>
      <c r="I51" s="328"/>
      <c r="J51" s="329"/>
      <c r="K51" s="59"/>
      <c r="L51" s="102"/>
      <c r="P51" s="7"/>
      <c r="Q51" s="7"/>
      <c r="R51" s="7"/>
      <c r="S51" s="7"/>
      <c r="T51" s="7"/>
      <c r="U51" s="7"/>
      <c r="V51" s="7"/>
      <c r="W51" s="7"/>
      <c r="X51" s="7"/>
      <c r="Y51" s="7"/>
      <c r="Z51" s="7"/>
      <c r="AA51" s="7"/>
      <c r="AB51" s="7"/>
      <c r="AC51" s="7"/>
      <c r="AD51" s="7"/>
      <c r="AE51" s="7"/>
      <c r="AF51" s="7"/>
      <c r="AG51" s="7"/>
      <c r="AH51" s="7"/>
    </row>
    <row r="52" spans="1:34" ht="22.5">
      <c r="A52" s="89"/>
      <c r="B52" s="81" t="str">
        <f ca="1">B40</f>
        <v>Gold  (*)</v>
      </c>
      <c r="C52" s="104"/>
      <c r="D52" s="319" t="s">
        <v>117</v>
      </c>
      <c r="E52" s="320"/>
      <c r="F52" s="108"/>
      <c r="G52" s="327" t="s">
        <v>114</v>
      </c>
      <c r="H52" s="328"/>
      <c r="I52" s="328"/>
      <c r="J52" s="329"/>
      <c r="K52" s="59"/>
      <c r="L52" s="102"/>
      <c r="P52" s="7"/>
      <c r="Q52" s="7"/>
      <c r="R52" s="7"/>
      <c r="S52" s="7"/>
      <c r="T52" s="7"/>
      <c r="U52" s="7"/>
      <c r="V52" s="7"/>
      <c r="W52" s="7"/>
      <c r="X52" s="7"/>
      <c r="Y52" s="7"/>
      <c r="Z52" s="7"/>
      <c r="AA52" s="7"/>
      <c r="AB52" s="7"/>
      <c r="AC52" s="7"/>
      <c r="AD52" s="7"/>
      <c r="AE52" s="7"/>
      <c r="AF52" s="7"/>
      <c r="AG52" s="7"/>
      <c r="AH52" s="7"/>
    </row>
    <row r="53" spans="1:34" ht="22.5">
      <c r="A53" s="89"/>
      <c r="B53" s="81" t="str">
        <f ca="1">B41</f>
        <v>Tungsten  (*)</v>
      </c>
      <c r="C53" s="104"/>
      <c r="D53" s="319" t="s">
        <v>117</v>
      </c>
      <c r="E53" s="320"/>
      <c r="F53" s="108"/>
      <c r="G53" s="327" t="s">
        <v>114</v>
      </c>
      <c r="H53" s="328"/>
      <c r="I53" s="328"/>
      <c r="J53" s="329"/>
      <c r="K53" s="59"/>
      <c r="L53" s="102"/>
      <c r="P53" s="7"/>
      <c r="Q53" s="7"/>
      <c r="R53" s="7"/>
      <c r="S53" s="7"/>
      <c r="T53" s="7"/>
      <c r="U53" s="7"/>
      <c r="V53" s="7"/>
      <c r="W53" s="7"/>
      <c r="X53" s="7"/>
      <c r="Y53" s="7"/>
      <c r="Z53" s="7"/>
      <c r="AA53" s="7"/>
      <c r="AB53" s="7"/>
      <c r="AC53" s="7"/>
      <c r="AD53" s="7"/>
      <c r="AE53" s="7"/>
      <c r="AF53" s="7"/>
      <c r="AG53" s="7"/>
      <c r="AH53" s="7"/>
    </row>
    <row r="54" spans="1:34" ht="18">
      <c r="A54" s="89"/>
      <c r="B54" s="105"/>
      <c r="C54" s="104"/>
      <c r="D54" s="105"/>
      <c r="E54" s="105"/>
      <c r="F54" s="109"/>
      <c r="G54" s="105"/>
      <c r="H54" s="106"/>
      <c r="I54" s="106"/>
      <c r="J54" s="106"/>
      <c r="K54" s="59"/>
      <c r="L54" s="94"/>
      <c r="P54" s="7"/>
      <c r="Q54" s="7"/>
      <c r="R54" s="7"/>
      <c r="S54" s="7"/>
      <c r="T54" s="7"/>
      <c r="U54" s="7"/>
      <c r="V54" s="7"/>
      <c r="W54" s="7"/>
      <c r="X54" s="7"/>
      <c r="Y54" s="7"/>
      <c r="Z54" s="7"/>
      <c r="AA54" s="7"/>
      <c r="AB54" s="7"/>
      <c r="AC54" s="7"/>
      <c r="AD54" s="7"/>
      <c r="AE54" s="7"/>
      <c r="AF54" s="7"/>
      <c r="AG54" s="7"/>
      <c r="AH54" s="7"/>
    </row>
    <row r="55" spans="1:34" ht="48.6" customHeight="1">
      <c r="A55" s="89"/>
      <c r="B55" s="107" t="str">
        <f ca="1">OFFSET(L!$C$1,MATCH("Declaration"&amp;ADDRESS(ROW(),COLUMN(),4),L!$A:$A,0)-1,SL,,)&amp;Q$37</f>
        <v>6) What percentage of relevant suppliers have provided a response to your supply chain survey?  (*)</v>
      </c>
      <c r="C55" s="104"/>
      <c r="D55" s="324" t="str">
        <f ca="1">D25</f>
        <v>Answer</v>
      </c>
      <c r="E55" s="324"/>
      <c r="F55" s="99"/>
      <c r="G55" s="98" t="str">
        <f ca="1">G25</f>
        <v>Comments</v>
      </c>
      <c r="H55" s="110"/>
      <c r="I55" s="110"/>
      <c r="J55" s="110"/>
      <c r="K55" s="59"/>
      <c r="L55" s="94" t="s">
        <v>97</v>
      </c>
      <c r="P55" s="7"/>
      <c r="Q55" s="7"/>
      <c r="R55" s="7"/>
      <c r="S55" s="7"/>
      <c r="T55" s="7"/>
      <c r="U55" s="7"/>
      <c r="V55" s="7"/>
      <c r="W55" s="7"/>
      <c r="X55" s="7"/>
      <c r="Y55" s="7"/>
      <c r="Z55" s="7"/>
      <c r="AA55" s="7"/>
      <c r="AB55" s="7"/>
      <c r="AC55" s="7"/>
      <c r="AD55" s="7"/>
      <c r="AE55" s="7"/>
      <c r="AF55" s="7"/>
      <c r="AG55" s="7"/>
      <c r="AH55" s="7"/>
    </row>
    <row r="56" spans="1:34" ht="22.5">
      <c r="A56" s="89"/>
      <c r="B56" s="81" t="str">
        <f ca="1">B38</f>
        <v>Tantalum  (*)</v>
      </c>
      <c r="C56" s="58"/>
      <c r="D56" s="361" t="s">
        <v>118</v>
      </c>
      <c r="E56" s="362"/>
      <c r="F56" s="108"/>
      <c r="G56" s="327" t="s">
        <v>114</v>
      </c>
      <c r="H56" s="328"/>
      <c r="I56" s="328"/>
      <c r="J56" s="329"/>
      <c r="K56" s="59"/>
      <c r="L56" s="102"/>
      <c r="P56" s="7"/>
      <c r="Q56" s="7"/>
      <c r="R56" s="7"/>
      <c r="S56" s="7"/>
      <c r="T56" s="7"/>
      <c r="U56" s="7"/>
      <c r="V56" s="7"/>
      <c r="W56" s="7"/>
      <c r="X56" s="7"/>
      <c r="Y56" s="7"/>
      <c r="Z56" s="7"/>
      <c r="AA56" s="7"/>
      <c r="AB56" s="7"/>
      <c r="AC56" s="7"/>
      <c r="AD56" s="7"/>
      <c r="AE56" s="7"/>
      <c r="AF56" s="7"/>
      <c r="AG56" s="7"/>
      <c r="AH56" s="7"/>
    </row>
    <row r="57" spans="1:34" ht="22.5">
      <c r="A57" s="89"/>
      <c r="B57" s="81" t="str">
        <f ca="1">B39</f>
        <v>Tin  (*)</v>
      </c>
      <c r="C57" s="58"/>
      <c r="D57" s="361" t="s">
        <v>118</v>
      </c>
      <c r="E57" s="362"/>
      <c r="F57" s="108"/>
      <c r="G57" s="327" t="s">
        <v>114</v>
      </c>
      <c r="H57" s="328"/>
      <c r="I57" s="328"/>
      <c r="J57" s="329"/>
      <c r="K57" s="59"/>
      <c r="L57" s="102"/>
      <c r="P57" s="7"/>
      <c r="Q57" s="7"/>
      <c r="R57" s="7"/>
      <c r="S57" s="7"/>
      <c r="T57" s="7"/>
      <c r="U57" s="7"/>
      <c r="V57" s="7"/>
      <c r="W57" s="7"/>
      <c r="X57" s="7"/>
      <c r="Y57" s="7"/>
      <c r="Z57" s="7"/>
      <c r="AA57" s="7"/>
      <c r="AB57" s="7"/>
      <c r="AC57" s="7"/>
      <c r="AD57" s="7"/>
      <c r="AE57" s="7"/>
      <c r="AF57" s="7"/>
      <c r="AG57" s="7"/>
      <c r="AH57" s="7"/>
    </row>
    <row r="58" spans="1:34" ht="22.5">
      <c r="A58" s="89"/>
      <c r="B58" s="81" t="str">
        <f ca="1">B40</f>
        <v>Gold  (*)</v>
      </c>
      <c r="C58" s="58"/>
      <c r="D58" s="361" t="s">
        <v>118</v>
      </c>
      <c r="E58" s="362"/>
      <c r="F58" s="108"/>
      <c r="G58" s="327" t="s">
        <v>114</v>
      </c>
      <c r="H58" s="328"/>
      <c r="I58" s="328"/>
      <c r="J58" s="329"/>
      <c r="K58" s="59"/>
      <c r="L58" s="102"/>
      <c r="P58" s="7"/>
      <c r="Q58" s="7"/>
      <c r="R58" s="7"/>
      <c r="S58" s="7"/>
      <c r="T58" s="7"/>
      <c r="U58" s="7"/>
      <c r="V58" s="7"/>
      <c r="W58" s="7"/>
      <c r="X58" s="7"/>
      <c r="Y58" s="7"/>
      <c r="Z58" s="7"/>
      <c r="AA58" s="7"/>
      <c r="AB58" s="7"/>
      <c r="AC58" s="7"/>
      <c r="AD58" s="7"/>
      <c r="AE58" s="7"/>
      <c r="AF58" s="7"/>
      <c r="AG58" s="7"/>
      <c r="AH58" s="7"/>
    </row>
    <row r="59" spans="1:34" ht="22.5">
      <c r="A59" s="89"/>
      <c r="B59" s="81" t="str">
        <f ca="1">B41</f>
        <v>Tungsten  (*)</v>
      </c>
      <c r="C59" s="58"/>
      <c r="D59" s="361" t="s">
        <v>118</v>
      </c>
      <c r="E59" s="362"/>
      <c r="F59" s="108"/>
      <c r="G59" s="327" t="s">
        <v>114</v>
      </c>
      <c r="H59" s="328"/>
      <c r="I59" s="328"/>
      <c r="J59" s="329"/>
      <c r="K59" s="59"/>
      <c r="L59" s="102"/>
      <c r="P59" s="7"/>
      <c r="Q59" s="7"/>
      <c r="R59" s="7"/>
      <c r="S59" s="7"/>
      <c r="T59" s="7"/>
      <c r="U59" s="7"/>
      <c r="V59" s="7"/>
      <c r="W59" s="7"/>
      <c r="X59" s="7"/>
      <c r="Y59" s="7"/>
      <c r="Z59" s="7"/>
      <c r="AA59" s="7"/>
      <c r="AB59" s="7"/>
      <c r="AC59" s="7"/>
      <c r="AD59" s="7"/>
      <c r="AE59" s="7"/>
      <c r="AF59" s="7"/>
      <c r="AG59" s="7"/>
      <c r="AH59" s="7"/>
    </row>
    <row r="60" spans="1:34" ht="15.75">
      <c r="A60" s="89"/>
      <c r="B60" s="103"/>
      <c r="C60" s="104"/>
      <c r="D60" s="111"/>
      <c r="E60" s="111"/>
      <c r="F60" s="109"/>
      <c r="G60" s="112"/>
      <c r="H60" s="112"/>
      <c r="I60" s="112"/>
      <c r="J60" s="112"/>
      <c r="K60" s="59"/>
      <c r="L60" s="94"/>
      <c r="M60" s="113"/>
      <c r="P60" s="7"/>
      <c r="Q60" s="7"/>
      <c r="R60" s="7"/>
      <c r="S60" s="7"/>
      <c r="T60" s="7"/>
      <c r="U60" s="7"/>
      <c r="V60" s="7"/>
      <c r="W60" s="7"/>
      <c r="X60" s="7"/>
      <c r="Y60" s="7"/>
      <c r="Z60" s="7"/>
      <c r="AA60" s="7"/>
      <c r="AB60" s="7"/>
      <c r="AC60" s="7"/>
      <c r="AD60" s="7"/>
      <c r="AE60" s="7"/>
      <c r="AF60" s="7"/>
      <c r="AG60" s="7"/>
      <c r="AH60" s="7"/>
    </row>
    <row r="61" spans="1:34" ht="48.6" customHeight="1">
      <c r="A61" s="89"/>
      <c r="B61" s="107" t="str">
        <f ca="1">OFFSET(L!$C$1,MATCH("Declaration"&amp;ADDRESS(ROW(),COLUMN(),4),L!$A:$A,0)-1,SL,,)&amp;Q$37</f>
        <v>7) Have you identified all of the smelters supplying the 3TG to your supply chain?  (*)</v>
      </c>
      <c r="C61" s="104"/>
      <c r="D61" s="324" t="str">
        <f ca="1">D25</f>
        <v>Answer</v>
      </c>
      <c r="E61" s="324"/>
      <c r="F61" s="99"/>
      <c r="G61" s="98" t="str">
        <f ca="1">G25</f>
        <v>Comments</v>
      </c>
      <c r="H61" s="366"/>
      <c r="I61" s="366"/>
      <c r="J61" s="366"/>
      <c r="K61" s="59"/>
      <c r="L61" s="94" t="s">
        <v>100</v>
      </c>
      <c r="M61" s="113"/>
      <c r="P61" s="7"/>
      <c r="Q61" s="7"/>
      <c r="R61" s="7"/>
      <c r="S61" s="7"/>
      <c r="T61" s="7"/>
      <c r="U61" s="7"/>
      <c r="V61" s="7"/>
      <c r="W61" s="7"/>
      <c r="X61" s="7"/>
      <c r="Y61" s="7"/>
      <c r="Z61" s="7"/>
      <c r="AA61" s="7"/>
      <c r="AB61" s="7"/>
      <c r="AC61" s="7"/>
      <c r="AD61" s="7"/>
      <c r="AE61" s="7"/>
      <c r="AF61" s="7"/>
      <c r="AG61" s="7"/>
      <c r="AH61" s="7"/>
    </row>
    <row r="62" spans="1:34" ht="22.5">
      <c r="A62" s="89"/>
      <c r="B62" s="81" t="str">
        <f ca="1">B38</f>
        <v>Tantalum  (*)</v>
      </c>
      <c r="C62" s="104"/>
      <c r="D62" s="325" t="s">
        <v>117</v>
      </c>
      <c r="E62" s="326"/>
      <c r="F62" s="108"/>
      <c r="G62" s="327" t="s">
        <v>114</v>
      </c>
      <c r="H62" s="328"/>
      <c r="I62" s="328"/>
      <c r="J62" s="329"/>
      <c r="K62" s="59"/>
      <c r="L62" s="102"/>
      <c r="P62" s="7"/>
      <c r="Q62" s="7"/>
      <c r="R62" s="7"/>
      <c r="S62" s="7"/>
      <c r="T62" s="7"/>
      <c r="U62" s="7"/>
      <c r="V62" s="7"/>
      <c r="W62" s="7"/>
      <c r="X62" s="7"/>
      <c r="Y62" s="7"/>
      <c r="Z62" s="7"/>
      <c r="AA62" s="7"/>
      <c r="AB62" s="7"/>
      <c r="AC62" s="7"/>
      <c r="AD62" s="7"/>
      <c r="AE62" s="7"/>
      <c r="AF62" s="7"/>
      <c r="AG62" s="7"/>
      <c r="AH62" s="7"/>
    </row>
    <row r="63" spans="1:34" ht="22.5">
      <c r="A63" s="89"/>
      <c r="B63" s="81" t="str">
        <f ca="1">B39</f>
        <v>Tin  (*)</v>
      </c>
      <c r="C63" s="104"/>
      <c r="D63" s="319" t="s">
        <v>117</v>
      </c>
      <c r="E63" s="320"/>
      <c r="F63" s="108"/>
      <c r="G63" s="327" t="s">
        <v>114</v>
      </c>
      <c r="H63" s="328"/>
      <c r="I63" s="328"/>
      <c r="J63" s="329"/>
      <c r="K63" s="59"/>
      <c r="L63" s="102"/>
      <c r="P63" s="7"/>
      <c r="Q63" s="7"/>
      <c r="R63" s="7"/>
      <c r="S63" s="7"/>
      <c r="T63" s="7"/>
      <c r="U63" s="7"/>
      <c r="V63" s="7"/>
      <c r="W63" s="7"/>
      <c r="X63" s="7"/>
      <c r="Y63" s="7"/>
      <c r="Z63" s="7"/>
      <c r="AA63" s="7"/>
      <c r="AB63" s="7"/>
      <c r="AC63" s="7"/>
      <c r="AD63" s="7"/>
      <c r="AE63" s="7"/>
      <c r="AF63" s="7"/>
      <c r="AG63" s="7"/>
      <c r="AH63" s="7"/>
    </row>
    <row r="64" spans="1:34" ht="22.5">
      <c r="A64" s="89"/>
      <c r="B64" s="81" t="str">
        <f ca="1">B40</f>
        <v>Gold  (*)</v>
      </c>
      <c r="C64" s="104"/>
      <c r="D64" s="319" t="s">
        <v>117</v>
      </c>
      <c r="E64" s="320"/>
      <c r="F64" s="108"/>
      <c r="G64" s="327" t="s">
        <v>114</v>
      </c>
      <c r="H64" s="328"/>
      <c r="I64" s="328"/>
      <c r="J64" s="329"/>
      <c r="K64" s="59"/>
      <c r="L64" s="102"/>
      <c r="P64" s="7"/>
      <c r="Q64" s="7"/>
      <c r="R64" s="7"/>
      <c r="S64" s="7"/>
      <c r="T64" s="7"/>
      <c r="U64" s="7"/>
      <c r="V64" s="7"/>
      <c r="W64" s="7"/>
      <c r="X64" s="7"/>
      <c r="Y64" s="7"/>
      <c r="Z64" s="7"/>
      <c r="AA64" s="7"/>
      <c r="AB64" s="7"/>
      <c r="AC64" s="7"/>
      <c r="AD64" s="7"/>
      <c r="AE64" s="7"/>
      <c r="AF64" s="7"/>
      <c r="AG64" s="7"/>
      <c r="AH64" s="7"/>
    </row>
    <row r="65" spans="1:34" ht="22.5">
      <c r="A65" s="89"/>
      <c r="B65" s="81" t="str">
        <f ca="1">B41</f>
        <v>Tungsten  (*)</v>
      </c>
      <c r="C65" s="104"/>
      <c r="D65" s="319" t="s">
        <v>117</v>
      </c>
      <c r="E65" s="320"/>
      <c r="F65" s="108"/>
      <c r="G65" s="327" t="s">
        <v>114</v>
      </c>
      <c r="H65" s="328"/>
      <c r="I65" s="328"/>
      <c r="J65" s="329"/>
      <c r="K65" s="59"/>
      <c r="L65" s="102"/>
      <c r="P65" s="7"/>
      <c r="Q65" s="7"/>
      <c r="R65" s="7"/>
      <c r="S65" s="7"/>
      <c r="T65" s="7"/>
      <c r="U65" s="7"/>
      <c r="V65" s="7"/>
      <c r="W65" s="7"/>
      <c r="X65" s="7"/>
      <c r="Y65" s="7"/>
      <c r="Z65" s="7"/>
      <c r="AA65" s="7"/>
      <c r="AB65" s="7"/>
      <c r="AC65" s="7"/>
      <c r="AD65" s="7"/>
      <c r="AE65" s="7"/>
      <c r="AF65" s="7"/>
      <c r="AG65" s="7"/>
      <c r="AH65" s="7"/>
    </row>
    <row r="66" spans="1:34" ht="15.75">
      <c r="A66" s="89"/>
      <c r="B66" s="105"/>
      <c r="C66" s="104"/>
      <c r="D66" s="114"/>
      <c r="E66" s="114"/>
      <c r="F66" s="109"/>
      <c r="G66" s="115"/>
      <c r="H66" s="115"/>
      <c r="I66" s="115"/>
      <c r="J66" s="115"/>
      <c r="K66" s="59"/>
      <c r="L66" s="94"/>
      <c r="M66" s="113"/>
      <c r="P66" s="7"/>
      <c r="Q66" s="7"/>
      <c r="R66" s="7"/>
      <c r="S66" s="7"/>
      <c r="T66" s="7"/>
      <c r="U66" s="7"/>
      <c r="V66" s="7"/>
      <c r="W66" s="7"/>
      <c r="X66" s="7"/>
      <c r="Y66" s="7"/>
      <c r="Z66" s="7"/>
      <c r="AA66" s="7"/>
      <c r="AB66" s="7"/>
      <c r="AC66" s="7"/>
      <c r="AD66" s="7"/>
      <c r="AE66" s="7"/>
      <c r="AF66" s="7"/>
      <c r="AG66" s="7"/>
      <c r="AH66" s="7"/>
    </row>
    <row r="67" spans="1:34" ht="48.6" customHeight="1">
      <c r="A67" s="89"/>
      <c r="B67" s="98" t="str">
        <f ca="1">OFFSET(L!$C$1,MATCH("Declaration"&amp;ADDRESS(ROW(),COLUMN(),4),L!$A:$A,0)-1,SL,,)&amp;Q$37</f>
        <v>8) Has all applicable smelter information received by your company been reported in this declaration?  (*)</v>
      </c>
      <c r="C67" s="104"/>
      <c r="D67" s="324" t="str">
        <f ca="1">D25</f>
        <v>Answer</v>
      </c>
      <c r="E67" s="324"/>
      <c r="F67" s="99"/>
      <c r="G67" s="98" t="str">
        <f ca="1">G25</f>
        <v>Comments</v>
      </c>
      <c r="H67" s="366" t="str">
        <f>IF(Q75="(*)","Click here to enter smelter names","")</f>
        <v/>
      </c>
      <c r="I67" s="366"/>
      <c r="J67" s="366"/>
      <c r="K67" s="59"/>
      <c r="L67" s="94" t="s">
        <v>100</v>
      </c>
      <c r="M67" s="113"/>
      <c r="P67" s="7"/>
      <c r="Q67" s="7"/>
      <c r="R67" s="7"/>
      <c r="S67" s="7"/>
      <c r="T67" s="7"/>
      <c r="U67" s="7"/>
      <c r="V67" s="7"/>
      <c r="W67" s="7"/>
      <c r="X67" s="7"/>
      <c r="Y67" s="7"/>
      <c r="Z67" s="7"/>
      <c r="AA67" s="7"/>
      <c r="AB67" s="7"/>
      <c r="AC67" s="7"/>
      <c r="AD67" s="7"/>
      <c r="AE67" s="7"/>
      <c r="AF67" s="7"/>
      <c r="AG67" s="7"/>
      <c r="AH67" s="7"/>
    </row>
    <row r="68" spans="1:34" ht="22.5">
      <c r="A68" s="89"/>
      <c r="B68" s="81" t="str">
        <f ca="1">B38</f>
        <v>Tantalum  (*)</v>
      </c>
      <c r="C68" s="58"/>
      <c r="D68" s="319" t="s">
        <v>116</v>
      </c>
      <c r="E68" s="320"/>
      <c r="F68" s="116"/>
      <c r="G68" s="327" t="s">
        <v>114</v>
      </c>
      <c r="H68" s="328"/>
      <c r="I68" s="328"/>
      <c r="J68" s="329"/>
      <c r="K68" s="59"/>
      <c r="L68" s="102"/>
      <c r="P68" s="7"/>
      <c r="Q68" s="7"/>
      <c r="R68" s="7"/>
      <c r="S68" s="7"/>
      <c r="T68" s="7"/>
      <c r="U68" s="7"/>
      <c r="V68" s="7"/>
      <c r="W68" s="7"/>
      <c r="X68" s="7"/>
      <c r="Y68" s="7"/>
      <c r="Z68" s="7"/>
      <c r="AA68" s="7"/>
      <c r="AB68" s="7"/>
      <c r="AC68" s="7"/>
      <c r="AD68" s="7"/>
      <c r="AE68" s="7"/>
      <c r="AF68" s="7"/>
      <c r="AG68" s="7"/>
      <c r="AH68" s="7"/>
    </row>
    <row r="69" spans="1:34" ht="22.5">
      <c r="A69" s="89"/>
      <c r="B69" s="81" t="str">
        <f ca="1">B39</f>
        <v>Tin  (*)</v>
      </c>
      <c r="C69" s="58"/>
      <c r="D69" s="319" t="s">
        <v>116</v>
      </c>
      <c r="E69" s="320"/>
      <c r="F69" s="116"/>
      <c r="G69" s="327" t="s">
        <v>114</v>
      </c>
      <c r="H69" s="328"/>
      <c r="I69" s="328"/>
      <c r="J69" s="329"/>
      <c r="K69" s="59"/>
      <c r="L69" s="102"/>
      <c r="P69" s="7"/>
      <c r="Q69" s="7"/>
      <c r="R69" s="7"/>
      <c r="S69" s="7"/>
      <c r="T69" s="7"/>
      <c r="U69" s="7"/>
      <c r="V69" s="7"/>
      <c r="W69" s="7"/>
      <c r="X69" s="7"/>
      <c r="Y69" s="7"/>
      <c r="Z69" s="7"/>
      <c r="AA69" s="7"/>
      <c r="AB69" s="7"/>
      <c r="AC69" s="7"/>
      <c r="AD69" s="7"/>
      <c r="AE69" s="7"/>
      <c r="AF69" s="7"/>
      <c r="AG69" s="7"/>
      <c r="AH69" s="7"/>
    </row>
    <row r="70" spans="1:34" ht="22.5">
      <c r="A70" s="89"/>
      <c r="B70" s="81" t="str">
        <f ca="1">B40</f>
        <v>Gold  (*)</v>
      </c>
      <c r="C70" s="58"/>
      <c r="D70" s="319" t="s">
        <v>116</v>
      </c>
      <c r="E70" s="320"/>
      <c r="F70" s="116"/>
      <c r="G70" s="327" t="s">
        <v>114</v>
      </c>
      <c r="H70" s="328"/>
      <c r="I70" s="328"/>
      <c r="J70" s="329"/>
      <c r="K70" s="59"/>
      <c r="L70" s="102"/>
      <c r="P70" s="7"/>
      <c r="Q70" s="7"/>
      <c r="R70" s="7"/>
      <c r="S70" s="7"/>
      <c r="T70" s="7"/>
      <c r="U70" s="7"/>
      <c r="V70" s="7"/>
      <c r="W70" s="7"/>
      <c r="X70" s="7"/>
      <c r="Y70" s="7"/>
      <c r="Z70" s="7"/>
      <c r="AA70" s="7"/>
      <c r="AB70" s="7"/>
      <c r="AC70" s="7"/>
      <c r="AD70" s="7"/>
      <c r="AE70" s="7"/>
      <c r="AF70" s="7"/>
      <c r="AG70" s="7"/>
      <c r="AH70" s="7"/>
    </row>
    <row r="71" spans="1:34" ht="22.5">
      <c r="A71" s="74"/>
      <c r="B71" s="81" t="str">
        <f ca="1">B41</f>
        <v>Tungsten  (*)</v>
      </c>
      <c r="C71" s="117"/>
      <c r="D71" s="319" t="s">
        <v>116</v>
      </c>
      <c r="E71" s="320"/>
      <c r="F71" s="118"/>
      <c r="G71" s="327" t="s">
        <v>114</v>
      </c>
      <c r="H71" s="328"/>
      <c r="I71" s="328"/>
      <c r="J71" s="329"/>
      <c r="K71" s="77"/>
      <c r="L71" s="119"/>
      <c r="P71" s="7"/>
      <c r="Q71" s="7"/>
      <c r="R71" s="7"/>
      <c r="S71" s="7"/>
      <c r="T71" s="7"/>
      <c r="U71" s="7"/>
      <c r="V71" s="7"/>
      <c r="W71" s="7"/>
      <c r="X71" s="7"/>
      <c r="Y71" s="7"/>
      <c r="Z71" s="7"/>
      <c r="AA71" s="7"/>
      <c r="AB71" s="7"/>
      <c r="AC71" s="7"/>
      <c r="AD71" s="7"/>
      <c r="AE71" s="7"/>
      <c r="AF71" s="7"/>
      <c r="AG71" s="7"/>
      <c r="AH71" s="7"/>
    </row>
    <row r="72" spans="1:34" ht="15">
      <c r="A72" s="89"/>
      <c r="B72" s="91"/>
      <c r="C72" s="91"/>
      <c r="D72" s="91"/>
      <c r="E72" s="91"/>
      <c r="F72" s="91"/>
      <c r="G72" s="120"/>
      <c r="H72" s="120"/>
      <c r="I72" s="120"/>
      <c r="J72" s="120"/>
      <c r="K72" s="59"/>
      <c r="L72" s="40"/>
      <c r="P72" s="7"/>
      <c r="Q72" s="7"/>
      <c r="R72" s="7"/>
      <c r="S72" s="7"/>
      <c r="T72" s="7"/>
      <c r="U72" s="7"/>
      <c r="V72" s="7"/>
      <c r="W72" s="7"/>
      <c r="X72" s="7"/>
      <c r="Y72" s="7"/>
      <c r="Z72" s="7"/>
      <c r="AA72" s="7"/>
      <c r="AB72" s="7"/>
      <c r="AC72" s="7"/>
      <c r="AD72" s="7"/>
      <c r="AE72" s="7"/>
      <c r="AF72" s="7"/>
      <c r="AG72" s="7"/>
      <c r="AH72" s="7"/>
    </row>
    <row r="73" spans="1:34" ht="15">
      <c r="A73" s="89"/>
      <c r="B73" s="379" t="str">
        <f ca="1">OFFSET(L!$C$1,MATCH("Declaration"&amp;ADDRESS(ROW(),COLUMN(),4),L!$A:$A,0)-1,SL,,)</f>
        <v>Answer the Following Questions at a Company Level</v>
      </c>
      <c r="C73" s="379"/>
      <c r="D73" s="379"/>
      <c r="E73" s="379"/>
      <c r="F73" s="379"/>
      <c r="G73" s="379"/>
      <c r="H73" s="379"/>
      <c r="I73" s="379"/>
      <c r="J73" s="379"/>
      <c r="K73" s="59"/>
      <c r="L73" s="40"/>
      <c r="P73" s="7"/>
      <c r="Q73" s="7"/>
      <c r="R73" s="7"/>
      <c r="S73" s="7"/>
      <c r="T73" s="7"/>
      <c r="U73" s="7"/>
      <c r="V73" s="7"/>
      <c r="W73" s="7"/>
      <c r="X73" s="7"/>
      <c r="Y73" s="7"/>
      <c r="Z73" s="7"/>
      <c r="AA73" s="7"/>
      <c r="AB73" s="7"/>
      <c r="AC73" s="7"/>
      <c r="AD73" s="7"/>
      <c r="AE73" s="7"/>
      <c r="AF73" s="7"/>
      <c r="AG73" s="7"/>
      <c r="AH73" s="7"/>
    </row>
    <row r="74" spans="1:34" ht="15.75">
      <c r="A74" s="121"/>
      <c r="B74" s="122" t="str">
        <f ca="1">OFFSET(L!$C$1,MATCH("Declaration"&amp;ADDRESS(ROW(),COLUMN(),4),L!$A:$A,0)-1,SL,,)</f>
        <v>Question</v>
      </c>
      <c r="C74" s="123"/>
      <c r="D74" s="330" t="str">
        <f ca="1">D25</f>
        <v>Answer</v>
      </c>
      <c r="E74" s="330"/>
      <c r="F74" s="124"/>
      <c r="G74" s="330" t="str">
        <f ca="1">G25</f>
        <v>Comments</v>
      </c>
      <c r="H74" s="330"/>
      <c r="I74" s="330"/>
      <c r="J74" s="125"/>
      <c r="K74" s="126"/>
      <c r="L74" s="127"/>
      <c r="M74" s="113"/>
      <c r="P74" s="7"/>
      <c r="Q74" s="7"/>
      <c r="R74" s="7"/>
      <c r="S74" s="7"/>
      <c r="T74" s="7"/>
      <c r="U74" s="7"/>
      <c r="V74" s="7"/>
      <c r="W74" s="7"/>
      <c r="X74" s="7"/>
      <c r="Y74" s="7"/>
      <c r="Z74" s="7"/>
      <c r="AA74" s="7"/>
      <c r="AB74" s="7"/>
      <c r="AC74" s="7"/>
      <c r="AD74" s="7"/>
      <c r="AE74" s="7"/>
      <c r="AF74" s="7"/>
      <c r="AG74" s="7"/>
      <c r="AH74" s="7"/>
    </row>
    <row r="75" spans="1:34" ht="30">
      <c r="A75" s="89"/>
      <c r="B75" s="128" t="str">
        <f ca="1">OFFSET(L!$C$1,MATCH("Declaration"&amp;ADDRESS(ROW(),COLUMN(),4),L!$A:$A,0)-1,SL,,)&amp;$Q$37</f>
        <v>A. Have you established a responsible minerals sourcing policy? (*)</v>
      </c>
      <c r="C75" s="129"/>
      <c r="D75" s="319" t="s">
        <v>116</v>
      </c>
      <c r="E75" s="320"/>
      <c r="F75" s="129"/>
      <c r="G75" s="327" t="s">
        <v>18045</v>
      </c>
      <c r="H75" s="328"/>
      <c r="I75" s="328"/>
      <c r="J75" s="329"/>
      <c r="K75" s="59"/>
      <c r="L75" s="127" t="s">
        <v>97</v>
      </c>
      <c r="M75" s="113"/>
      <c r="P75" s="7"/>
      <c r="Q75" s="7"/>
      <c r="R75" s="7"/>
      <c r="S75" s="7"/>
      <c r="T75" s="7"/>
      <c r="U75" s="7"/>
      <c r="V75" s="7"/>
      <c r="W75" s="7"/>
      <c r="X75" s="7"/>
      <c r="Y75" s="7"/>
      <c r="Z75" s="7"/>
      <c r="AA75" s="7"/>
      <c r="AB75" s="7"/>
      <c r="AC75" s="7"/>
      <c r="AD75" s="7"/>
      <c r="AE75" s="7"/>
      <c r="AF75" s="7"/>
      <c r="AG75" s="7"/>
      <c r="AH75" s="7"/>
    </row>
    <row r="76" spans="1:34" ht="15.75">
      <c r="A76" s="89"/>
      <c r="B76" s="130"/>
      <c r="C76" s="101"/>
      <c r="D76" s="131"/>
      <c r="E76" s="131"/>
      <c r="F76" s="101"/>
      <c r="G76" s="374"/>
      <c r="H76" s="374"/>
      <c r="I76" s="374"/>
      <c r="J76" s="374"/>
      <c r="K76" s="59"/>
      <c r="L76" s="127"/>
      <c r="M76" s="113"/>
      <c r="P76" s="7"/>
      <c r="Q76" s="7"/>
      <c r="R76" s="7"/>
      <c r="S76" s="7"/>
      <c r="T76" s="7"/>
      <c r="U76" s="7"/>
      <c r="V76" s="7"/>
      <c r="W76" s="7"/>
      <c r="X76" s="7"/>
      <c r="Y76" s="7"/>
      <c r="Z76" s="7"/>
      <c r="AA76" s="7"/>
      <c r="AB76" s="7"/>
      <c r="AC76" s="7"/>
      <c r="AD76" s="7"/>
      <c r="AE76" s="7"/>
      <c r="AF76" s="7"/>
      <c r="AG76" s="7"/>
      <c r="AH76" s="7"/>
    </row>
    <row r="77" spans="1:34" ht="49.35" customHeight="1">
      <c r="A77" s="89"/>
      <c r="B77" s="128" t="str">
        <f ca="1">OFFSET(L!$C$1,MATCH("Declaration"&amp;ADDRESS(ROW(),COLUMN(),4),L!$A:$A,0)-1,SL,,)&amp;$Q$37</f>
        <v>B. Is your responsible minerals sourcing policy publicly available on your website? (Note – If yes, the user shall specify the URL in the comment field.) (*)</v>
      </c>
      <c r="C77" s="129"/>
      <c r="D77" s="319" t="s">
        <v>116</v>
      </c>
      <c r="E77" s="320"/>
      <c r="F77" s="129"/>
      <c r="G77" s="331" t="s">
        <v>18044</v>
      </c>
      <c r="H77" s="332"/>
      <c r="I77" s="332"/>
      <c r="J77" s="333"/>
      <c r="K77" s="59"/>
      <c r="L77" s="127" t="s">
        <v>97</v>
      </c>
      <c r="M77" s="113"/>
      <c r="P77" s="7"/>
      <c r="Q77" s="7"/>
      <c r="R77" s="7"/>
      <c r="S77" s="7"/>
      <c r="T77" s="7"/>
      <c r="U77" s="7"/>
      <c r="V77" s="7"/>
      <c r="W77" s="7"/>
      <c r="X77" s="7"/>
      <c r="Y77" s="7"/>
      <c r="Z77" s="7"/>
      <c r="AA77" s="7"/>
      <c r="AB77" s="7"/>
      <c r="AC77" s="7"/>
      <c r="AD77" s="7"/>
      <c r="AE77" s="7"/>
      <c r="AF77" s="7"/>
      <c r="AG77" s="7"/>
      <c r="AH77" s="7"/>
    </row>
    <row r="78" spans="1:34" ht="15.75">
      <c r="A78" s="89"/>
      <c r="B78" s="130"/>
      <c r="C78" s="101"/>
      <c r="D78" s="131"/>
      <c r="E78" s="131"/>
      <c r="F78" s="101"/>
      <c r="G78" s="132"/>
      <c r="H78" s="132"/>
      <c r="I78" s="132"/>
      <c r="J78" s="132"/>
      <c r="K78" s="59"/>
      <c r="L78" s="127"/>
      <c r="M78" s="113"/>
      <c r="P78" s="7"/>
      <c r="Q78" s="7"/>
      <c r="R78" s="7"/>
      <c r="S78" s="7"/>
      <c r="T78" s="7"/>
      <c r="U78" s="7"/>
      <c r="V78" s="7"/>
      <c r="W78" s="7"/>
      <c r="X78" s="7"/>
      <c r="Y78" s="7"/>
      <c r="Z78" s="7"/>
      <c r="AA78" s="7"/>
      <c r="AB78" s="7"/>
      <c r="AC78" s="7"/>
      <c r="AD78" s="7"/>
      <c r="AE78" s="7"/>
      <c r="AF78" s="7"/>
      <c r="AG78" s="7"/>
      <c r="AH78" s="7"/>
    </row>
    <row r="79" spans="1:34" ht="52.5" customHeight="1">
      <c r="A79" s="89"/>
      <c r="B79" s="128" t="str">
        <f ca="1">OFFSET(L!$C$1,MATCH("Declaration"&amp;ADDRESS(ROW(),COLUMN(),4),L!$A:$A,0)-1,SL,,)&amp;$Q$37</f>
        <v>C. Do you require your direct suppliers to source the 3TG from smelters whose due diligence practices have been validated by an independent third party audit program? (*)</v>
      </c>
      <c r="C79" s="129"/>
      <c r="D79" s="319" t="s">
        <v>117</v>
      </c>
      <c r="E79" s="320"/>
      <c r="F79" s="129"/>
      <c r="G79" s="327" t="s">
        <v>114</v>
      </c>
      <c r="H79" s="328"/>
      <c r="I79" s="328"/>
      <c r="J79" s="329"/>
      <c r="K79" s="59"/>
      <c r="L79" s="127" t="s">
        <v>97</v>
      </c>
      <c r="M79" s="113"/>
      <c r="P79" s="7"/>
      <c r="Q79" s="7"/>
      <c r="R79" s="7"/>
      <c r="S79" s="7"/>
      <c r="T79" s="7"/>
      <c r="U79" s="7"/>
      <c r="V79" s="7"/>
      <c r="W79" s="7"/>
      <c r="X79" s="7"/>
      <c r="Y79" s="7"/>
      <c r="Z79" s="7"/>
      <c r="AA79" s="7"/>
      <c r="AB79" s="7"/>
      <c r="AC79" s="7"/>
      <c r="AD79" s="7"/>
      <c r="AE79" s="7"/>
      <c r="AF79" s="7"/>
      <c r="AG79" s="7"/>
      <c r="AH79" s="7"/>
    </row>
    <row r="80" spans="1:34" ht="15.75">
      <c r="A80" s="89"/>
      <c r="B80" s="130"/>
      <c r="C80" s="101"/>
      <c r="D80" s="131"/>
      <c r="E80" s="131"/>
      <c r="F80" s="101"/>
      <c r="G80" s="132"/>
      <c r="H80" s="132"/>
      <c r="I80" s="132"/>
      <c r="J80" s="132"/>
      <c r="K80" s="59"/>
      <c r="L80" s="127"/>
      <c r="M80" s="113"/>
      <c r="P80" s="7"/>
      <c r="Q80" s="7"/>
      <c r="R80" s="7"/>
      <c r="S80" s="7"/>
      <c r="T80" s="7"/>
      <c r="U80" s="7"/>
      <c r="V80" s="7"/>
      <c r="W80" s="7"/>
      <c r="X80" s="7"/>
      <c r="Y80" s="7"/>
      <c r="Z80" s="7"/>
      <c r="AA80" s="7"/>
      <c r="AB80" s="7"/>
      <c r="AC80" s="7"/>
      <c r="AD80" s="7"/>
      <c r="AE80" s="7"/>
      <c r="AF80" s="7"/>
      <c r="AG80" s="7"/>
      <c r="AH80" s="7"/>
    </row>
    <row r="81" spans="1:34" ht="48" customHeight="1">
      <c r="A81" s="89"/>
      <c r="B81" s="128" t="str">
        <f ca="1">OFFSET(L!$C$1,MATCH("Declaration"&amp;ADDRESS(ROW(),COLUMN(),4),L!$A:$A,0)-1,SL,,)&amp;$Q$37</f>
        <v>D. Have you implemented due diligence measures for responsible sourcing? (*)</v>
      </c>
      <c r="C81" s="129"/>
      <c r="D81" s="319" t="s">
        <v>116</v>
      </c>
      <c r="E81" s="320"/>
      <c r="F81" s="129"/>
      <c r="G81" s="327" t="s">
        <v>114</v>
      </c>
      <c r="H81" s="328"/>
      <c r="I81" s="328"/>
      <c r="J81" s="329"/>
      <c r="K81" s="59"/>
      <c r="L81" s="127" t="s">
        <v>100</v>
      </c>
      <c r="M81" s="113"/>
      <c r="P81" s="7"/>
      <c r="Q81" s="7"/>
      <c r="R81" s="7"/>
      <c r="S81" s="7"/>
      <c r="T81" s="7"/>
      <c r="U81" s="7"/>
      <c r="V81" s="7"/>
      <c r="W81" s="7"/>
      <c r="X81" s="7"/>
      <c r="Y81" s="7"/>
      <c r="Z81" s="7"/>
      <c r="AA81" s="7"/>
      <c r="AB81" s="7"/>
      <c r="AC81" s="7"/>
      <c r="AD81" s="7"/>
      <c r="AE81" s="7"/>
      <c r="AF81" s="7"/>
      <c r="AG81" s="7"/>
      <c r="AH81" s="7"/>
    </row>
    <row r="82" spans="1:34" ht="15.75">
      <c r="A82" s="89"/>
      <c r="B82" s="133"/>
      <c r="C82" s="101"/>
      <c r="D82" s="134"/>
      <c r="E82" s="134"/>
      <c r="F82" s="101"/>
      <c r="G82" s="132"/>
      <c r="H82" s="132"/>
      <c r="I82" s="132"/>
      <c r="J82" s="132"/>
      <c r="K82" s="59"/>
      <c r="L82" s="127"/>
      <c r="M82" s="113"/>
      <c r="P82" s="7"/>
      <c r="Q82" s="7"/>
      <c r="R82" s="7"/>
      <c r="S82" s="7"/>
      <c r="T82" s="7"/>
      <c r="U82" s="7"/>
      <c r="V82" s="7"/>
      <c r="W82" s="7"/>
      <c r="X82" s="7"/>
      <c r="Y82" s="7"/>
      <c r="Z82" s="7"/>
      <c r="AA82" s="7"/>
      <c r="AB82" s="7"/>
      <c r="AC82" s="7"/>
      <c r="AD82" s="7"/>
      <c r="AE82" s="7"/>
      <c r="AF82" s="7"/>
      <c r="AG82" s="7"/>
      <c r="AH82" s="7"/>
    </row>
    <row r="83" spans="1:34" ht="35.25" customHeight="1">
      <c r="A83" s="89"/>
      <c r="B83" s="128" t="str">
        <f ca="1">OFFSET(L!$C$1,MATCH("Declaration"&amp;ADDRESS(ROW(),COLUMN(),4),L!$A:$A,0)-1,SL,,)&amp;$Q$37</f>
        <v>E. Does your company conduct Conflict Minerals survey(s) of your relevant supplier(s)? (*)</v>
      </c>
      <c r="C83" s="129"/>
      <c r="D83" s="319" t="s">
        <v>119</v>
      </c>
      <c r="E83" s="320"/>
      <c r="F83" s="129"/>
      <c r="G83" s="327" t="s">
        <v>114</v>
      </c>
      <c r="H83" s="328"/>
      <c r="I83" s="328"/>
      <c r="J83" s="329"/>
      <c r="K83" s="59"/>
      <c r="L83" s="127" t="s">
        <v>97</v>
      </c>
      <c r="M83" s="113"/>
      <c r="P83" s="7"/>
      <c r="Q83" s="7"/>
      <c r="R83" s="7"/>
      <c r="S83" s="7"/>
      <c r="T83" s="7"/>
      <c r="U83" s="7"/>
      <c r="V83" s="7"/>
      <c r="W83" s="7"/>
      <c r="X83" s="7"/>
      <c r="Y83" s="7"/>
      <c r="Z83" s="7"/>
      <c r="AA83" s="7"/>
      <c r="AB83" s="7"/>
      <c r="AC83" s="7"/>
      <c r="AD83" s="7"/>
      <c r="AE83" s="7"/>
      <c r="AF83" s="7"/>
      <c r="AG83" s="7"/>
      <c r="AH83" s="7"/>
    </row>
    <row r="84" spans="1:34" ht="15">
      <c r="A84" s="89"/>
      <c r="K84" s="59"/>
      <c r="L84" s="127"/>
      <c r="M84" s="113"/>
      <c r="P84" s="7"/>
      <c r="Q84" s="7"/>
      <c r="R84" s="7"/>
      <c r="S84" s="7"/>
      <c r="T84" s="7"/>
      <c r="U84" s="7"/>
      <c r="V84" s="7"/>
      <c r="W84" s="7"/>
      <c r="X84" s="7"/>
      <c r="Y84" s="7"/>
      <c r="Z84" s="7"/>
      <c r="AA84" s="7"/>
      <c r="AB84" s="7"/>
      <c r="AC84" s="7"/>
      <c r="AD84" s="7"/>
      <c r="AE84" s="7"/>
      <c r="AF84" s="7"/>
      <c r="AG84" s="7"/>
      <c r="AH84" s="7"/>
    </row>
    <row r="85" spans="1:34" ht="49.5" customHeight="1">
      <c r="A85" s="89"/>
      <c r="B85" s="128" t="str">
        <f ca="1">OFFSET(L!$C$1,MATCH("Declaration"&amp;ADDRESS(ROW(),COLUMN(),4),L!$A:$A,0)-1,SL,,)&amp;$Q$37</f>
        <v>F. Do you review due diligence information received from your suppliers against your company’s expectations? (*)</v>
      </c>
      <c r="C85" s="129"/>
      <c r="D85" s="372" t="s">
        <v>116</v>
      </c>
      <c r="E85" s="373"/>
      <c r="F85" s="129"/>
      <c r="G85" s="327" t="s">
        <v>114</v>
      </c>
      <c r="H85" s="328"/>
      <c r="I85" s="328"/>
      <c r="J85" s="329"/>
      <c r="K85" s="59"/>
      <c r="L85" s="127" t="s">
        <v>97</v>
      </c>
      <c r="M85" s="113"/>
      <c r="P85" s="7"/>
      <c r="Q85" s="7"/>
      <c r="R85" s="7"/>
      <c r="S85" s="7"/>
      <c r="T85" s="7"/>
      <c r="U85" s="7"/>
      <c r="V85" s="7"/>
      <c r="W85" s="7"/>
      <c r="X85" s="7"/>
      <c r="Y85" s="7"/>
      <c r="Z85" s="7"/>
      <c r="AA85" s="7"/>
      <c r="AB85" s="7"/>
      <c r="AC85" s="7"/>
      <c r="AD85" s="7"/>
      <c r="AE85" s="7"/>
      <c r="AF85" s="7"/>
      <c r="AG85" s="7"/>
      <c r="AH85" s="7"/>
    </row>
    <row r="86" spans="1:34" ht="15.75">
      <c r="A86" s="89"/>
      <c r="B86" s="135"/>
      <c r="C86" s="101"/>
      <c r="D86" s="131"/>
      <c r="E86" s="131"/>
      <c r="F86" s="136"/>
      <c r="G86" s="374"/>
      <c r="H86" s="374"/>
      <c r="I86" s="374"/>
      <c r="J86" s="374"/>
      <c r="K86" s="59"/>
      <c r="L86" s="127"/>
      <c r="M86" s="113"/>
      <c r="P86" s="7"/>
      <c r="Q86" s="7"/>
      <c r="R86" s="7"/>
      <c r="S86" s="7"/>
      <c r="T86" s="7"/>
      <c r="U86" s="7"/>
      <c r="V86" s="7"/>
      <c r="W86" s="7"/>
      <c r="X86" s="7"/>
      <c r="Y86" s="7"/>
      <c r="Z86" s="7"/>
      <c r="AA86" s="7"/>
      <c r="AB86" s="7"/>
      <c r="AC86" s="7"/>
      <c r="AD86" s="7"/>
      <c r="AE86" s="7"/>
      <c r="AF86" s="7"/>
      <c r="AG86" s="7"/>
      <c r="AH86" s="7"/>
    </row>
    <row r="87" spans="1:34" ht="37.35" customHeight="1">
      <c r="A87" s="89"/>
      <c r="B87" s="128" t="str">
        <f ca="1">OFFSET(L!$C$1,MATCH("Declaration"&amp;ADDRESS(ROW(),COLUMN(),4),L!$A:$A,0)-1,SL,,)&amp;$Q$37</f>
        <v>G. Does your review process include corrective action management? (*)</v>
      </c>
      <c r="C87" s="129"/>
      <c r="D87" s="319" t="s">
        <v>116</v>
      </c>
      <c r="E87" s="320"/>
      <c r="F87" s="129"/>
      <c r="G87" s="327" t="s">
        <v>114</v>
      </c>
      <c r="H87" s="328"/>
      <c r="I87" s="328"/>
      <c r="J87" s="329"/>
      <c r="K87" s="59"/>
      <c r="L87" s="127" t="s">
        <v>100</v>
      </c>
      <c r="M87" s="113"/>
      <c r="P87" s="7"/>
      <c r="Q87" s="7"/>
      <c r="R87" s="7"/>
      <c r="S87" s="7"/>
      <c r="T87" s="7"/>
      <c r="U87" s="7"/>
      <c r="V87" s="7"/>
      <c r="W87" s="7"/>
      <c r="X87" s="7"/>
      <c r="Y87" s="7"/>
      <c r="Z87" s="7"/>
      <c r="AA87" s="7"/>
      <c r="AB87" s="7"/>
      <c r="AC87" s="7"/>
      <c r="AD87" s="7"/>
      <c r="AE87" s="7"/>
      <c r="AF87" s="7"/>
      <c r="AG87" s="7"/>
      <c r="AH87" s="7"/>
    </row>
    <row r="88" spans="1:34" ht="15.75">
      <c r="A88" s="89"/>
      <c r="B88" s="130"/>
      <c r="C88" s="101"/>
      <c r="D88" s="131"/>
      <c r="E88" s="131"/>
      <c r="F88" s="136"/>
      <c r="G88" s="375"/>
      <c r="H88" s="375"/>
      <c r="I88" s="375"/>
      <c r="J88" s="375"/>
      <c r="K88" s="59"/>
      <c r="L88" s="127"/>
      <c r="M88" s="113"/>
      <c r="P88" s="7"/>
      <c r="Q88" s="7"/>
      <c r="R88" s="7"/>
      <c r="S88" s="7"/>
      <c r="T88" s="7"/>
      <c r="U88" s="7"/>
      <c r="V88" s="7"/>
      <c r="W88" s="7"/>
      <c r="X88" s="7"/>
      <c r="Y88" s="7"/>
      <c r="Z88" s="7"/>
      <c r="AA88" s="7"/>
      <c r="AB88" s="7"/>
      <c r="AC88" s="7"/>
      <c r="AD88" s="7"/>
      <c r="AE88" s="7"/>
      <c r="AF88" s="7"/>
      <c r="AG88" s="7"/>
      <c r="AH88" s="7"/>
    </row>
    <row r="89" spans="1:34" ht="30">
      <c r="A89" s="89"/>
      <c r="B89" s="128" t="str">
        <f ca="1">OFFSET(L!$C$1,MATCH("Declaration"&amp;ADDRESS(ROW(),COLUMN(),4),L!$A:$A,0)-1,SL,,)&amp;$Q$37</f>
        <v>H. Is your company required to file an annual conflict minerals disclosure? (*)</v>
      </c>
      <c r="C89" s="129"/>
      <c r="D89" s="319" t="s">
        <v>120</v>
      </c>
      <c r="E89" s="320"/>
      <c r="F89" s="129"/>
      <c r="G89" s="327" t="s">
        <v>114</v>
      </c>
      <c r="H89" s="328"/>
      <c r="I89" s="328"/>
      <c r="J89" s="329"/>
      <c r="K89" s="59"/>
      <c r="L89" s="127" t="s">
        <v>97</v>
      </c>
      <c r="M89" s="113"/>
      <c r="P89" s="7"/>
      <c r="Q89" s="7"/>
      <c r="R89" s="7"/>
      <c r="S89" s="7"/>
      <c r="T89" s="7"/>
      <c r="U89" s="7"/>
      <c r="V89" s="7"/>
      <c r="W89" s="7"/>
      <c r="X89" s="7"/>
      <c r="Y89" s="7"/>
      <c r="Z89" s="7"/>
      <c r="AA89" s="7"/>
      <c r="AB89" s="7"/>
      <c r="AC89" s="7"/>
      <c r="AD89" s="7"/>
      <c r="AE89" s="7"/>
      <c r="AF89" s="7"/>
      <c r="AG89" s="7"/>
      <c r="AH89" s="7"/>
    </row>
    <row r="90" spans="1:34" ht="15">
      <c r="A90" s="89"/>
      <c r="B90" s="371" t="str">
        <f>IF(OR($D$8="",$I$3=""),"","Click here to check required fields completion")</f>
        <v/>
      </c>
      <c r="C90" s="371"/>
      <c r="D90" s="371"/>
      <c r="E90" s="371"/>
      <c r="F90" s="371"/>
      <c r="G90" s="371"/>
      <c r="H90" s="371"/>
      <c r="I90" s="371"/>
      <c r="J90" s="371"/>
      <c r="K90" s="59"/>
      <c r="L90" s="40"/>
      <c r="P90" s="7"/>
      <c r="Q90" s="7"/>
      <c r="R90" s="7"/>
      <c r="S90" s="7"/>
      <c r="T90" s="7"/>
      <c r="U90" s="7"/>
      <c r="V90" s="7"/>
      <c r="W90" s="7"/>
      <c r="X90" s="7"/>
      <c r="Y90" s="7"/>
      <c r="Z90" s="7"/>
      <c r="AA90" s="7"/>
      <c r="AB90" s="7"/>
      <c r="AC90" s="7"/>
      <c r="AD90" s="7"/>
      <c r="AE90" s="7"/>
      <c r="AF90" s="7"/>
      <c r="AG90" s="7"/>
      <c r="AH90" s="7"/>
    </row>
    <row r="91" spans="1:34" ht="15">
      <c r="A91" s="369" t="str">
        <f ca="1">OFFSET(L!$C$1,MATCH("General"&amp;"Cpy",L!$A:$A,0)-1,SL,,)</f>
        <v>© 2022 Responsible Minerals Initiative. All rights reserved.</v>
      </c>
      <c r="B91" s="370"/>
      <c r="C91" s="370"/>
      <c r="D91" s="370"/>
      <c r="E91" s="370"/>
      <c r="F91" s="370"/>
      <c r="G91" s="370"/>
      <c r="H91" s="370"/>
      <c r="I91" s="370"/>
      <c r="J91" s="370"/>
      <c r="K91" s="137"/>
      <c r="L91" s="40"/>
      <c r="P91" s="7"/>
      <c r="Q91" s="7"/>
      <c r="R91" s="7"/>
      <c r="S91" s="7"/>
      <c r="T91" s="7"/>
      <c r="U91" s="7"/>
      <c r="V91" s="7"/>
      <c r="W91" s="7"/>
      <c r="X91" s="7"/>
      <c r="Y91" s="7"/>
      <c r="Z91" s="7"/>
      <c r="AA91" s="7"/>
      <c r="AB91" s="7"/>
      <c r="AC91" s="7"/>
      <c r="AD91" s="7"/>
      <c r="AE91" s="7"/>
      <c r="AF91" s="7"/>
      <c r="AG91" s="7"/>
      <c r="AH91" s="7"/>
    </row>
    <row r="92" spans="1:34" ht="15">
      <c r="L92" s="48"/>
      <c r="P92" s="7"/>
      <c r="Q92" s="7"/>
      <c r="R92" s="7"/>
      <c r="S92" s="7"/>
      <c r="T92" s="7"/>
      <c r="U92" s="7"/>
      <c r="V92" s="7"/>
      <c r="W92" s="7"/>
      <c r="X92" s="7"/>
      <c r="Y92" s="7"/>
      <c r="Z92" s="7"/>
      <c r="AA92" s="7"/>
      <c r="AB92" s="7"/>
      <c r="AC92" s="7"/>
      <c r="AD92" s="7"/>
      <c r="AE92" s="7"/>
      <c r="AF92" s="7"/>
      <c r="AG92" s="7"/>
      <c r="AH92" s="7"/>
    </row>
    <row r="96" spans="1:34" ht="13.5" hidden="1" customHeight="1">
      <c r="B96" s="128" t="s">
        <v>116</v>
      </c>
    </row>
    <row r="97" spans="2:2" ht="13.5" hidden="1" customHeight="1">
      <c r="B97" s="128" t="s">
        <v>117</v>
      </c>
    </row>
    <row r="98" spans="2:2" ht="15.75" hidden="1">
      <c r="B98" s="128" t="s">
        <v>121</v>
      </c>
    </row>
    <row r="99" spans="2:2" ht="15.75" hidden="1">
      <c r="B99" s="138">
        <v>1</v>
      </c>
    </row>
    <row r="100" spans="2:2" ht="15.75" hidden="1">
      <c r="B100" s="139" t="s">
        <v>122</v>
      </c>
    </row>
    <row r="101" spans="2:2" ht="15.75" hidden="1">
      <c r="B101" s="139" t="s">
        <v>123</v>
      </c>
    </row>
    <row r="102" spans="2:2" ht="15.75" hidden="1">
      <c r="B102" s="139" t="s">
        <v>118</v>
      </c>
    </row>
    <row r="103" spans="2:2" ht="15.75" hidden="1">
      <c r="B103" s="139" t="s">
        <v>124</v>
      </c>
    </row>
    <row r="104" spans="2:2" ht="15.75" hidden="1">
      <c r="B104" s="139" t="s">
        <v>125</v>
      </c>
    </row>
    <row r="105" spans="2:2" ht="15.75" hidden="1">
      <c r="B105" s="139" t="s">
        <v>119</v>
      </c>
    </row>
    <row r="106" spans="2:2" ht="15.75" hidden="1">
      <c r="B106" s="139" t="s">
        <v>126</v>
      </c>
    </row>
    <row r="107" spans="2:2" ht="15.75" hidden="1">
      <c r="B107" s="139" t="s">
        <v>117</v>
      </c>
    </row>
    <row r="108" spans="2:2" ht="15.75" hidden="1">
      <c r="B108" s="139" t="s">
        <v>120</v>
      </c>
    </row>
    <row r="109" spans="2:2" ht="15.75" hidden="1">
      <c r="B109" s="139" t="s">
        <v>127</v>
      </c>
    </row>
    <row r="110" spans="2:2" ht="15.75" hidden="1">
      <c r="B110" s="139" t="s">
        <v>128</v>
      </c>
    </row>
    <row r="111" spans="2:2" ht="15.75" hidden="1">
      <c r="B111" s="139" t="s">
        <v>117</v>
      </c>
    </row>
  </sheetData>
  <sheetProtection algorithmName="SHA-512" hashValue="bgBxb0nC6InGm+sM9kk3bNYPjO6hRnPCou5XCk4iH4cEFquF/SWXpXG+Ou1rqZ8Dyj2yeNHIcZQWsOWHnZb7SA==" saltValue="nSzrYZHme475IwVaLItmtw==" spinCount="100000" sheet="1" formatRows="0" insertHyperlinks="0"/>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17:J17">
    <cfRule type="expression" dxfId="72" priority="1" stopIfTrue="1">
      <formula>IF($D$17="",TRUE)</formula>
    </cfRule>
  </conditionalFormatting>
  <conditionalFormatting sqref="D46">
    <cfRule type="expression" dxfId="71" priority="2" stopIfTrue="1">
      <formula>$P$34=""</formula>
    </cfRule>
    <cfRule type="expression" dxfId="70" priority="11" stopIfTrue="1">
      <formula>IF(AND(OR($D$28="Yes",$D$28=""),D46=""),1,0)</formula>
    </cfRule>
  </conditionalFormatting>
  <conditionalFormatting sqref="D47">
    <cfRule type="expression" dxfId="69" priority="3" stopIfTrue="1">
      <formula>$P$35=""</formula>
    </cfRule>
  </conditionalFormatting>
  <conditionalFormatting sqref="D46:E46">
    <cfRule type="expression" dxfId="68" priority="4" stopIfTrue="1">
      <formula>$P$28=""</formula>
    </cfRule>
  </conditionalFormatting>
  <conditionalFormatting sqref="D45">
    <cfRule type="expression" dxfId="67" priority="5" stopIfTrue="1">
      <formula>$P$33=""</formula>
    </cfRule>
  </conditionalFormatting>
  <conditionalFormatting sqref="D44">
    <cfRule type="expression" dxfId="66" priority="6" stopIfTrue="1">
      <formula>$P$32=""</formula>
    </cfRule>
  </conditionalFormatting>
  <conditionalFormatting sqref="D44:E44">
    <cfRule type="expression" dxfId="65" priority="7" stopIfTrue="1">
      <formula>$P$26=""</formula>
    </cfRule>
    <cfRule type="expression" dxfId="64" priority="8" stopIfTrue="1">
      <formula>IF(AND(OR($D$26="Yes",$D$26=""),D44=""),1,0)</formula>
    </cfRule>
  </conditionalFormatting>
  <conditionalFormatting sqref="D45:E45">
    <cfRule type="expression" dxfId="63" priority="9" stopIfTrue="1">
      <formula>$P$39=""</formula>
    </cfRule>
    <cfRule type="expression" dxfId="62" priority="10" stopIfTrue="1">
      <formula>IF(AND(OR($D$27="Yes",$D$27=""),D45=""),1,0)</formula>
    </cfRule>
  </conditionalFormatting>
  <conditionalFormatting sqref="D47:E47">
    <cfRule type="expression" dxfId="61" priority="12" stopIfTrue="1">
      <formula>$P$29=""</formula>
    </cfRule>
    <cfRule type="expression" dxfId="60" priority="13" stopIfTrue="1">
      <formula>IF(AND(OR($D$29="Yes",$D$29=""),D47=""),1,0)</formula>
    </cfRule>
  </conditionalFormatting>
  <conditionalFormatting sqref="D20:J20">
    <cfRule type="expression" dxfId="59" priority="14" stopIfTrue="1">
      <formula>IF($D$20="",TRUE)</formula>
    </cfRule>
  </conditionalFormatting>
  <conditionalFormatting sqref="D35:E35">
    <cfRule type="expression" dxfId="58" priority="15" stopIfTrue="1">
      <formula>IF(AND(OR($D$29="Yes",$D$29=""),$D$35=""),1,0)</formula>
    </cfRule>
  </conditionalFormatting>
  <conditionalFormatting sqref="D40 D52 D58 D64 D70">
    <cfRule type="expression" dxfId="57" priority="16" stopIfTrue="1">
      <formula>$P$34=""</formula>
    </cfRule>
    <cfRule type="expression" dxfId="56" priority="44" stopIfTrue="1">
      <formula>IF(AND(OR($D$28="Yes",$D$28=""),D40=""),1,0)</formula>
    </cfRule>
  </conditionalFormatting>
  <conditionalFormatting sqref="D33:E33">
    <cfRule type="expression" dxfId="55" priority="17" stopIfTrue="1">
      <formula>IF(AND(OR($D$27="Yes",$D$27=""),$D$33=""),1,0)</formula>
    </cfRule>
    <cfRule type="expression" dxfId="54" priority="18" stopIfTrue="1">
      <formula>$P$27=""</formula>
    </cfRule>
  </conditionalFormatting>
  <conditionalFormatting sqref="G85:J85">
    <cfRule type="expression" dxfId="53" priority="19" stopIfTrue="1">
      <formula>IF(AND($D$85="Yes, using other format (describe)",$G$85=""),TRUE)</formula>
    </cfRule>
  </conditionalFormatting>
  <conditionalFormatting sqref="D41 D53 D59 D65 D71">
    <cfRule type="expression" dxfId="52" priority="20" stopIfTrue="1">
      <formula>$P$35=""</formula>
    </cfRule>
  </conditionalFormatting>
  <conditionalFormatting sqref="D34:E34 D40:E40 D52:E52 D58:E58 D64:E64 D70:E70">
    <cfRule type="expression" dxfId="51" priority="21" stopIfTrue="1">
      <formula>$P$28=""</formula>
    </cfRule>
  </conditionalFormatting>
  <conditionalFormatting sqref="D39:E39 D51 D57 D63 D69">
    <cfRule type="expression" dxfId="50" priority="22" stopIfTrue="1">
      <formula>$P$33=""</formula>
    </cfRule>
  </conditionalFormatting>
  <conditionalFormatting sqref="D38 D50 D56 D62 D68">
    <cfRule type="expression" dxfId="49" priority="23" stopIfTrue="1">
      <formula>$P$32=""</formula>
    </cfRule>
  </conditionalFormatting>
  <conditionalFormatting sqref="D38:E38 D50:E50 D56:E56 D62:E62 D68:E68">
    <cfRule type="expression" dxfId="48" priority="24" stopIfTrue="1">
      <formula>$P$26=""</formula>
    </cfRule>
    <cfRule type="expression" dxfId="47" priority="25" stopIfTrue="1">
      <formula>IF(AND(OR($D$26="Yes",$D$26=""),D38=""),1,0)</formula>
    </cfRule>
  </conditionalFormatting>
  <conditionalFormatting sqref="D32:E32">
    <cfRule type="expression" dxfId="46" priority="26" stopIfTrue="1">
      <formula>IF(AND(OR($D$26="Yes",$D$26=""),$D$32=""),1,0)</formula>
    </cfRule>
    <cfRule type="expression" dxfId="45" priority="32" stopIfTrue="1">
      <formula>$P$26=""</formula>
    </cfRule>
  </conditionalFormatting>
  <conditionalFormatting sqref="D10:J10">
    <cfRule type="expression" dxfId="44" priority="27" stopIfTrue="1">
      <formula>IF($D$9=$Q$9,TRUE)</formula>
    </cfRule>
    <cfRule type="expression" dxfId="43" priority="48" stopIfTrue="1">
      <formula>IF(AND($D$10="",$D$9=$R$9),TRUE)</formula>
    </cfRule>
  </conditionalFormatting>
  <conditionalFormatting sqref="G77:J77">
    <cfRule type="expression" dxfId="42" priority="28" stopIfTrue="1">
      <formula>IF(AND($D$77="Yes",$G$77=""),TRUE)</formula>
    </cfRule>
  </conditionalFormatting>
  <conditionalFormatting sqref="D75:E75 D77:E77 D79:E79 D81:E81 D85:E85 D87:E87 D89:E89 D83">
    <cfRule type="expression" dxfId="41" priority="29" stopIfTrue="1">
      <formula>AND(OR($D$26="No",AND($D$26="Yes",$D$32="No")),OR($D$27="No",AND($D$27="Yes",$D$33="No")),OR($D$28="No",AND($D$28="Yes",$D$34="No")),OR($D$29="No",AND($D$29="Yes",$D$35="No")))</formula>
    </cfRule>
    <cfRule type="expression" dxfId="40" priority="30" stopIfTrue="1">
      <formula>IF(D75="",TRUE)</formula>
    </cfRule>
  </conditionalFormatting>
  <conditionalFormatting sqref="D26:E26">
    <cfRule type="expression" dxfId="39" priority="31" stopIfTrue="1">
      <formula>IF($D$26="",TRUE)</formula>
    </cfRule>
  </conditionalFormatting>
  <conditionalFormatting sqref="D27:E27">
    <cfRule type="expression" dxfId="38" priority="33" stopIfTrue="1">
      <formula>IF($D$27="",TRUE)</formula>
    </cfRule>
  </conditionalFormatting>
  <conditionalFormatting sqref="D28:E28">
    <cfRule type="expression" dxfId="37" priority="34" stopIfTrue="1">
      <formula>IF($D$28="",TRUE)</formula>
    </cfRule>
  </conditionalFormatting>
  <conditionalFormatting sqref="D29:E29">
    <cfRule type="expression" dxfId="36" priority="35" stopIfTrue="1">
      <formula>IF($D$29="",TRUE)</formula>
    </cfRule>
  </conditionalFormatting>
  <conditionalFormatting sqref="D8:J8">
    <cfRule type="expression" dxfId="35" priority="36" stopIfTrue="1">
      <formula>IF($D$8="",TRUE)</formula>
    </cfRule>
  </conditionalFormatting>
  <conditionalFormatting sqref="D9:G9">
    <cfRule type="expression" dxfId="34" priority="37" stopIfTrue="1">
      <formula>IF($D$9="",TRUE)</formula>
    </cfRule>
  </conditionalFormatting>
  <conditionalFormatting sqref="D15:J15">
    <cfRule type="expression" dxfId="33" priority="38" stopIfTrue="1">
      <formula>IF($D$15="",TRUE)</formula>
    </cfRule>
  </conditionalFormatting>
  <conditionalFormatting sqref="D16:J16">
    <cfRule type="expression" dxfId="32" priority="39" stopIfTrue="1">
      <formula>IF($D$16="",TRUE)</formula>
    </cfRule>
  </conditionalFormatting>
  <conditionalFormatting sqref="D18:J18">
    <cfRule type="expression" dxfId="31" priority="40" stopIfTrue="1">
      <formula>IF($D$18="",TRUE)</formula>
    </cfRule>
  </conditionalFormatting>
  <conditionalFormatting sqref="D22:E22">
    <cfRule type="expression" dxfId="30" priority="41" stopIfTrue="1">
      <formula>IF($D$22="",TRUE)</formula>
    </cfRule>
  </conditionalFormatting>
  <conditionalFormatting sqref="D39:E39 D51:E51 D57:E57 D63:E63 D69:E69">
    <cfRule type="expression" dxfId="29" priority="42" stopIfTrue="1">
      <formula>$P$39=""</formula>
    </cfRule>
    <cfRule type="expression" dxfId="28" priority="43" stopIfTrue="1">
      <formula>IF(AND(OR($D$27="Yes",$D$27=""),D39=""),1,0)</formula>
    </cfRule>
  </conditionalFormatting>
  <conditionalFormatting sqref="D34:E34">
    <cfRule type="expression" dxfId="27" priority="45" stopIfTrue="1">
      <formula>IF(AND(OR($D$28="Yes",$D$28=""),$D$34=""),1,0)</formula>
    </cfRule>
  </conditionalFormatting>
  <conditionalFormatting sqref="D35:E35 D41:E41 D53:E53 D59:E59 D65:E65 D71:E71">
    <cfRule type="expression" dxfId="26" priority="46" stopIfTrue="1">
      <formula>$P$29=""</formula>
    </cfRule>
  </conditionalFormatting>
  <conditionalFormatting sqref="D41:E41 D53:E53 D59:E59 D65:E65 D71:E71">
    <cfRule type="expression" dxfId="25" priority="47" stopIfTrue="1">
      <formula>IF(AND(OR($D$29="Yes",$D$29=""),D41=""),1,0)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1" xr:uid="{6B238928-EF33-43BB-A50A-0C0C92454EEC}"/>
    <hyperlink ref="D16" r:id="rId2" xr:uid="{20692E07-A89A-41D7-A47E-7887EBE0A09C}"/>
    <hyperlink ref="D20" r:id="rId3" xr:uid="{DDB5E229-064A-42E3-86D8-87298F574900}"/>
  </hyperlinks>
  <pageMargins left="0.70866141732283505" right="0.70866141732283505" top="0.74803149606299202" bottom="0.74803149606299202" header="0.31496062992126" footer="0.31496062992126"/>
  <pageSetup scale="41" fitToHeight="0" orientation="portrait" r:id="rId4"/>
  <headerFooter>
    <oddFooter xml:space="preserve">&amp;L_x000D_&amp;1#&amp;"Calibri"&amp;8&amp;K000000  Rockwell Automation Company 'Internal' </oddFooter>
  </headerFooter>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1173"/>
  <sheetViews>
    <sheetView showGridLines="0" showZeros="0" zoomScale="80" zoomScaleNormal="80" workbookViewId="0">
      <selection activeCell="A503" sqref="A503"/>
    </sheetView>
  </sheetViews>
  <sheetFormatPr defaultColWidth="8.875" defaultRowHeight="12.75"/>
  <cols>
    <col min="1" max="1" width="13.625" style="140" customWidth="1"/>
    <col min="2" max="2" width="13.375" style="141" customWidth="1"/>
    <col min="3" max="3" width="40.625" style="141" customWidth="1"/>
    <col min="4" max="4" width="30.625" style="141" customWidth="1"/>
    <col min="5" max="5" width="20.875" style="141" customWidth="1"/>
    <col min="6" max="7" width="13.875" style="141" customWidth="1"/>
    <col min="8" max="8" width="25.125" style="141" customWidth="1"/>
    <col min="9" max="9" width="24.125" style="141" customWidth="1"/>
    <col min="10" max="10" width="18.375" style="141" customWidth="1"/>
    <col min="11" max="11" width="27.375" style="141" customWidth="1"/>
    <col min="12" max="12" width="20.625" style="141" customWidth="1"/>
    <col min="13" max="13" width="35.125" style="141" customWidth="1"/>
    <col min="14" max="14" width="42.125" style="141" customWidth="1"/>
    <col min="15" max="15" width="32.125" style="141" customWidth="1"/>
    <col min="16" max="16" width="22.875" style="141" customWidth="1"/>
    <col min="17" max="17" width="43.625" style="141" customWidth="1"/>
    <col min="18" max="18" width="35.875" style="141" hidden="1" customWidth="1"/>
    <col min="19" max="20" width="17.875" style="141" hidden="1" customWidth="1"/>
    <col min="21" max="21" width="8.875" style="141" hidden="1" customWidth="1"/>
    <col min="22" max="22" width="6.125" style="141" hidden="1" customWidth="1"/>
    <col min="23" max="23" width="8.625" style="141" hidden="1" customWidth="1"/>
    <col min="24" max="24" width="8.875" style="141" hidden="1" customWidth="1"/>
    <col min="25" max="27" width="4.375" style="141" hidden="1" customWidth="1"/>
    <col min="28" max="28" width="7.875" style="141" hidden="1" customWidth="1"/>
    <col min="29" max="33" width="4.375" style="141" hidden="1" customWidth="1"/>
    <col min="34" max="34" width="14.625" style="141" hidden="1" customWidth="1"/>
    <col min="35" max="35" width="8.875" style="141" customWidth="1"/>
    <col min="36" max="16384" width="8.875" style="141"/>
  </cols>
  <sheetData>
    <row r="1" spans="1:34" s="142" customFormat="1" ht="16.149999999999999" customHeight="1">
      <c r="A1" s="143"/>
      <c r="B1" s="144"/>
      <c r="C1" s="144"/>
      <c r="D1" s="144"/>
      <c r="E1" s="144"/>
      <c r="F1" s="144"/>
      <c r="G1" s="144"/>
      <c r="H1" s="144"/>
      <c r="I1" s="144"/>
      <c r="J1" s="144"/>
      <c r="K1" s="144"/>
      <c r="L1" s="144"/>
      <c r="M1" s="144"/>
      <c r="N1" s="144"/>
      <c r="O1" s="144"/>
      <c r="P1" s="144"/>
      <c r="Q1" s="145"/>
      <c r="R1" s="146"/>
      <c r="S1" s="146"/>
      <c r="T1" s="146"/>
      <c r="U1" s="142" t="s">
        <v>129</v>
      </c>
    </row>
    <row r="2" spans="1:34" s="142" customFormat="1" ht="27">
      <c r="A2" s="147"/>
      <c r="B2" s="148" t="str">
        <f ca="1">OFFSET(L!$C$1,MATCH("Smelter List"&amp;ADDRESS(ROW(),COLUMN(),4),L!$A:$A,0)-1,SL,,)</f>
        <v>TO BEGIN:</v>
      </c>
      <c r="C2" s="149"/>
      <c r="D2" s="149"/>
      <c r="E2" s="149"/>
      <c r="F2" s="150"/>
      <c r="G2" s="150"/>
      <c r="H2" s="150"/>
      <c r="I2" s="151"/>
      <c r="J2" s="380" t="str">
        <f ca="1">OFFSET(L!$C$1,MATCH("Smelter List"&amp;ADDRESS(ROW(),COLUMN(),4),L!$A:$A,0)-1,SL,,)</f>
        <v>Link to "RMAP Conformant Smelter List"</v>
      </c>
      <c r="K2" s="381"/>
      <c r="L2" s="381"/>
      <c r="M2" s="381"/>
      <c r="N2" s="381"/>
      <c r="O2" s="381"/>
      <c r="P2" s="152"/>
      <c r="Q2" s="153"/>
      <c r="R2" s="154"/>
      <c r="S2" s="154"/>
      <c r="T2" s="154"/>
      <c r="AH2" s="155" t="s">
        <v>116</v>
      </c>
    </row>
    <row r="3" spans="1:34" s="142" customFormat="1" ht="173.45" customHeight="1">
      <c r="A3" s="156"/>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157"/>
      <c r="G3" s="383" t="str">
        <f ca="1">OFFSET(L!$C$1,MATCH("General"&amp;"Cpy",L!$A:$A,0)-1,SL,,)</f>
        <v>© 2022 Responsible Minerals Initiative. All rights reserved.</v>
      </c>
      <c r="H3" s="383"/>
      <c r="I3" s="384"/>
      <c r="J3" s="158"/>
      <c r="K3" s="159"/>
      <c r="M3" s="160"/>
      <c r="N3" s="160"/>
      <c r="O3" s="161"/>
      <c r="P3" s="161"/>
      <c r="Q3" s="162" t="s">
        <v>110</v>
      </c>
      <c r="R3" s="68"/>
      <c r="S3" s="68"/>
      <c r="T3" s="68"/>
      <c r="W3" s="163" t="s">
        <v>130</v>
      </c>
      <c r="X3" s="163" t="s">
        <v>131</v>
      </c>
      <c r="Y3" s="163" t="s">
        <v>132</v>
      </c>
      <c r="Z3" s="163" t="s">
        <v>133</v>
      </c>
      <c r="AH3" s="155" t="s">
        <v>117</v>
      </c>
    </row>
    <row r="4" spans="1:34" s="164" customFormat="1" ht="78.75">
      <c r="A4" s="68" t="str">
        <f ca="1">OFFSET(L!$C$1,MATCH("Smelter List"&amp;ADDRESS(ROW(),COLUMN(),4),L!$A:$A,0)-1,SL,,)</f>
        <v>Smelter Identification Number Input Column</v>
      </c>
      <c r="B4" s="68" t="str">
        <f ca="1">OFFSET(L!$C$1,MATCH("Smelter List"&amp;ADDRESS(ROW(),COLUMN(),4),L!$A:$A,0)-1,SL,,)</f>
        <v>Metal (*)</v>
      </c>
      <c r="C4" s="68" t="str">
        <f ca="1">OFFSET(L!$C$1,MATCH("Smelter List"&amp;ADDRESS(ROW(),COLUMN(),4),L!$A:$A,0)-1,SL,,)</f>
        <v>Smelter Look-up (*)</v>
      </c>
      <c r="D4" s="68" t="str">
        <f ca="1">OFFSET(L!$C$1,MATCH("Smelter List"&amp;ADDRESS(ROW(),COLUMN(),4),L!$A:$A,0)-1,SL,,)</f>
        <v>Smelter Name (1)</v>
      </c>
      <c r="E4" s="68" t="str">
        <f ca="1">OFFSET(L!$C$1,MATCH("Smelter List"&amp;ADDRESS(ROW(),COLUMN(),4),L!$A:$A,0)-1,SL,,)</f>
        <v>Smelter Country (*)</v>
      </c>
      <c r="F4" s="68" t="str">
        <f ca="1">OFFSET(L!$C$1,MATCH("Smelter List"&amp;ADDRESS(ROW(),COLUMN(),4),L!$A:$A,0)-1,SL,,)</f>
        <v>Smelter Identification</v>
      </c>
      <c r="G4" s="68" t="str">
        <f ca="1">OFFSET(L!$C$1,MATCH("Smelter List"&amp;ADDRESS(ROW(),COLUMN(),4),L!$A:$A,0)-1,SL,,)</f>
        <v>Source of Smelter Identification Number</v>
      </c>
      <c r="H4" s="165" t="str">
        <f ca="1">OFFSET(L!$C$1,MATCH("Smelter List"&amp;ADDRESS(ROW(),COLUMN(),4),L!$A:$A,0)-1,SL,,)</f>
        <v xml:space="preserve">Smelter Street </v>
      </c>
      <c r="I4" s="165" t="str">
        <f ca="1">OFFSET(L!$C$1,MATCH("Smelter List"&amp;ADDRESS(ROW(),COLUMN(),4),L!$A:$A,0)-1,SL,,)</f>
        <v>Smelter City</v>
      </c>
      <c r="J4" s="165" t="str">
        <f ca="1">OFFSET(L!$C$1,MATCH("Smelter List"&amp;ADDRESS(ROW(),COLUMN(),4),L!$A:$A,0)-1,SL,,)</f>
        <v>Smelter Facility Location: State / Province</v>
      </c>
      <c r="K4" s="165" t="str">
        <f ca="1">OFFSET(L!$C$1,MATCH("Smelter List"&amp;ADDRESS(ROW(),COLUMN(),4),L!$A:$A,0)-1,SL,,)</f>
        <v>Smelter Contact Name</v>
      </c>
      <c r="L4" s="165" t="str">
        <f ca="1">OFFSET(L!$C$1,MATCH("Smelter List"&amp;ADDRESS(ROW(),COLUMN(),4),L!$A:$A,0)-1,SL,,)</f>
        <v>Smelter Contact Email</v>
      </c>
      <c r="M4" s="165" t="str">
        <f ca="1">OFFSET(L!$C$1,MATCH("Smelter List"&amp;ADDRESS(ROW(),COLUMN(),4),L!$A:$A,0)-1,SL,,)</f>
        <v>Proposed next steps</v>
      </c>
      <c r="N4" s="165" t="str">
        <f ca="1">OFFSET(L!$C$1,MATCH("Smelter List"&amp;ADDRESS(ROW(),COLUMN(),4),L!$A:$A,0)-1,SL,,)</f>
        <v>Name of Mine(s) or if recycled or scrap sourced, enter "recycled" or "scrap"</v>
      </c>
      <c r="O4" s="165" t="str">
        <f ca="1">OFFSET(L!$C$1,MATCH("Smelter List"&amp;ADDRESS(ROW(),COLUMN(),4),L!$A:$A,0)-1,SL,,)</f>
        <v>Location (Country) of Mine(s) or if recycled or scrap sourced, enter "recycled" or "scrap"</v>
      </c>
      <c r="P4" s="165" t="str">
        <f ca="1">OFFSET(L!$C$1,MATCH("Smelter List"&amp;ADDRESS(ROW(),COLUMN(),4),L!$A:$A,0)-1,SL,,)</f>
        <v>Does 100% of the smelter’s feedstock originate from recycled or scrap sources?</v>
      </c>
      <c r="Q4" s="155" t="str">
        <f ca="1">OFFSET(L!$C$1,MATCH("Smelter List"&amp;ADDRESS(ROW(),COLUMN(),4),L!$A:$A,0)-1,SL,,)</f>
        <v>Comments</v>
      </c>
      <c r="R4" s="68" t="s">
        <v>134</v>
      </c>
      <c r="S4" s="68" t="s">
        <v>135</v>
      </c>
      <c r="T4" s="68" t="s">
        <v>136</v>
      </c>
      <c r="U4" s="166"/>
      <c r="W4" s="164" t="s">
        <v>137</v>
      </c>
      <c r="X4" s="164" t="s">
        <v>138</v>
      </c>
      <c r="AH4" s="155" t="s">
        <v>121</v>
      </c>
    </row>
    <row r="5" spans="1:34" s="140" customFormat="1" ht="409.5">
      <c r="A5" s="167" t="s">
        <v>139</v>
      </c>
      <c r="B5" s="168" t="s">
        <v>133</v>
      </c>
      <c r="C5" s="169" t="s">
        <v>140</v>
      </c>
      <c r="D5" s="170" t="s">
        <v>140</v>
      </c>
      <c r="E5" s="168" t="s">
        <v>141</v>
      </c>
      <c r="F5" s="168" t="s">
        <v>139</v>
      </c>
      <c r="G5" s="168" t="s">
        <v>142</v>
      </c>
      <c r="H5" s="171" t="s">
        <v>143</v>
      </c>
      <c r="I5" s="172" t="s">
        <v>144</v>
      </c>
      <c r="J5" s="172" t="s">
        <v>145</v>
      </c>
      <c r="K5" s="173" t="s">
        <v>146</v>
      </c>
      <c r="L5" s="173" t="s">
        <v>147</v>
      </c>
      <c r="M5" s="173" t="s">
        <v>148</v>
      </c>
      <c r="N5" s="173" t="s">
        <v>149</v>
      </c>
      <c r="O5" s="173" t="s">
        <v>150</v>
      </c>
      <c r="P5" s="174" t="s">
        <v>151</v>
      </c>
      <c r="Q5" s="175" t="s">
        <v>152</v>
      </c>
      <c r="R5" s="168" t="str">
        <f ca="1">IF(ISERROR($V5),"",OFFSET('Smelter Look-up'!$C$4,$V5-4,0)&amp;"")</f>
        <v>Advanced Chemical Company</v>
      </c>
      <c r="S5" s="167" t="str">
        <f t="shared" ref="S5:S21" ca="1" si="0">IF(B5="","",IF(ISERROR(MATCH($E5,CL,0)),"Unknown",INDIRECT("'C'!$A$"&amp;MATCH($E5,CL,0)+1)))</f>
        <v>US</v>
      </c>
      <c r="T5" s="167" t="str">
        <f ca="1">IF(B5="","",IF(ISERROR(MATCH($J5,SorP!$B$1:$B$6230,0)),"",INDIRECT("'SorP'!$A$"&amp;MATCH($J5,SorP!$B$1:$B$6230,0))))</f>
        <v>US-RI</v>
      </c>
      <c r="U5" s="176"/>
      <c r="V5" s="177">
        <f>IF(C5="",NA(),IF(OR(C5="Smelter not listed",C5="Smelter not yet identified"),MATCH($B5&amp;$D5,'Smelter Look-up'!$J:$J,0),MATCH($B5&amp;$C5,'Smelter Look-up'!$J:$J,0)))</f>
        <v>8</v>
      </c>
      <c r="X5" s="140">
        <f t="shared" ref="X5:X21" si="1">IF(AND(C5="Smelter not listed",OR(LEN(D5)=0,LEN(E5)=0)),1,0)</f>
        <v>0</v>
      </c>
      <c r="AB5" s="178" t="str">
        <f t="shared" ref="AB5:AB21" si="2">B5&amp;C5</f>
        <v>GoldAdvanced Chemical Company</v>
      </c>
    </row>
    <row r="6" spans="1:34" s="140" customFormat="1" ht="409.5">
      <c r="A6" s="167" t="s">
        <v>153</v>
      </c>
      <c r="B6" s="168" t="s">
        <v>133</v>
      </c>
      <c r="C6" s="169" t="s">
        <v>154</v>
      </c>
      <c r="D6" s="170" t="s">
        <v>154</v>
      </c>
      <c r="E6" s="168" t="s">
        <v>155</v>
      </c>
      <c r="F6" s="168" t="s">
        <v>153</v>
      </c>
      <c r="G6" s="168" t="s">
        <v>142</v>
      </c>
      <c r="H6" s="171" t="s">
        <v>156</v>
      </c>
      <c r="I6" s="172" t="s">
        <v>157</v>
      </c>
      <c r="J6" s="172" t="s">
        <v>158</v>
      </c>
      <c r="K6" s="173" t="s">
        <v>159</v>
      </c>
      <c r="L6" s="173" t="s">
        <v>160</v>
      </c>
      <c r="M6" s="173" t="s">
        <v>161</v>
      </c>
      <c r="N6" s="173" t="s">
        <v>162</v>
      </c>
      <c r="O6" s="173" t="s">
        <v>163</v>
      </c>
      <c r="P6" s="174" t="s">
        <v>164</v>
      </c>
      <c r="Q6" s="175" t="s">
        <v>165</v>
      </c>
      <c r="R6" s="168" t="str">
        <f ca="1">IF(ISERROR($V6),"",OFFSET('Smelter Look-up'!$C$4,$V6-4,0)&amp;"")</f>
        <v>Asaka Riken Co., Ltd.</v>
      </c>
      <c r="S6" s="167" t="str">
        <f t="shared" ca="1" si="0"/>
        <v>JP</v>
      </c>
      <c r="T6" s="167" t="str">
        <f ca="1">IF(B6="","",IF(ISERROR(MATCH($J6,SorP!$B$1:$B$6230,0)),"",INDIRECT("'SorP'!$A$"&amp;MATCH($J6,SorP!$B$1:$B$6230,0))))</f>
        <v>JP-07</v>
      </c>
      <c r="U6" s="176"/>
      <c r="V6" s="177">
        <f>IF(C6="",NA(),IF(OR(C6="Smelter not listed",C6="Smelter not yet identified"),MATCH($B6&amp;$D6,'Smelter Look-up'!$J:$J,0),MATCH($B6&amp;$C6,'Smelter Look-up'!$J:$J,0)))</f>
        <v>32</v>
      </c>
      <c r="X6" s="140">
        <f t="shared" si="1"/>
        <v>0</v>
      </c>
      <c r="AB6" s="178" t="str">
        <f t="shared" si="2"/>
        <v>GoldAsaka Riken Co., Ltd.</v>
      </c>
    </row>
    <row r="7" spans="1:34" s="140" customFormat="1" ht="409.5">
      <c r="A7" s="167" t="s">
        <v>176</v>
      </c>
      <c r="B7" s="168" t="s">
        <v>133</v>
      </c>
      <c r="C7" s="169" t="s">
        <v>177</v>
      </c>
      <c r="D7" s="170" t="s">
        <v>178</v>
      </c>
      <c r="E7" s="168" t="s">
        <v>179</v>
      </c>
      <c r="F7" s="168" t="s">
        <v>176</v>
      </c>
      <c r="G7" s="168" t="s">
        <v>142</v>
      </c>
      <c r="H7" s="171" t="s">
        <v>180</v>
      </c>
      <c r="I7" s="172" t="s">
        <v>181</v>
      </c>
      <c r="J7" s="172" t="s">
        <v>182</v>
      </c>
      <c r="K7" s="173" t="s">
        <v>183</v>
      </c>
      <c r="L7" s="173" t="s">
        <v>184</v>
      </c>
      <c r="M7" s="173" t="s">
        <v>185</v>
      </c>
      <c r="N7" s="173" t="s">
        <v>186</v>
      </c>
      <c r="O7" s="173" t="s">
        <v>187</v>
      </c>
      <c r="P7" s="174" t="s">
        <v>188</v>
      </c>
      <c r="Q7" s="175" t="s">
        <v>189</v>
      </c>
      <c r="R7" s="168" t="str">
        <f ca="1">IF(ISERROR($V7),"",OFFSET('Smelter Look-up'!$C$4,$V7-4,0)&amp;"")</f>
        <v/>
      </c>
      <c r="S7" s="167" t="str">
        <f t="shared" ca="1" si="0"/>
        <v>DE</v>
      </c>
      <c r="T7" s="167" t="str">
        <f ca="1">IF(B7="","",IF(ISERROR(MATCH($J7,SorP!$B$1:$B$6230,0)),"",INDIRECT("'SorP'!$A$"&amp;MATCH($J7,SorP!$B$1:$B$6230,0))))</f>
        <v>DE-BW</v>
      </c>
      <c r="U7" s="176"/>
      <c r="V7" s="177" t="e">
        <f>IF(C7="",NA(),IF(OR(C7="Smelter not listed",C7="Smelter not yet identified"),MATCH($B7&amp;$D7,'Smelter Look-up'!$J:$J,0),MATCH($B7&amp;$C7,'Smelter Look-up'!$J:$J,0)))</f>
        <v>#N/A</v>
      </c>
      <c r="X7" s="140">
        <f t="shared" si="1"/>
        <v>0</v>
      </c>
      <c r="AB7" s="178" t="str">
        <f t="shared" si="2"/>
        <v>GoldDODUCO GmbH</v>
      </c>
    </row>
    <row r="8" spans="1:34" s="140" customFormat="1" ht="409.5">
      <c r="A8" s="167" t="s">
        <v>197</v>
      </c>
      <c r="B8" s="168" t="s">
        <v>133</v>
      </c>
      <c r="C8" s="169" t="s">
        <v>198</v>
      </c>
      <c r="D8" s="170" t="s">
        <v>198</v>
      </c>
      <c r="E8" s="168" t="s">
        <v>199</v>
      </c>
      <c r="F8" s="168" t="s">
        <v>197</v>
      </c>
      <c r="G8" s="168" t="s">
        <v>142</v>
      </c>
      <c r="H8" s="171" t="s">
        <v>200</v>
      </c>
      <c r="I8" s="172" t="s">
        <v>201</v>
      </c>
      <c r="J8" s="172" t="s">
        <v>202</v>
      </c>
      <c r="K8" s="173" t="s">
        <v>203</v>
      </c>
      <c r="L8" s="173" t="s">
        <v>204</v>
      </c>
      <c r="M8" s="173" t="s">
        <v>205</v>
      </c>
      <c r="N8" s="173" t="s">
        <v>206</v>
      </c>
      <c r="O8" s="173" t="s">
        <v>207</v>
      </c>
      <c r="P8" s="174" t="s">
        <v>151</v>
      </c>
      <c r="Q8" s="175" t="s">
        <v>208</v>
      </c>
      <c r="R8" s="168" t="str">
        <f ca="1">IF(ISERROR($V8),"",OFFSET('Smelter Look-up'!$C$4,$V8-4,0)&amp;"")</f>
        <v>Al Etihad Gold Refinery DMCC</v>
      </c>
      <c r="S8" s="167" t="str">
        <f t="shared" ca="1" si="0"/>
        <v>AE</v>
      </c>
      <c r="T8" s="167" t="str">
        <f ca="1">IF(B8="","",IF(ISERROR(MATCH($J8,SorP!$B$1:$B$6230,0)),"",INDIRECT("'SorP'!$A$"&amp;MATCH($J8,SorP!$B$1:$B$6230,0))))</f>
        <v>AE-DU</v>
      </c>
      <c r="U8" s="176"/>
      <c r="V8" s="177">
        <f>IF(C8="",NA(),IF(OR(C8="Smelter not listed",C8="Smelter not yet identified"),MATCH($B8&amp;$D8,'Smelter Look-up'!$J:$J,0),MATCH($B8&amp;$C8,'Smelter Look-up'!$J:$J,0)))</f>
        <v>16</v>
      </c>
      <c r="X8" s="140">
        <f t="shared" si="1"/>
        <v>0</v>
      </c>
      <c r="AB8" s="178" t="str">
        <f t="shared" si="2"/>
        <v>GoldAl Etihad Gold Refinery DMCC</v>
      </c>
    </row>
    <row r="9" spans="1:34" s="140" customFormat="1" ht="63.75">
      <c r="A9" s="167" t="s">
        <v>222</v>
      </c>
      <c r="B9" s="168" t="s">
        <v>133</v>
      </c>
      <c r="C9" s="169" t="s">
        <v>223</v>
      </c>
      <c r="D9" s="170" t="s">
        <v>223</v>
      </c>
      <c r="E9" s="168" t="s">
        <v>179</v>
      </c>
      <c r="F9" s="168" t="s">
        <v>222</v>
      </c>
      <c r="G9" s="168" t="s">
        <v>114</v>
      </c>
      <c r="H9" s="171" t="s">
        <v>114</v>
      </c>
      <c r="I9" s="172" t="s">
        <v>114</v>
      </c>
      <c r="J9" s="172" t="s">
        <v>114</v>
      </c>
      <c r="K9" s="173"/>
      <c r="L9" s="173"/>
      <c r="M9" s="173"/>
      <c r="N9" s="173"/>
      <c r="O9" s="173"/>
      <c r="P9" s="174"/>
      <c r="Q9" s="175"/>
      <c r="R9" s="168" t="str">
        <f ca="1">IF(ISERROR($V9),"",OFFSET('Smelter Look-up'!$C$4,$V9-4,0)&amp;"")</f>
        <v/>
      </c>
      <c r="S9" s="167" t="str">
        <f t="shared" ca="1" si="0"/>
        <v>DE</v>
      </c>
      <c r="T9" s="167" t="str">
        <f ca="1">IF(B9="","",IF(ISERROR(MATCH($J9,SorP!$B$1:$B$6230,0)),"",INDIRECT("'SorP'!$A$"&amp;MATCH($J9,SorP!$B$1:$B$6230,0))))</f>
        <v/>
      </c>
      <c r="U9" s="176"/>
      <c r="V9" s="177" t="e">
        <f>IF(C9="",NA(),IF(OR(C9="Smelter not listed",C9="Smelter not yet identified"),MATCH($B9&amp;$D9,'Smelter Look-up'!$J:$J,0),MATCH($B9&amp;$C9,'Smelter Look-up'!$J:$J,0)))</f>
        <v>#N/A</v>
      </c>
      <c r="X9" s="140">
        <f t="shared" si="1"/>
        <v>0</v>
      </c>
      <c r="AB9" s="178" t="str">
        <f t="shared" si="2"/>
        <v>GoldAlldyne Powder Technologies</v>
      </c>
    </row>
    <row r="10" spans="1:34" s="140" customFormat="1" ht="191.25">
      <c r="A10" s="167" t="s">
        <v>231</v>
      </c>
      <c r="B10" s="168" t="s">
        <v>133</v>
      </c>
      <c r="C10" s="169" t="s">
        <v>232</v>
      </c>
      <c r="D10" s="170" t="s">
        <v>232</v>
      </c>
      <c r="E10" s="168" t="s">
        <v>155</v>
      </c>
      <c r="F10" s="168" t="s">
        <v>231</v>
      </c>
      <c r="G10" s="168" t="s">
        <v>142</v>
      </c>
      <c r="H10" s="171" t="s">
        <v>233</v>
      </c>
      <c r="I10" s="172" t="s">
        <v>234</v>
      </c>
      <c r="J10" s="172" t="s">
        <v>235</v>
      </c>
      <c r="K10" s="173" t="s">
        <v>236</v>
      </c>
      <c r="L10" s="173" t="s">
        <v>237</v>
      </c>
      <c r="M10" s="173" t="s">
        <v>238</v>
      </c>
      <c r="N10" s="173" t="s">
        <v>239</v>
      </c>
      <c r="O10" s="173" t="s">
        <v>240</v>
      </c>
      <c r="P10" s="174" t="s">
        <v>241</v>
      </c>
      <c r="Q10" s="175" t="s">
        <v>242</v>
      </c>
      <c r="R10" s="168" t="str">
        <f ca="1">IF(ISERROR($V10),"",OFFSET('Smelter Look-up'!$C$4,$V10-4,0)&amp;"")</f>
        <v>Eco-System Recycling Co., Ltd. North Plant</v>
      </c>
      <c r="S10" s="167" t="str">
        <f t="shared" ca="1" si="0"/>
        <v>JP</v>
      </c>
      <c r="T10" s="167" t="str">
        <f ca="1">IF(B10="","",IF(ISERROR(MATCH($J10,SorP!$B$1:$B$6230,0)),"",INDIRECT("'SorP'!$A$"&amp;MATCH($J10,SorP!$B$1:$B$6230,0))))</f>
        <v>JP-05</v>
      </c>
      <c r="U10" s="176"/>
      <c r="V10" s="177">
        <f>IF(C10="",NA(),IF(OR(C10="Smelter not listed",C10="Smelter not yet identified"),MATCH($B10&amp;$D10,'Smelter Look-up'!$J:$J,0),MATCH($B10&amp;$C10,'Smelter Look-up'!$J:$J,0)))</f>
        <v>74</v>
      </c>
      <c r="X10" s="140">
        <f t="shared" si="1"/>
        <v>0</v>
      </c>
      <c r="AB10" s="178" t="str">
        <f t="shared" si="2"/>
        <v>GoldEco-System Recycling Co., Ltd. North Plant</v>
      </c>
    </row>
    <row r="11" spans="1:34" s="140" customFormat="1" ht="191.25">
      <c r="A11" s="167" t="s">
        <v>243</v>
      </c>
      <c r="B11" s="168" t="s">
        <v>133</v>
      </c>
      <c r="C11" s="169" t="s">
        <v>244</v>
      </c>
      <c r="D11" s="170" t="s">
        <v>244</v>
      </c>
      <c r="E11" s="168" t="s">
        <v>155</v>
      </c>
      <c r="F11" s="168" t="s">
        <v>243</v>
      </c>
      <c r="G11" s="168" t="s">
        <v>142</v>
      </c>
      <c r="H11" s="171" t="s">
        <v>245</v>
      </c>
      <c r="I11" s="172" t="s">
        <v>246</v>
      </c>
      <c r="J11" s="172" t="s">
        <v>246</v>
      </c>
      <c r="K11" s="173" t="s">
        <v>247</v>
      </c>
      <c r="L11" s="173" t="s">
        <v>248</v>
      </c>
      <c r="M11" s="173" t="s">
        <v>249</v>
      </c>
      <c r="N11" s="173" t="s">
        <v>239</v>
      </c>
      <c r="O11" s="173" t="s">
        <v>250</v>
      </c>
      <c r="P11" s="174" t="s">
        <v>241</v>
      </c>
      <c r="Q11" s="175" t="s">
        <v>251</v>
      </c>
      <c r="R11" s="168" t="str">
        <f ca="1">IF(ISERROR($V11),"",OFFSET('Smelter Look-up'!$C$4,$V11-4,0)&amp;"")</f>
        <v>Eco-System Recycling Co., Ltd. West Plant</v>
      </c>
      <c r="S11" s="167" t="str">
        <f t="shared" ca="1" si="0"/>
        <v>JP</v>
      </c>
      <c r="T11" s="167" t="str">
        <f ca="1">IF(B11="","",IF(ISERROR(MATCH($J11,SorP!$B$1:$B$6230,0)),"",INDIRECT("'SorP'!$A$"&amp;MATCH($J11,SorP!$B$1:$B$6230,0))))</f>
        <v>JP-33</v>
      </c>
      <c r="U11" s="176"/>
      <c r="V11" s="177">
        <f>IF(C11="",NA(),IF(OR(C11="Smelter not listed",C11="Smelter not yet identified"),MATCH($B11&amp;$D11,'Smelter Look-up'!$J:$J,0),MATCH($B11&amp;$C11,'Smelter Look-up'!$J:$J,0)))</f>
        <v>75</v>
      </c>
      <c r="X11" s="140">
        <f t="shared" si="1"/>
        <v>0</v>
      </c>
      <c r="AB11" s="178" t="str">
        <f t="shared" si="2"/>
        <v>GoldEco-System Recycling Co., Ltd. West Plant</v>
      </c>
    </row>
    <row r="12" spans="1:34" s="140" customFormat="1" ht="409.5">
      <c r="A12" s="167" t="s">
        <v>273</v>
      </c>
      <c r="B12" s="168" t="s">
        <v>133</v>
      </c>
      <c r="C12" s="169" t="s">
        <v>274</v>
      </c>
      <c r="D12" s="170" t="s">
        <v>274</v>
      </c>
      <c r="E12" s="168" t="s">
        <v>155</v>
      </c>
      <c r="F12" s="168" t="s">
        <v>273</v>
      </c>
      <c r="G12" s="168" t="s">
        <v>142</v>
      </c>
      <c r="H12" s="171" t="s">
        <v>275</v>
      </c>
      <c r="I12" s="172" t="s">
        <v>276</v>
      </c>
      <c r="J12" s="172" t="s">
        <v>277</v>
      </c>
      <c r="K12" s="173" t="s">
        <v>278</v>
      </c>
      <c r="L12" s="173" t="s">
        <v>279</v>
      </c>
      <c r="M12" s="173" t="s">
        <v>280</v>
      </c>
      <c r="N12" s="173" t="s">
        <v>281</v>
      </c>
      <c r="O12" s="173" t="s">
        <v>282</v>
      </c>
      <c r="P12" s="174" t="s">
        <v>241</v>
      </c>
      <c r="Q12" s="175" t="s">
        <v>283</v>
      </c>
      <c r="R12" s="168" t="str">
        <f ca="1">IF(ISERROR($V12),"",OFFSET('Smelter Look-up'!$C$4,$V12-4,0)&amp;"")</f>
        <v>Aida Chemical Industries Co., Ltd.</v>
      </c>
      <c r="S12" s="167" t="str">
        <f t="shared" ca="1" si="0"/>
        <v>JP</v>
      </c>
      <c r="T12" s="167" t="str">
        <f ca="1">IF(B12="","",IF(ISERROR(MATCH($J12,SorP!$B$1:$B$6230,0)),"",INDIRECT("'SorP'!$A$"&amp;MATCH($J12,SorP!$B$1:$B$6230,0))))</f>
        <v>JP-13</v>
      </c>
      <c r="U12" s="176"/>
      <c r="V12" s="177">
        <f>IF(C12="",NA(),IF(OR(C12="Smelter not listed",C12="Smelter not yet identified"),MATCH($B12&amp;$D12,'Smelter Look-up'!$J:$J,0),MATCH($B12&amp;$C12,'Smelter Look-up'!$J:$J,0)))</f>
        <v>13</v>
      </c>
      <c r="X12" s="140">
        <f t="shared" si="1"/>
        <v>0</v>
      </c>
      <c r="AB12" s="178" t="str">
        <f t="shared" si="2"/>
        <v>GoldAida Chemical Industries Co., Ltd.</v>
      </c>
    </row>
    <row r="13" spans="1:34" s="140" customFormat="1" ht="63.75">
      <c r="A13" s="167" t="s">
        <v>286</v>
      </c>
      <c r="B13" s="168" t="s">
        <v>133</v>
      </c>
      <c r="C13" s="169" t="s">
        <v>287</v>
      </c>
      <c r="D13" s="170" t="s">
        <v>287</v>
      </c>
      <c r="E13" s="168" t="s">
        <v>288</v>
      </c>
      <c r="F13" s="168" t="s">
        <v>286</v>
      </c>
      <c r="G13" s="168" t="s">
        <v>169</v>
      </c>
      <c r="H13" s="171" t="s">
        <v>114</v>
      </c>
      <c r="I13" s="172" t="s">
        <v>289</v>
      </c>
      <c r="J13" s="172" t="s">
        <v>290</v>
      </c>
      <c r="K13" s="173"/>
      <c r="L13" s="173"/>
      <c r="M13" s="173"/>
      <c r="N13" s="173"/>
      <c r="O13" s="173"/>
      <c r="P13" s="174"/>
      <c r="Q13" s="175"/>
      <c r="R13" s="168" t="str">
        <f ca="1">IF(ISERROR($V13),"",OFFSET('Smelter Look-up'!$C$4,$V13-4,0)&amp;"")</f>
        <v/>
      </c>
      <c r="S13" s="167" t="str">
        <f t="shared" ca="1" si="0"/>
        <v>KZ</v>
      </c>
      <c r="T13" s="167" t="str">
        <f ca="1">IF(B13="","",IF(ISERROR(MATCH($J13,SorP!$B$1:$B$6230,0)),"",INDIRECT("'SorP'!$A$"&amp;MATCH($J13,SorP!$B$1:$B$6230,0))))</f>
        <v/>
      </c>
      <c r="U13" s="176"/>
      <c r="V13" s="177" t="e">
        <f>IF(C13="",NA(),IF(OR(C13="Smelter not listed",C13="Smelter not yet identified"),MATCH($B13&amp;$D13,'Smelter Look-up'!$J:$J,0),MATCH($B13&amp;$C13,'Smelter Look-up'!$J:$J,0)))</f>
        <v>#N/A</v>
      </c>
      <c r="X13" s="140">
        <f t="shared" si="1"/>
        <v>0</v>
      </c>
      <c r="AB13" s="178" t="str">
        <f t="shared" si="2"/>
        <v>GoldAktyubinsk Copper Company TOO</v>
      </c>
    </row>
    <row r="14" spans="1:34" s="140" customFormat="1" ht="409.5">
      <c r="A14" s="167" t="s">
        <v>297</v>
      </c>
      <c r="B14" s="168" t="s">
        <v>133</v>
      </c>
      <c r="C14" s="169" t="s">
        <v>298</v>
      </c>
      <c r="D14" s="170" t="s">
        <v>298</v>
      </c>
      <c r="E14" s="168" t="s">
        <v>179</v>
      </c>
      <c r="F14" s="168" t="s">
        <v>297</v>
      </c>
      <c r="G14" s="168" t="s">
        <v>142</v>
      </c>
      <c r="H14" s="171" t="s">
        <v>299</v>
      </c>
      <c r="I14" s="172" t="s">
        <v>181</v>
      </c>
      <c r="J14" s="172" t="s">
        <v>182</v>
      </c>
      <c r="K14" s="173" t="s">
        <v>300</v>
      </c>
      <c r="L14" s="173" t="s">
        <v>301</v>
      </c>
      <c r="M14" s="173" t="s">
        <v>302</v>
      </c>
      <c r="N14" s="173" t="s">
        <v>303</v>
      </c>
      <c r="O14" s="173" t="s">
        <v>304</v>
      </c>
      <c r="P14" s="174" t="s">
        <v>164</v>
      </c>
      <c r="Q14" s="175" t="s">
        <v>305</v>
      </c>
      <c r="R14" s="168" t="str">
        <f ca="1">IF(ISERROR($V14),"",OFFSET('Smelter Look-up'!$C$4,$V14-4,0)&amp;"")</f>
        <v>C. Hafner GmbH + Co. KG</v>
      </c>
      <c r="S14" s="167" t="str">
        <f t="shared" ca="1" si="0"/>
        <v>DE</v>
      </c>
      <c r="T14" s="167" t="str">
        <f ca="1">IF(B14="","",IF(ISERROR(MATCH($J14,SorP!$B$1:$B$6230,0)),"",INDIRECT("'SorP'!$A$"&amp;MATCH($J14,SorP!$B$1:$B$6230,0))))</f>
        <v>DE-BW</v>
      </c>
      <c r="U14" s="176"/>
      <c r="V14" s="177">
        <f>IF(C14="",NA(),IF(OR(C14="Smelter not listed",C14="Smelter not yet identified"),MATCH($B14&amp;$D14,'Smelter Look-up'!$J:$J,0),MATCH($B14&amp;$C14,'Smelter Look-up'!$J:$J,0)))</f>
        <v>43</v>
      </c>
      <c r="X14" s="140">
        <f t="shared" si="1"/>
        <v>0</v>
      </c>
      <c r="AB14" s="178" t="str">
        <f t="shared" si="2"/>
        <v>GoldC. Hafner GmbH + Co. KG</v>
      </c>
    </row>
    <row r="15" spans="1:34" s="140" customFormat="1" ht="409.5">
      <c r="A15" s="167" t="s">
        <v>317</v>
      </c>
      <c r="B15" s="168" t="s">
        <v>133</v>
      </c>
      <c r="C15" s="169" t="s">
        <v>318</v>
      </c>
      <c r="D15" s="170" t="s">
        <v>318</v>
      </c>
      <c r="E15" s="168" t="s">
        <v>192</v>
      </c>
      <c r="F15" s="168" t="s">
        <v>317</v>
      </c>
      <c r="G15" s="168" t="s">
        <v>142</v>
      </c>
      <c r="H15" s="171" t="s">
        <v>319</v>
      </c>
      <c r="I15" s="172" t="s">
        <v>320</v>
      </c>
      <c r="J15" s="172" t="s">
        <v>321</v>
      </c>
      <c r="K15" s="173" t="s">
        <v>322</v>
      </c>
      <c r="L15" s="173" t="s">
        <v>323</v>
      </c>
      <c r="M15" s="173"/>
      <c r="N15" s="173" t="s">
        <v>220</v>
      </c>
      <c r="O15" s="173" t="s">
        <v>324</v>
      </c>
      <c r="P15" s="174" t="s">
        <v>175</v>
      </c>
      <c r="Q15" s="175" t="s">
        <v>325</v>
      </c>
      <c r="R15" s="168" t="str">
        <f ca="1">IF(ISERROR($V15),"",OFFSET('Smelter Look-up'!$C$4,$V15-4,0)&amp;"")</f>
        <v>Daye Non-Ferrous Metals Mining Ltd.</v>
      </c>
      <c r="S15" s="167" t="str">
        <f t="shared" ca="1" si="0"/>
        <v>CN</v>
      </c>
      <c r="T15" s="167" t="str">
        <f ca="1">IF(B15="","",IF(ISERROR(MATCH($J15,SorP!$B$1:$B$6230,0)),"",INDIRECT("'SorP'!$A$"&amp;MATCH($J15,SorP!$B$1:$B$6230,0))))</f>
        <v>CN-HB</v>
      </c>
      <c r="U15" s="176"/>
      <c r="V15" s="177">
        <f>IF(C15="",NA(),IF(OR(C15="Smelter not listed",C15="Smelter not yet identified"),MATCH($B15&amp;$D15,'Smelter Look-up'!$J:$J,0),MATCH($B15&amp;$C15,'Smelter Look-up'!$J:$J,0)))</f>
        <v>59</v>
      </c>
      <c r="X15" s="140">
        <f t="shared" si="1"/>
        <v>0</v>
      </c>
      <c r="AB15" s="178" t="str">
        <f t="shared" si="2"/>
        <v>GoldDaye Non-Ferrous Metals Mining Ltd.</v>
      </c>
    </row>
    <row r="16" spans="1:34" s="140" customFormat="1" ht="127.5">
      <c r="A16" s="167" t="s">
        <v>326</v>
      </c>
      <c r="B16" s="168" t="s">
        <v>133</v>
      </c>
      <c r="C16" s="169" t="s">
        <v>327</v>
      </c>
      <c r="D16" s="170" t="s">
        <v>327</v>
      </c>
      <c r="E16" s="168" t="s">
        <v>179</v>
      </c>
      <c r="F16" s="168" t="s">
        <v>326</v>
      </c>
      <c r="G16" s="168" t="s">
        <v>142</v>
      </c>
      <c r="H16" s="171" t="s">
        <v>328</v>
      </c>
      <c r="I16" s="172" t="s">
        <v>181</v>
      </c>
      <c r="J16" s="172" t="s">
        <v>182</v>
      </c>
      <c r="K16" s="173" t="s">
        <v>329</v>
      </c>
      <c r="L16" s="173" t="s">
        <v>330</v>
      </c>
      <c r="M16" s="173"/>
      <c r="N16" s="173" t="s">
        <v>220</v>
      </c>
      <c r="O16" s="173" t="s">
        <v>331</v>
      </c>
      <c r="P16" s="174" t="s">
        <v>175</v>
      </c>
      <c r="Q16" s="175" t="s">
        <v>196</v>
      </c>
      <c r="R16" s="168" t="str">
        <f ca="1">IF(ISERROR($V16),"",OFFSET('Smelter Look-up'!$C$4,$V16-4,0)&amp;"")</f>
        <v>Degussa Sonne / Mond Goldhandel GmbH</v>
      </c>
      <c r="S16" s="167" t="str">
        <f t="shared" ca="1" si="0"/>
        <v>DE</v>
      </c>
      <c r="T16" s="167" t="str">
        <f ca="1">IF(B16="","",IF(ISERROR(MATCH($J16,SorP!$B$1:$B$6230,0)),"",INDIRECT("'SorP'!$A$"&amp;MATCH($J16,SorP!$B$1:$B$6230,0))))</f>
        <v>DE-BW</v>
      </c>
      <c r="U16" s="176"/>
      <c r="V16" s="177">
        <f>IF(C16="",NA(),IF(OR(C16="Smelter not listed",C16="Smelter not yet identified"),MATCH($B16&amp;$D16,'Smelter Look-up'!$J:$J,0),MATCH($B16&amp;$C16,'Smelter Look-up'!$J:$J,0)))</f>
        <v>61</v>
      </c>
      <c r="X16" s="140">
        <f t="shared" si="1"/>
        <v>0</v>
      </c>
      <c r="AB16" s="178" t="str">
        <f t="shared" si="2"/>
        <v>GoldDegussa Sonne / Mond Goldhandel GmbH</v>
      </c>
    </row>
    <row r="17" spans="1:28" s="140" customFormat="1" ht="114.75">
      <c r="A17" s="167" t="s">
        <v>332</v>
      </c>
      <c r="B17" s="168" t="s">
        <v>133</v>
      </c>
      <c r="C17" s="169" t="s">
        <v>333</v>
      </c>
      <c r="D17" s="170" t="s">
        <v>333</v>
      </c>
      <c r="E17" s="168" t="s">
        <v>199</v>
      </c>
      <c r="F17" s="168" t="s">
        <v>332</v>
      </c>
      <c r="G17" s="168" t="s">
        <v>142</v>
      </c>
      <c r="H17" s="171" t="s">
        <v>334</v>
      </c>
      <c r="I17" s="172" t="s">
        <v>335</v>
      </c>
      <c r="J17" s="172" t="s">
        <v>336</v>
      </c>
      <c r="K17" s="173" t="s">
        <v>196</v>
      </c>
      <c r="L17" s="173" t="s">
        <v>196</v>
      </c>
      <c r="M17" s="173"/>
      <c r="N17" s="173" t="s">
        <v>220</v>
      </c>
      <c r="O17" s="173" t="s">
        <v>337</v>
      </c>
      <c r="P17" s="174" t="s">
        <v>175</v>
      </c>
      <c r="Q17" s="175" t="s">
        <v>196</v>
      </c>
      <c r="R17" s="168" t="str">
        <f ca="1">IF(ISERROR($V17),"",OFFSET('Smelter Look-up'!$C$4,$V17-4,0)&amp;"")</f>
        <v>Dijllah Gold Refinery FZC</v>
      </c>
      <c r="S17" s="167" t="str">
        <f t="shared" ca="1" si="0"/>
        <v>AE</v>
      </c>
      <c r="T17" s="167" t="str">
        <f ca="1">IF(B17="","",IF(ISERROR(MATCH($J17,SorP!$B$1:$B$6230,0)),"",INDIRECT("'SorP'!$A$"&amp;MATCH($J17,SorP!$B$1:$B$6230,0))))</f>
        <v>AE-SH</v>
      </c>
      <c r="U17" s="176"/>
      <c r="V17" s="177">
        <f>IF(C17="",NA(),IF(OR(C17="Smelter not listed",C17="Smelter not yet identified"),MATCH($B17&amp;$D17,'Smelter Look-up'!$J:$J,0),MATCH($B17&amp;$C17,'Smelter Look-up'!$J:$J,0)))</f>
        <v>62</v>
      </c>
      <c r="X17" s="140">
        <f t="shared" si="1"/>
        <v>0</v>
      </c>
      <c r="AB17" s="178" t="str">
        <f t="shared" si="2"/>
        <v>GoldDijllah Gold Refinery FZC</v>
      </c>
    </row>
    <row r="18" spans="1:28" s="140" customFormat="1" ht="409.5">
      <c r="A18" s="167" t="s">
        <v>347</v>
      </c>
      <c r="B18" s="168" t="s">
        <v>133</v>
      </c>
      <c r="C18" s="169" t="s">
        <v>348</v>
      </c>
      <c r="D18" s="170" t="s">
        <v>348</v>
      </c>
      <c r="E18" s="168" t="s">
        <v>349</v>
      </c>
      <c r="F18" s="168" t="s">
        <v>347</v>
      </c>
      <c r="G18" s="168" t="s">
        <v>142</v>
      </c>
      <c r="H18" s="171" t="s">
        <v>350</v>
      </c>
      <c r="I18" s="172" t="s">
        <v>351</v>
      </c>
      <c r="J18" s="172" t="s">
        <v>352</v>
      </c>
      <c r="K18" s="173" t="s">
        <v>353</v>
      </c>
      <c r="L18" s="173" t="s">
        <v>354</v>
      </c>
      <c r="M18" s="173" t="s">
        <v>355</v>
      </c>
      <c r="N18" s="173" t="s">
        <v>356</v>
      </c>
      <c r="O18" s="173" t="s">
        <v>357</v>
      </c>
      <c r="P18" s="174" t="s">
        <v>151</v>
      </c>
      <c r="Q18" s="175" t="s">
        <v>358</v>
      </c>
      <c r="R18" s="168" t="str">
        <f ca="1">IF(ISERROR($V18),"",OFFSET('Smelter Look-up'!$C$4,$V18-4,0)&amp;"")</f>
        <v>Boliden AB</v>
      </c>
      <c r="S18" s="167" t="str">
        <f t="shared" ca="1" si="0"/>
        <v>SE</v>
      </c>
      <c r="T18" s="167" t="str">
        <f ca="1">IF(B18="","",IF(ISERROR(MATCH($J18,SorP!$B$1:$B$6230,0)),"",INDIRECT("'SorP'!$A$"&amp;MATCH($J18,SorP!$B$1:$B$6230,0))))</f>
        <v>SE-AC</v>
      </c>
      <c r="U18" s="176"/>
      <c r="V18" s="177">
        <f>IF(C18="",NA(),IF(OR(C18="Smelter not listed",C18="Smelter not yet identified"),MATCH($B18&amp;$D18,'Smelter Look-up'!$J:$J,0),MATCH($B18&amp;$C18,'Smelter Look-up'!$J:$J,0)))</f>
        <v>42</v>
      </c>
      <c r="X18" s="140">
        <f t="shared" si="1"/>
        <v>0</v>
      </c>
      <c r="AB18" s="178" t="str">
        <f t="shared" si="2"/>
        <v>GoldBoliden AB</v>
      </c>
    </row>
    <row r="19" spans="1:28" s="140" customFormat="1" ht="140.25">
      <c r="A19" s="167" t="s">
        <v>359</v>
      </c>
      <c r="B19" s="168" t="s">
        <v>133</v>
      </c>
      <c r="C19" s="169" t="s">
        <v>360</v>
      </c>
      <c r="D19" s="170" t="s">
        <v>360</v>
      </c>
      <c r="E19" s="168" t="s">
        <v>288</v>
      </c>
      <c r="F19" s="168" t="s">
        <v>359</v>
      </c>
      <c r="G19" s="168" t="s">
        <v>142</v>
      </c>
      <c r="H19" s="171" t="s">
        <v>361</v>
      </c>
      <c r="I19" s="172" t="s">
        <v>362</v>
      </c>
      <c r="J19" s="172" t="s">
        <v>363</v>
      </c>
      <c r="K19" s="173" t="s">
        <v>364</v>
      </c>
      <c r="L19" s="173" t="s">
        <v>365</v>
      </c>
      <c r="M19" s="173"/>
      <c r="N19" s="173" t="s">
        <v>220</v>
      </c>
      <c r="O19" s="173" t="s">
        <v>366</v>
      </c>
      <c r="P19" s="174" t="s">
        <v>175</v>
      </c>
      <c r="Q19" s="175" t="s">
        <v>196</v>
      </c>
      <c r="R19" s="168" t="str">
        <f ca="1">IF(ISERROR($V19),"",OFFSET('Smelter Look-up'!$C$4,$V19-4,0)&amp;"")</f>
        <v>Kazakhmys Smelting LLC</v>
      </c>
      <c r="S19" s="167" t="str">
        <f t="shared" ca="1" si="0"/>
        <v>KZ</v>
      </c>
      <c r="T19" s="167" t="str">
        <f ca="1">IF(B19="","",IF(ISERROR(MATCH($J19,SorP!$B$1:$B$6230,0)),"",INDIRECT("'SorP'!$A$"&amp;MATCH($J19,SorP!$B$1:$B$6230,0))))</f>
        <v>KZ-KAR</v>
      </c>
      <c r="U19" s="176"/>
      <c r="V19" s="177">
        <f>IF(C19="",NA(),IF(OR(C19="Smelter not listed",C19="Smelter not yet identified"),MATCH($B19&amp;$D19,'Smelter Look-up'!$J:$J,0),MATCH($B19&amp;$C19,'Smelter Look-up'!$J:$J,0)))</f>
        <v>136</v>
      </c>
      <c r="X19" s="140">
        <f t="shared" si="1"/>
        <v>0</v>
      </c>
      <c r="AB19" s="178" t="str">
        <f t="shared" si="2"/>
        <v>GoldKazakhmys Smelting LLC</v>
      </c>
    </row>
    <row r="20" spans="1:28" s="140" customFormat="1" ht="89.25">
      <c r="A20" s="167" t="s">
        <v>367</v>
      </c>
      <c r="B20" s="168" t="s">
        <v>133</v>
      </c>
      <c r="C20" s="169" t="s">
        <v>368</v>
      </c>
      <c r="D20" s="170" t="s">
        <v>368</v>
      </c>
      <c r="E20" s="168" t="s">
        <v>369</v>
      </c>
      <c r="F20" s="168" t="s">
        <v>367</v>
      </c>
      <c r="G20" s="168" t="s">
        <v>142</v>
      </c>
      <c r="H20" s="171" t="s">
        <v>114</v>
      </c>
      <c r="I20" s="172" t="s">
        <v>370</v>
      </c>
      <c r="J20" s="172" t="s">
        <v>370</v>
      </c>
      <c r="K20" s="173" t="s">
        <v>371</v>
      </c>
      <c r="L20" s="173" t="s">
        <v>372</v>
      </c>
      <c r="M20" s="173"/>
      <c r="N20" s="173" t="s">
        <v>373</v>
      </c>
      <c r="O20" s="173" t="s">
        <v>374</v>
      </c>
      <c r="P20" s="174" t="s">
        <v>121</v>
      </c>
      <c r="Q20" s="175" t="s">
        <v>196</v>
      </c>
      <c r="R20" s="168" t="str">
        <f ca="1">IF(ISERROR($V20),"",OFFSET('Smelter Look-up'!$C$4,$V20-4,0)&amp;"")</f>
        <v>Super Dragon Technology Co., Ltd.</v>
      </c>
      <c r="S20" s="167" t="str">
        <f t="shared" ca="1" si="0"/>
        <v>TW</v>
      </c>
      <c r="T20" s="167" t="str">
        <f ca="1">IF(B20="","",IF(ISERROR(MATCH($J20,SorP!$B$1:$B$6230,0)),"",INDIRECT("'SorP'!$A$"&amp;MATCH($J20,SorP!$B$1:$B$6230,0))))</f>
        <v>TW-TAO</v>
      </c>
      <c r="U20" s="176"/>
      <c r="V20" s="177">
        <f>IF(C20="",NA(),IF(OR(C20="Smelter not listed",C20="Smelter not yet identified"),MATCH($B20&amp;$D20,'Smelter Look-up'!$J:$J,0),MATCH($B20&amp;$C20,'Smelter Look-up'!$J:$J,0)))</f>
        <v>268</v>
      </c>
      <c r="X20" s="140">
        <f t="shared" si="1"/>
        <v>0</v>
      </c>
      <c r="AB20" s="178" t="str">
        <f t="shared" si="2"/>
        <v>GoldSuper Dragon Technology Co., Ltd.</v>
      </c>
    </row>
    <row r="21" spans="1:28" s="140" customFormat="1" ht="76.5">
      <c r="A21" s="167" t="s">
        <v>376</v>
      </c>
      <c r="B21" s="168" t="s">
        <v>133</v>
      </c>
      <c r="C21" s="169" t="s">
        <v>377</v>
      </c>
      <c r="D21" s="170" t="s">
        <v>378</v>
      </c>
      <c r="E21" s="168" t="s">
        <v>192</v>
      </c>
      <c r="F21" s="168" t="s">
        <v>376</v>
      </c>
      <c r="G21" s="168" t="s">
        <v>142</v>
      </c>
      <c r="H21" s="171" t="s">
        <v>114</v>
      </c>
      <c r="I21" s="172" t="s">
        <v>196</v>
      </c>
      <c r="J21" s="172" t="s">
        <v>196</v>
      </c>
      <c r="K21" s="173"/>
      <c r="L21" s="173"/>
      <c r="M21" s="173"/>
      <c r="N21" s="173" t="s">
        <v>121</v>
      </c>
      <c r="O21" s="173" t="s">
        <v>121</v>
      </c>
      <c r="P21" s="174" t="s">
        <v>121</v>
      </c>
      <c r="Q21" s="175"/>
      <c r="R21" s="168" t="str">
        <f ca="1">IF(ISERROR($V21),"",OFFSET('Smelter Look-up'!$C$4,$V21-4,0)&amp;"")</f>
        <v/>
      </c>
      <c r="S21" s="167" t="str">
        <f t="shared" ca="1" si="0"/>
        <v>CN</v>
      </c>
      <c r="T21" s="167" t="str">
        <f ca="1">IF(B21="","",IF(ISERROR(MATCH($J21,SorP!$B$1:$B$6230,0)),"",INDIRECT("'SorP'!$A$"&amp;MATCH($J21,SorP!$B$1:$B$6230,0))))</f>
        <v/>
      </c>
      <c r="U21" s="176"/>
      <c r="V21" s="177" t="e">
        <f>IF(C21="",NA(),IF(OR(C21="Smelter not listed",C21="Smelter not yet identified"),MATCH($B21&amp;$D21,'Smelter Look-up'!$J:$J,0),MATCH($B21&amp;$C21,'Smelter Look-up'!$J:$J,0)))</f>
        <v>#N/A</v>
      </c>
      <c r="X21" s="140">
        <f t="shared" si="1"/>
        <v>0</v>
      </c>
      <c r="AB21" s="178" t="str">
        <f t="shared" si="2"/>
        <v>GoldSuZhou ShenChuang recycling Ltd.</v>
      </c>
    </row>
    <row r="22" spans="1:28" s="140" customFormat="1" ht="102">
      <c r="A22" s="167" t="s">
        <v>379</v>
      </c>
      <c r="B22" s="168" t="s">
        <v>131</v>
      </c>
      <c r="C22" s="169" t="s">
        <v>380</v>
      </c>
      <c r="D22" s="170" t="s">
        <v>380</v>
      </c>
      <c r="E22" s="168" t="s">
        <v>192</v>
      </c>
      <c r="F22" s="168" t="s">
        <v>379</v>
      </c>
      <c r="G22" s="168" t="s">
        <v>142</v>
      </c>
      <c r="H22" s="171" t="s">
        <v>114</v>
      </c>
      <c r="I22" s="172" t="s">
        <v>381</v>
      </c>
      <c r="J22" s="172" t="s">
        <v>382</v>
      </c>
      <c r="K22" s="173"/>
      <c r="L22" s="173"/>
      <c r="M22" s="173"/>
      <c r="N22" s="173"/>
      <c r="O22" s="173"/>
      <c r="P22" s="174"/>
      <c r="Q22" s="175"/>
      <c r="R22" s="168" t="str">
        <f ca="1">IF(ISERROR($V22),"",OFFSET('Smelter Look-up'!$C$4,$V22-4,0)&amp;"")</f>
        <v>Guangdong Hanhe Non-Ferrous Metal Co., Ltd.</v>
      </c>
      <c r="S22" s="167" t="str">
        <f t="shared" ref="S22:S43" ca="1" si="3">IF(B22="","",IF(ISERROR(MATCH($E22,CL,0)),"Unknown",INDIRECT("'C'!$A$"&amp;MATCH($E22,CL,0)+1)))</f>
        <v>CN</v>
      </c>
      <c r="T22" s="167" t="str">
        <f ca="1">IF(B22="","",IF(ISERROR(MATCH($J22,SorP!$B$1:$B$6230,0)),"",INDIRECT("'SorP'!$A$"&amp;MATCH($J22,SorP!$B$1:$B$6230,0))))</f>
        <v>CN-GD</v>
      </c>
      <c r="U22" s="176"/>
      <c r="V22" s="177">
        <f>IF(C22="",NA(),IF(OR(C22="Smelter not listed",C22="Smelter not yet identified"),MATCH($B22&amp;$D22,'Smelter Look-up'!$J:$J,0),MATCH($B22&amp;$C22,'Smelter Look-up'!$J:$J,0)))</f>
        <v>439</v>
      </c>
      <c r="X22" s="140">
        <f t="shared" ref="X22:X43" si="4">IF(AND(C22="Smelter not listed",OR(LEN(D22)=0,LEN(E22)=0)),1,0)</f>
        <v>0</v>
      </c>
      <c r="AB22" s="178" t="str">
        <f t="shared" ref="AB22:AB43" si="5">B22&amp;C22</f>
        <v>TinGuangdong Hanhe Non-Ferrous Metal Co., Ltd.</v>
      </c>
    </row>
    <row r="23" spans="1:28" s="140" customFormat="1" ht="409.5">
      <c r="A23" s="167" t="s">
        <v>383</v>
      </c>
      <c r="B23" s="168" t="s">
        <v>133</v>
      </c>
      <c r="C23" s="169" t="s">
        <v>384</v>
      </c>
      <c r="D23" s="170" t="s">
        <v>384</v>
      </c>
      <c r="E23" s="168" t="s">
        <v>199</v>
      </c>
      <c r="F23" s="168" t="s">
        <v>383</v>
      </c>
      <c r="G23" s="168" t="s">
        <v>142</v>
      </c>
      <c r="H23" s="171" t="s">
        <v>385</v>
      </c>
      <c r="I23" s="172" t="s">
        <v>201</v>
      </c>
      <c r="J23" s="172" t="s">
        <v>202</v>
      </c>
      <c r="K23" s="173" t="s">
        <v>386</v>
      </c>
      <c r="L23" s="173" t="s">
        <v>387</v>
      </c>
      <c r="M23" s="173" t="s">
        <v>388</v>
      </c>
      <c r="N23" s="173" t="s">
        <v>389</v>
      </c>
      <c r="O23" s="173" t="s">
        <v>390</v>
      </c>
      <c r="P23" s="174" t="s">
        <v>151</v>
      </c>
      <c r="Q23" s="175" t="s">
        <v>391</v>
      </c>
      <c r="R23" s="168" t="str">
        <f ca="1">IF(ISERROR($V23),"",OFFSET('Smelter Look-up'!$C$4,$V23-4,0)&amp;"")</f>
        <v>Emirates Gold DMCC</v>
      </c>
      <c r="S23" s="167" t="str">
        <f t="shared" ca="1" si="3"/>
        <v>AE</v>
      </c>
      <c r="T23" s="167" t="str">
        <f ca="1">IF(B23="","",IF(ISERROR(MATCH($J23,SorP!$B$1:$B$6230,0)),"",INDIRECT("'SorP'!$A$"&amp;MATCH($J23,SorP!$B$1:$B$6230,0))))</f>
        <v>AE-DU</v>
      </c>
      <c r="U23" s="176"/>
      <c r="V23" s="177">
        <f>IF(C23="",NA(),IF(OR(C23="Smelter not listed",C23="Smelter not yet identified"),MATCH($B23&amp;$D23,'Smelter Look-up'!$J:$J,0),MATCH($B23&amp;$C23,'Smelter Look-up'!$J:$J,0)))</f>
        <v>81</v>
      </c>
      <c r="X23" s="140">
        <f t="shared" si="4"/>
        <v>0</v>
      </c>
      <c r="AB23" s="178" t="str">
        <f t="shared" si="5"/>
        <v>GoldEmirates Gold DMCC</v>
      </c>
    </row>
    <row r="24" spans="1:28" s="140" customFormat="1" ht="38.25">
      <c r="A24" s="167" t="s">
        <v>392</v>
      </c>
      <c r="B24" s="168" t="s">
        <v>133</v>
      </c>
      <c r="C24" s="169" t="s">
        <v>393</v>
      </c>
      <c r="D24" s="170" t="s">
        <v>393</v>
      </c>
      <c r="E24" s="168" t="s">
        <v>394</v>
      </c>
      <c r="F24" s="168" t="s">
        <v>392</v>
      </c>
      <c r="G24" s="168" t="s">
        <v>169</v>
      </c>
      <c r="H24" s="171" t="s">
        <v>114</v>
      </c>
      <c r="I24" s="172" t="s">
        <v>395</v>
      </c>
      <c r="J24" s="172" t="s">
        <v>396</v>
      </c>
      <c r="K24" s="173"/>
      <c r="L24" s="173"/>
      <c r="M24" s="173"/>
      <c r="N24" s="173"/>
      <c r="O24" s="173"/>
      <c r="P24" s="174"/>
      <c r="Q24" s="175" t="s">
        <v>397</v>
      </c>
      <c r="R24" s="168" t="str">
        <f ca="1">IF(ISERROR($V24),"",OFFSET('Smelter Look-up'!$C$4,$V24-4,0)&amp;"")</f>
        <v/>
      </c>
      <c r="S24" s="167" t="str">
        <f t="shared" ca="1" si="3"/>
        <v>IT</v>
      </c>
      <c r="T24" s="167" t="str">
        <f ca="1">IF(B24="","",IF(ISERROR(MATCH($J24,SorP!$B$1:$B$6230,0)),"",INDIRECT("'SorP'!$A$"&amp;MATCH($J24,SorP!$B$1:$B$6230,0))))</f>
        <v/>
      </c>
      <c r="U24" s="176"/>
      <c r="V24" s="177" t="e">
        <f>IF(C24="",NA(),IF(OR(C24="Smelter not listed",C24="Smelter not yet identified"),MATCH($B24&amp;$D24,'Smelter Look-up'!$J:$J,0),MATCH($B24&amp;$C24,'Smelter Look-up'!$J:$J,0)))</f>
        <v>#N/A</v>
      </c>
      <c r="X24" s="140">
        <f t="shared" si="4"/>
        <v>0</v>
      </c>
      <c r="AB24" s="178" t="str">
        <f t="shared" si="5"/>
        <v>GoldFaggi Enrico S.p.A.</v>
      </c>
    </row>
    <row r="25" spans="1:28" s="140" customFormat="1" ht="293.25">
      <c r="A25" s="167" t="s">
        <v>398</v>
      </c>
      <c r="B25" s="168" t="s">
        <v>133</v>
      </c>
      <c r="C25" s="169" t="s">
        <v>399</v>
      </c>
      <c r="D25" s="170" t="s">
        <v>399</v>
      </c>
      <c r="E25" s="168" t="s">
        <v>400</v>
      </c>
      <c r="F25" s="168" t="s">
        <v>398</v>
      </c>
      <c r="G25" s="168" t="s">
        <v>142</v>
      </c>
      <c r="H25" s="171" t="s">
        <v>401</v>
      </c>
      <c r="I25" s="172" t="s">
        <v>402</v>
      </c>
      <c r="J25" s="172" t="s">
        <v>403</v>
      </c>
      <c r="K25" s="173" t="s">
        <v>404</v>
      </c>
      <c r="L25" s="173" t="s">
        <v>405</v>
      </c>
      <c r="M25" s="173"/>
      <c r="N25" s="173" t="s">
        <v>229</v>
      </c>
      <c r="O25" s="173" t="s">
        <v>406</v>
      </c>
      <c r="P25" s="174" t="s">
        <v>175</v>
      </c>
      <c r="Q25" s="175" t="s">
        <v>196</v>
      </c>
      <c r="R25" s="168" t="str">
        <f ca="1">IF(ISERROR($V25),"",OFFSET('Smelter Look-up'!$C$4,$V25-4,0)&amp;"")</f>
        <v>Fidelity Printers and Refiners Ltd.</v>
      </c>
      <c r="S25" s="167" t="str">
        <f t="shared" ca="1" si="3"/>
        <v>ZW</v>
      </c>
      <c r="T25" s="167" t="str">
        <f ca="1">IF(B25="","",IF(ISERROR(MATCH($J25,SorP!$B$1:$B$6230,0)),"",INDIRECT("'SorP'!$A$"&amp;MATCH($J25,SorP!$B$1:$B$6230,0))))</f>
        <v>ZW-HA</v>
      </c>
      <c r="U25" s="176"/>
      <c r="V25" s="177">
        <f>IF(C25="",NA(),IF(OR(C25="Smelter not listed",C25="Smelter not yet identified"),MATCH($B25&amp;$D25,'Smelter Look-up'!$J:$J,0),MATCH($B25&amp;$C25,'Smelter Look-up'!$J:$J,0)))</f>
        <v>83</v>
      </c>
      <c r="X25" s="140">
        <f t="shared" si="4"/>
        <v>0</v>
      </c>
      <c r="AB25" s="178" t="str">
        <f t="shared" si="5"/>
        <v>GoldFidelity Printers and Refiners Ltd.</v>
      </c>
    </row>
    <row r="26" spans="1:28" s="140" customFormat="1" ht="318.75">
      <c r="A26" s="167" t="s">
        <v>407</v>
      </c>
      <c r="B26" s="168" t="s">
        <v>133</v>
      </c>
      <c r="C26" s="169" t="s">
        <v>408</v>
      </c>
      <c r="D26" s="170" t="s">
        <v>408</v>
      </c>
      <c r="E26" s="168" t="s">
        <v>192</v>
      </c>
      <c r="F26" s="168" t="s">
        <v>407</v>
      </c>
      <c r="G26" s="168" t="s">
        <v>142</v>
      </c>
      <c r="H26" s="171" t="s">
        <v>409</v>
      </c>
      <c r="I26" s="172" t="s">
        <v>410</v>
      </c>
      <c r="J26" s="172" t="s">
        <v>382</v>
      </c>
      <c r="K26" s="173" t="s">
        <v>411</v>
      </c>
      <c r="L26" s="173" t="s">
        <v>412</v>
      </c>
      <c r="M26" s="173" t="s">
        <v>173</v>
      </c>
      <c r="N26" s="173" t="s">
        <v>174</v>
      </c>
      <c r="O26" s="173" t="s">
        <v>413</v>
      </c>
      <c r="P26" s="174" t="s">
        <v>175</v>
      </c>
      <c r="Q26" s="175" t="s">
        <v>196</v>
      </c>
      <c r="R26" s="168" t="str">
        <f ca="1">IF(ISERROR($V26),"",OFFSET('Smelter Look-up'!$C$4,$V26-4,0)&amp;"")</f>
        <v>Guangdong Jinding Gold Limited</v>
      </c>
      <c r="S26" s="167" t="str">
        <f t="shared" ca="1" si="3"/>
        <v>CN</v>
      </c>
      <c r="T26" s="167" t="str">
        <f ca="1">IF(B26="","",IF(ISERROR(MATCH($J26,SorP!$B$1:$B$6230,0)),"",INDIRECT("'SorP'!$A$"&amp;MATCH($J26,SorP!$B$1:$B$6230,0))))</f>
        <v>CN-GD</v>
      </c>
      <c r="U26" s="176"/>
      <c r="V26" s="177">
        <f>IF(C26="",NA(),IF(OR(C26="Smelter not listed",C26="Smelter not yet identified"),MATCH($B26&amp;$D26,'Smelter Look-up'!$J:$J,0),MATCH($B26&amp;$C26,'Smelter Look-up'!$J:$J,0)))</f>
        <v>97</v>
      </c>
      <c r="X26" s="140">
        <f t="shared" si="4"/>
        <v>0</v>
      </c>
      <c r="AB26" s="178" t="str">
        <f t="shared" si="5"/>
        <v>GoldGuangdong Jinding Gold Limited</v>
      </c>
    </row>
    <row r="27" spans="1:28" s="140" customFormat="1" ht="191.25">
      <c r="A27" s="167" t="s">
        <v>414</v>
      </c>
      <c r="B27" s="168" t="s">
        <v>133</v>
      </c>
      <c r="C27" s="169" t="s">
        <v>415</v>
      </c>
      <c r="D27" s="170" t="s">
        <v>416</v>
      </c>
      <c r="E27" s="168" t="s">
        <v>192</v>
      </c>
      <c r="F27" s="168" t="s">
        <v>414</v>
      </c>
      <c r="G27" s="168" t="s">
        <v>142</v>
      </c>
      <c r="H27" s="171" t="s">
        <v>417</v>
      </c>
      <c r="I27" s="172" t="s">
        <v>418</v>
      </c>
      <c r="J27" s="172" t="s">
        <v>419</v>
      </c>
      <c r="K27" s="173" t="s">
        <v>420</v>
      </c>
      <c r="L27" s="173" t="s">
        <v>421</v>
      </c>
      <c r="M27" s="173"/>
      <c r="N27" s="173" t="s">
        <v>174</v>
      </c>
      <c r="O27" s="173" t="s">
        <v>422</v>
      </c>
      <c r="P27" s="174" t="s">
        <v>175</v>
      </c>
      <c r="Q27" s="175" t="s">
        <v>196</v>
      </c>
      <c r="R27" s="168" t="str">
        <f ca="1">IF(ISERROR($V27),"",OFFSET('Smelter Look-up'!$C$4,$V27-4,0)&amp;"")</f>
        <v>Guoda Safina High-Tech Environmental Refinery Co., Ltd.</v>
      </c>
      <c r="S27" s="167" t="str">
        <f t="shared" ca="1" si="3"/>
        <v>CN</v>
      </c>
      <c r="T27" s="167" t="str">
        <f ca="1">IF(B27="","",IF(ISERROR(MATCH($J27,SorP!$B$1:$B$6230,0)),"",INDIRECT("'SorP'!$A$"&amp;MATCH($J27,SorP!$B$1:$B$6230,0))))</f>
        <v>CN-SD</v>
      </c>
      <c r="U27" s="176"/>
      <c r="V27" s="177">
        <f>IF(C27="",NA(),IF(OR(C27="Smelter not listed",C27="Smelter not yet identified"),MATCH($B27&amp;$D27,'Smelter Look-up'!$J:$J,0),MATCH($B27&amp;$C27,'Smelter Look-up'!$J:$J,0)))</f>
        <v>240</v>
      </c>
      <c r="X27" s="140">
        <f t="shared" si="4"/>
        <v>0</v>
      </c>
      <c r="AB27" s="178" t="str">
        <f t="shared" si="5"/>
        <v>GoldShandong Guoda Gold Co., Ltd.</v>
      </c>
    </row>
    <row r="28" spans="1:28" s="140" customFormat="1" ht="331.5">
      <c r="A28" s="167" t="s">
        <v>423</v>
      </c>
      <c r="B28" s="168" t="s">
        <v>133</v>
      </c>
      <c r="C28" s="169" t="s">
        <v>424</v>
      </c>
      <c r="D28" s="170" t="s">
        <v>424</v>
      </c>
      <c r="E28" s="168" t="s">
        <v>192</v>
      </c>
      <c r="F28" s="168" t="s">
        <v>423</v>
      </c>
      <c r="G28" s="168" t="s">
        <v>142</v>
      </c>
      <c r="H28" s="171" t="s">
        <v>425</v>
      </c>
      <c r="I28" s="172" t="s">
        <v>426</v>
      </c>
      <c r="J28" s="172" t="s">
        <v>427</v>
      </c>
      <c r="K28" s="173" t="s">
        <v>428</v>
      </c>
      <c r="L28" s="173" t="s">
        <v>429</v>
      </c>
      <c r="M28" s="173"/>
      <c r="N28" s="173" t="s">
        <v>174</v>
      </c>
      <c r="O28" s="173" t="s">
        <v>430</v>
      </c>
      <c r="P28" s="174" t="s">
        <v>175</v>
      </c>
      <c r="Q28" s="175" t="s">
        <v>196</v>
      </c>
      <c r="R28" s="168" t="str">
        <f ca="1">IF(ISERROR($V28),"",OFFSET('Smelter Look-up'!$C$4,$V28-4,0)&amp;"")</f>
        <v>Hangzhou Fuchunjiang Smelting Co., Ltd.</v>
      </c>
      <c r="S28" s="167" t="str">
        <f t="shared" ca="1" si="3"/>
        <v>CN</v>
      </c>
      <c r="T28" s="167" t="str">
        <f ca="1">IF(B28="","",IF(ISERROR(MATCH($J28,SorP!$B$1:$B$6230,0)),"",INDIRECT("'SorP'!$A$"&amp;MATCH($J28,SorP!$B$1:$B$6230,0))))</f>
        <v>CN-ZJ</v>
      </c>
      <c r="U28" s="176"/>
      <c r="V28" s="177">
        <f>IF(C28="",NA(),IF(OR(C28="Smelter not listed",C28="Smelter not yet identified"),MATCH($B28&amp;$D28,'Smelter Look-up'!$J:$J,0),MATCH($B28&amp;$C28,'Smelter Look-up'!$J:$J,0)))</f>
        <v>100</v>
      </c>
      <c r="X28" s="140">
        <f t="shared" si="4"/>
        <v>0</v>
      </c>
      <c r="AB28" s="178" t="str">
        <f t="shared" si="5"/>
        <v>GoldHangzhou Fuchunjiang Smelting Co., Ltd.</v>
      </c>
    </row>
    <row r="29" spans="1:28" s="140" customFormat="1" ht="76.5">
      <c r="A29" s="167" t="s">
        <v>449</v>
      </c>
      <c r="B29" s="168" t="s">
        <v>133</v>
      </c>
      <c r="C29" s="169" t="s">
        <v>450</v>
      </c>
      <c r="D29" s="170" t="s">
        <v>450</v>
      </c>
      <c r="E29" s="168" t="s">
        <v>226</v>
      </c>
      <c r="F29" s="168" t="s">
        <v>449</v>
      </c>
      <c r="G29" s="168" t="s">
        <v>142</v>
      </c>
      <c r="H29" s="171" t="s">
        <v>451</v>
      </c>
      <c r="I29" s="172" t="s">
        <v>452</v>
      </c>
      <c r="J29" s="172" t="s">
        <v>453</v>
      </c>
      <c r="K29" s="173" t="s">
        <v>454</v>
      </c>
      <c r="L29" s="173" t="s">
        <v>455</v>
      </c>
      <c r="M29" s="173"/>
      <c r="N29" s="173" t="s">
        <v>229</v>
      </c>
      <c r="O29" s="173" t="s">
        <v>456</v>
      </c>
      <c r="P29" s="174" t="s">
        <v>121</v>
      </c>
      <c r="Q29" s="175" t="s">
        <v>196</v>
      </c>
      <c r="R29" s="168" t="str">
        <f ca="1">IF(ISERROR($V29),"",OFFSET('Smelter Look-up'!$C$4,$V29-4,0)&amp;"")</f>
        <v>Shirpur Gold Refinery Ltd.</v>
      </c>
      <c r="S29" s="167" t="str">
        <f t="shared" ca="1" si="3"/>
        <v>IN</v>
      </c>
      <c r="T29" s="167" t="str">
        <f ca="1">IF(B29="","",IF(ISERROR(MATCH($J29,SorP!$B$1:$B$6230,0)),"",INDIRECT("'SorP'!$A$"&amp;MATCH($J29,SorP!$B$1:$B$6230,0))))</f>
        <v>IN-MH</v>
      </c>
      <c r="U29" s="176"/>
      <c r="V29" s="177">
        <f>IF(C29="",NA(),IF(OR(C29="Smelter not listed",C29="Smelter not yet identified"),MATCH($B29&amp;$D29,'Smelter Look-up'!$J:$J,0),MATCH($B29&amp;$C29,'Smelter Look-up'!$J:$J,0)))</f>
        <v>250</v>
      </c>
      <c r="X29" s="140">
        <f t="shared" si="4"/>
        <v>0</v>
      </c>
      <c r="AB29" s="178" t="str">
        <f t="shared" si="5"/>
        <v>GoldShirpur Gold Refinery Ltd.</v>
      </c>
    </row>
    <row r="30" spans="1:28" s="140" customFormat="1" ht="382.5">
      <c r="A30" s="167" t="s">
        <v>461</v>
      </c>
      <c r="B30" s="168" t="s">
        <v>133</v>
      </c>
      <c r="C30" s="169" t="s">
        <v>462</v>
      </c>
      <c r="D30" s="170" t="s">
        <v>462</v>
      </c>
      <c r="E30" s="168" t="s">
        <v>394</v>
      </c>
      <c r="F30" s="168" t="s">
        <v>461</v>
      </c>
      <c r="G30" s="168" t="s">
        <v>142</v>
      </c>
      <c r="H30" s="171" t="s">
        <v>463</v>
      </c>
      <c r="I30" s="172" t="s">
        <v>464</v>
      </c>
      <c r="J30" s="172" t="s">
        <v>465</v>
      </c>
      <c r="K30" s="173" t="s">
        <v>466</v>
      </c>
      <c r="L30" s="173" t="s">
        <v>467</v>
      </c>
      <c r="M30" s="173" t="s">
        <v>468</v>
      </c>
      <c r="N30" s="173" t="s">
        <v>469</v>
      </c>
      <c r="O30" s="173" t="s">
        <v>470</v>
      </c>
      <c r="P30" s="174" t="s">
        <v>151</v>
      </c>
      <c r="Q30" s="175" t="s">
        <v>471</v>
      </c>
      <c r="R30" s="168" t="str">
        <f ca="1">IF(ISERROR($V30),"",OFFSET('Smelter Look-up'!$C$4,$V30-4,0)&amp;"")</f>
        <v>8853 S.p.A.</v>
      </c>
      <c r="S30" s="167" t="str">
        <f t="shared" ca="1" si="3"/>
        <v>IT</v>
      </c>
      <c r="T30" s="167" t="str">
        <f ca="1">IF(B30="","",IF(ISERROR(MATCH($J30,SorP!$B$1:$B$6230,0)),"",INDIRECT("'SorP'!$A$"&amp;MATCH($J30,SorP!$B$1:$B$6230,0))))</f>
        <v>IT-25</v>
      </c>
      <c r="U30" s="176"/>
      <c r="V30" s="177">
        <f>IF(C30="",NA(),IF(OR(C30="Smelter not listed",C30="Smelter not yet identified"),MATCH($B30&amp;$D30,'Smelter Look-up'!$J:$J,0),MATCH($B30&amp;$C30,'Smelter Look-up'!$J:$J,0)))</f>
        <v>5</v>
      </c>
      <c r="X30" s="140">
        <f t="shared" si="4"/>
        <v>0</v>
      </c>
      <c r="AB30" s="178" t="str">
        <f t="shared" si="5"/>
        <v>Gold8853 S.p.A.</v>
      </c>
    </row>
    <row r="31" spans="1:28" s="140" customFormat="1" ht="306">
      <c r="A31" s="167" t="s">
        <v>476</v>
      </c>
      <c r="B31" s="168" t="s">
        <v>133</v>
      </c>
      <c r="C31" s="169" t="s">
        <v>477</v>
      </c>
      <c r="D31" s="170" t="s">
        <v>477</v>
      </c>
      <c r="E31" s="168" t="s">
        <v>141</v>
      </c>
      <c r="F31" s="168" t="s">
        <v>476</v>
      </c>
      <c r="G31" s="168" t="s">
        <v>142</v>
      </c>
      <c r="H31" s="171" t="s">
        <v>478</v>
      </c>
      <c r="I31" s="172" t="s">
        <v>479</v>
      </c>
      <c r="J31" s="172" t="s">
        <v>480</v>
      </c>
      <c r="K31" s="173" t="s">
        <v>481</v>
      </c>
      <c r="L31" s="173" t="s">
        <v>482</v>
      </c>
      <c r="M31" s="173" t="s">
        <v>173</v>
      </c>
      <c r="N31" s="173" t="s">
        <v>174</v>
      </c>
      <c r="O31" s="173" t="s">
        <v>483</v>
      </c>
      <c r="P31" s="174" t="s">
        <v>175</v>
      </c>
      <c r="Q31" s="175" t="s">
        <v>484</v>
      </c>
      <c r="R31" s="168" t="str">
        <f ca="1">IF(ISERROR($V31),"",OFFSET('Smelter Look-up'!$C$4,$V31-4,0)&amp;"")</f>
        <v>Abington Reldan Metals, LLC</v>
      </c>
      <c r="S31" s="167" t="str">
        <f t="shared" ca="1" si="3"/>
        <v>US</v>
      </c>
      <c r="T31" s="167" t="str">
        <f ca="1">IF(B31="","",IF(ISERROR(MATCH($J31,SorP!$B$1:$B$6230,0)),"",INDIRECT("'SorP'!$A$"&amp;MATCH($J31,SorP!$B$1:$B$6230,0))))</f>
        <v>US-PA</v>
      </c>
      <c r="U31" s="176"/>
      <c r="V31" s="177">
        <f>IF(C31="",NA(),IF(OR(C31="Smelter not listed",C31="Smelter not yet identified"),MATCH($B31&amp;$D31,'Smelter Look-up'!$J:$J,0),MATCH($B31&amp;$C31,'Smelter Look-up'!$J:$J,0)))</f>
        <v>7</v>
      </c>
      <c r="X31" s="140">
        <f t="shared" si="4"/>
        <v>0</v>
      </c>
      <c r="AB31" s="178" t="str">
        <f t="shared" si="5"/>
        <v>GoldAbington Reldan Metals, LLC</v>
      </c>
    </row>
    <row r="32" spans="1:28" s="140" customFormat="1" ht="38.25">
      <c r="A32" s="167" t="s">
        <v>485</v>
      </c>
      <c r="B32" s="168" t="s">
        <v>133</v>
      </c>
      <c r="C32" s="169" t="s">
        <v>486</v>
      </c>
      <c r="D32" s="170" t="s">
        <v>486</v>
      </c>
      <c r="E32" s="168" t="s">
        <v>155</v>
      </c>
      <c r="F32" s="168" t="s">
        <v>485</v>
      </c>
      <c r="G32" s="168" t="s">
        <v>114</v>
      </c>
      <c r="H32" s="171" t="s">
        <v>114</v>
      </c>
      <c r="I32" s="172"/>
      <c r="J32" s="172" t="s">
        <v>114</v>
      </c>
      <c r="K32" s="173"/>
      <c r="L32" s="173"/>
      <c r="M32" s="173"/>
      <c r="N32" s="173"/>
      <c r="O32" s="173"/>
      <c r="P32" s="174"/>
      <c r="Q32" s="175"/>
      <c r="R32" s="168" t="str">
        <f ca="1">IF(ISERROR($V32),"",OFFSET('Smelter Look-up'!$C$4,$V32-4,0)&amp;"")</f>
        <v/>
      </c>
      <c r="S32" s="167" t="str">
        <f t="shared" ca="1" si="3"/>
        <v>JP</v>
      </c>
      <c r="T32" s="167" t="str">
        <f ca="1">IF(B32="","",IF(ISERROR(MATCH($J32,SorP!$B$1:$B$6230,0)),"",INDIRECT("'SorP'!$A$"&amp;MATCH($J32,SorP!$B$1:$B$6230,0))))</f>
        <v/>
      </c>
      <c r="U32" s="176"/>
      <c r="V32" s="177" t="e">
        <f>IF(C32="",NA(),IF(OR(C32="Smelter not listed",C32="Smelter not yet identified"),MATCH($B32&amp;$D32,'Smelter Look-up'!$J:$J,0),MATCH($B32&amp;$C32,'Smelter Look-up'!$J:$J,0)))</f>
        <v>#N/A</v>
      </c>
      <c r="X32" s="140">
        <f t="shared" si="4"/>
        <v>0</v>
      </c>
      <c r="AB32" s="178" t="str">
        <f t="shared" si="5"/>
        <v>GoldDai-ichi Seiko</v>
      </c>
    </row>
    <row r="33" spans="1:28" s="140" customFormat="1" ht="409.5">
      <c r="A33" s="167" t="s">
        <v>487</v>
      </c>
      <c r="B33" s="168" t="s">
        <v>133</v>
      </c>
      <c r="C33" s="169" t="s">
        <v>488</v>
      </c>
      <c r="D33" s="170" t="s">
        <v>489</v>
      </c>
      <c r="E33" s="168" t="s">
        <v>179</v>
      </c>
      <c r="F33" s="168" t="s">
        <v>487</v>
      </c>
      <c r="G33" s="168" t="s">
        <v>142</v>
      </c>
      <c r="H33" s="171" t="s">
        <v>490</v>
      </c>
      <c r="I33" s="172" t="s">
        <v>491</v>
      </c>
      <c r="J33" s="172" t="s">
        <v>491</v>
      </c>
      <c r="K33" s="173" t="s">
        <v>492</v>
      </c>
      <c r="L33" s="173" t="s">
        <v>493</v>
      </c>
      <c r="M33" s="173" t="s">
        <v>494</v>
      </c>
      <c r="N33" s="173" t="s">
        <v>495</v>
      </c>
      <c r="O33" s="173" t="s">
        <v>496</v>
      </c>
      <c r="P33" s="174" t="s">
        <v>151</v>
      </c>
      <c r="Q33" s="175" t="s">
        <v>497</v>
      </c>
      <c r="R33" s="168" t="str">
        <f ca="1">IF(ISERROR($V33),"",OFFSET('Smelter Look-up'!$C$4,$V33-4,0)&amp;"")</f>
        <v>Aurubis AG</v>
      </c>
      <c r="S33" s="167" t="str">
        <f t="shared" ca="1" si="3"/>
        <v>DE</v>
      </c>
      <c r="T33" s="167" t="str">
        <f ca="1">IF(B33="","",IF(ISERROR(MATCH($J33,SorP!$B$1:$B$6230,0)),"",INDIRECT("'SorP'!$A$"&amp;MATCH($J33,SorP!$B$1:$B$6230,0))))</f>
        <v>DE-HH</v>
      </c>
      <c r="U33" s="176"/>
      <c r="V33" s="177">
        <f>IF(C33="",NA(),IF(OR(C33="Smelter not listed",C33="Smelter not yet identified"),MATCH($B33&amp;$D33,'Smelter Look-up'!$J:$J,0),MATCH($B33&amp;$C33,'Smelter Look-up'!$J:$J,0)))</f>
        <v>195</v>
      </c>
      <c r="X33" s="140">
        <f t="shared" si="4"/>
        <v>0</v>
      </c>
      <c r="AB33" s="178" t="str">
        <f t="shared" si="5"/>
        <v>GoldNorddeutsche Affinererie AG</v>
      </c>
    </row>
    <row r="34" spans="1:28" s="140" customFormat="1" ht="409.5">
      <c r="A34" s="167" t="s">
        <v>498</v>
      </c>
      <c r="B34" s="168" t="s">
        <v>133</v>
      </c>
      <c r="C34" s="169" t="s">
        <v>499</v>
      </c>
      <c r="D34" s="170" t="s">
        <v>499</v>
      </c>
      <c r="E34" s="168" t="s">
        <v>394</v>
      </c>
      <c r="F34" s="168" t="s">
        <v>498</v>
      </c>
      <c r="G34" s="168" t="s">
        <v>142</v>
      </c>
      <c r="H34" s="171" t="s">
        <v>500</v>
      </c>
      <c r="I34" s="172" t="s">
        <v>501</v>
      </c>
      <c r="J34" s="172" t="s">
        <v>502</v>
      </c>
      <c r="K34" s="173" t="s">
        <v>503</v>
      </c>
      <c r="L34" s="173" t="s">
        <v>504</v>
      </c>
      <c r="M34" s="173" t="s">
        <v>505</v>
      </c>
      <c r="N34" s="173" t="s">
        <v>506</v>
      </c>
      <c r="O34" s="173" t="s">
        <v>507</v>
      </c>
      <c r="P34" s="174" t="s">
        <v>151</v>
      </c>
      <c r="Q34" s="175" t="s">
        <v>508</v>
      </c>
      <c r="R34" s="168" t="str">
        <f ca="1">IF(ISERROR($V34),"",OFFSET('Smelter Look-up'!$C$4,$V34-4,0)&amp;"")</f>
        <v>Chimet S.p.A.</v>
      </c>
      <c r="S34" s="167" t="str">
        <f t="shared" ca="1" si="3"/>
        <v>IT</v>
      </c>
      <c r="T34" s="167" t="str">
        <f ca="1">IF(B34="","",IF(ISERROR(MATCH($J34,SorP!$B$1:$B$6230,0)),"",INDIRECT("'SorP'!$A$"&amp;MATCH($J34,SorP!$B$1:$B$6230,0))))</f>
        <v>IT-52</v>
      </c>
      <c r="U34" s="176"/>
      <c r="V34" s="177">
        <f>IF(C34="",NA(),IF(OR(C34="Smelter not listed",C34="Smelter not yet identified"),MATCH($B34&amp;$D34,'Smelter Look-up'!$J:$J,0),MATCH($B34&amp;$C34,'Smelter Look-up'!$J:$J,0)))</f>
        <v>55</v>
      </c>
      <c r="X34" s="140">
        <f t="shared" si="4"/>
        <v>0</v>
      </c>
      <c r="AB34" s="178" t="str">
        <f t="shared" si="5"/>
        <v>GoldChimet S.p.A.</v>
      </c>
    </row>
    <row r="35" spans="1:28" s="140" customFormat="1" ht="89.25">
      <c r="A35" s="167" t="s">
        <v>509</v>
      </c>
      <c r="B35" s="168" t="s">
        <v>133</v>
      </c>
      <c r="C35" s="169" t="s">
        <v>510</v>
      </c>
      <c r="D35" s="170" t="s">
        <v>510</v>
      </c>
      <c r="E35" s="168" t="s">
        <v>192</v>
      </c>
      <c r="F35" s="168" t="s">
        <v>509</v>
      </c>
      <c r="G35" s="168" t="s">
        <v>114</v>
      </c>
      <c r="H35" s="171" t="s">
        <v>114</v>
      </c>
      <c r="I35" s="172"/>
      <c r="J35" s="172" t="s">
        <v>114</v>
      </c>
      <c r="K35" s="173"/>
      <c r="L35" s="173"/>
      <c r="M35" s="173"/>
      <c r="N35" s="173"/>
      <c r="O35" s="173"/>
      <c r="P35" s="174"/>
      <c r="Q35" s="175"/>
      <c r="R35" s="168" t="str">
        <f ca="1">IF(ISERROR($V35),"",OFFSET('Smelter Look-up'!$C$4,$V35-4,0)&amp;"")</f>
        <v/>
      </c>
      <c r="S35" s="167" t="str">
        <f t="shared" ca="1" si="3"/>
        <v>CN</v>
      </c>
      <c r="T35" s="167" t="str">
        <f ca="1">IF(B35="","",IF(ISERROR(MATCH($J35,SorP!$B$1:$B$6230,0)),"",INDIRECT("'SorP'!$A$"&amp;MATCH($J35,SorP!$B$1:$B$6230,0))))</f>
        <v/>
      </c>
      <c r="U35" s="176"/>
      <c r="V35" s="177" t="e">
        <f>IF(C35="",NA(),IF(OR(C35="Smelter not listed",C35="Smelter not yet identified"),MATCH($B35&amp;$D35,'Smelter Look-up'!$J:$J,0),MATCH($B35&amp;$C35,'Smelter Look-up'!$J:$J,0)))</f>
        <v>#N/A</v>
      </c>
      <c r="X35" s="140">
        <f t="shared" si="4"/>
        <v>0</v>
      </c>
      <c r="AB35" s="178" t="str">
        <f t="shared" si="5"/>
        <v>GoldChina National Gold Group Corporation</v>
      </c>
    </row>
    <row r="36" spans="1:28" s="140" customFormat="1" ht="293.25">
      <c r="A36" s="167" t="s">
        <v>513</v>
      </c>
      <c r="B36" s="168" t="s">
        <v>133</v>
      </c>
      <c r="C36" s="169" t="s">
        <v>514</v>
      </c>
      <c r="D36" s="170" t="s">
        <v>514</v>
      </c>
      <c r="E36" s="168" t="s">
        <v>199</v>
      </c>
      <c r="F36" s="168" t="s">
        <v>513</v>
      </c>
      <c r="G36" s="168" t="s">
        <v>142</v>
      </c>
      <c r="H36" s="171" t="s">
        <v>515</v>
      </c>
      <c r="I36" s="172" t="s">
        <v>516</v>
      </c>
      <c r="J36" s="172" t="s">
        <v>517</v>
      </c>
      <c r="K36" s="173" t="s">
        <v>518</v>
      </c>
      <c r="L36" s="173" t="s">
        <v>519</v>
      </c>
      <c r="M36" s="173"/>
      <c r="N36" s="173" t="s">
        <v>220</v>
      </c>
      <c r="O36" s="173" t="s">
        <v>520</v>
      </c>
      <c r="P36" s="174" t="s">
        <v>121</v>
      </c>
      <c r="Q36" s="175" t="s">
        <v>196</v>
      </c>
      <c r="R36" s="168" t="str">
        <f ca="1">IF(ISERROR($V36),"",OFFSET('Smelter Look-up'!$C$4,$V36-4,0)&amp;"")</f>
        <v>Fujairah Gold FZC</v>
      </c>
      <c r="S36" s="167" t="str">
        <f t="shared" ca="1" si="3"/>
        <v>AE</v>
      </c>
      <c r="T36" s="167" t="str">
        <f ca="1">IF(B36="","",IF(ISERROR(MATCH($J36,SorP!$B$1:$B$6230,0)),"",INDIRECT("'SorP'!$A$"&amp;MATCH($J36,SorP!$B$1:$B$6230,0))))</f>
        <v>AE-FU</v>
      </c>
      <c r="U36" s="176"/>
      <c r="V36" s="177">
        <f>IF(C36="",NA(),IF(OR(C36="Smelter not listed",C36="Smelter not yet identified"),MATCH($B36&amp;$D36,'Smelter Look-up'!$J:$J,0),MATCH($B36&amp;$C36,'Smelter Look-up'!$J:$J,0)))</f>
        <v>85</v>
      </c>
      <c r="X36" s="140">
        <f t="shared" si="4"/>
        <v>0</v>
      </c>
      <c r="AB36" s="178" t="str">
        <f t="shared" si="5"/>
        <v>GoldFujairah Gold FZC</v>
      </c>
    </row>
    <row r="37" spans="1:28" s="140" customFormat="1" ht="409.5">
      <c r="A37" s="167" t="s">
        <v>521</v>
      </c>
      <c r="B37" s="168" t="s">
        <v>133</v>
      </c>
      <c r="C37" s="169" t="s">
        <v>522</v>
      </c>
      <c r="D37" s="170" t="s">
        <v>522</v>
      </c>
      <c r="E37" s="168" t="s">
        <v>141</v>
      </c>
      <c r="F37" s="168" t="s">
        <v>521</v>
      </c>
      <c r="G37" s="168" t="s">
        <v>142</v>
      </c>
      <c r="H37" s="171" t="s">
        <v>523</v>
      </c>
      <c r="I37" s="172" t="s">
        <v>144</v>
      </c>
      <c r="J37" s="172" t="s">
        <v>145</v>
      </c>
      <c r="K37" s="173" t="s">
        <v>524</v>
      </c>
      <c r="L37" s="173" t="s">
        <v>525</v>
      </c>
      <c r="M37" s="173" t="s">
        <v>526</v>
      </c>
      <c r="N37" s="173" t="s">
        <v>527</v>
      </c>
      <c r="O37" s="173" t="s">
        <v>528</v>
      </c>
      <c r="P37" s="174" t="s">
        <v>164</v>
      </c>
      <c r="Q37" s="175" t="s">
        <v>529</v>
      </c>
      <c r="R37" s="168" t="str">
        <f ca="1">IF(ISERROR($V37),"",OFFSET('Smelter Look-up'!$C$4,$V37-4,0)&amp;"")</f>
        <v>Geib Refining Corporation</v>
      </c>
      <c r="S37" s="167" t="str">
        <f t="shared" ca="1" si="3"/>
        <v>US</v>
      </c>
      <c r="T37" s="167" t="str">
        <f ca="1">IF(B37="","",IF(ISERROR(MATCH($J37,SorP!$B$1:$B$6230,0)),"",INDIRECT("'SorP'!$A$"&amp;MATCH($J37,SorP!$B$1:$B$6230,0))))</f>
        <v>US-RI</v>
      </c>
      <c r="U37" s="176"/>
      <c r="V37" s="177">
        <f>IF(C37="",NA(),IF(OR(C37="Smelter not listed",C37="Smelter not yet identified"),MATCH($B37&amp;$D37,'Smelter Look-up'!$J:$J,0),MATCH($B37&amp;$C37,'Smelter Look-up'!$J:$J,0)))</f>
        <v>88</v>
      </c>
      <c r="X37" s="140">
        <f t="shared" si="4"/>
        <v>0</v>
      </c>
      <c r="AB37" s="178" t="str">
        <f t="shared" si="5"/>
        <v>GoldGeib Refining Corporation</v>
      </c>
    </row>
    <row r="38" spans="1:28" s="140" customFormat="1" ht="409.5">
      <c r="A38" s="167" t="s">
        <v>538</v>
      </c>
      <c r="B38" s="168" t="s">
        <v>133</v>
      </c>
      <c r="C38" s="169" t="s">
        <v>539</v>
      </c>
      <c r="D38" s="170" t="s">
        <v>539</v>
      </c>
      <c r="E38" s="168" t="s">
        <v>256</v>
      </c>
      <c r="F38" s="168" t="s">
        <v>538</v>
      </c>
      <c r="G38" s="168" t="s">
        <v>142</v>
      </c>
      <c r="H38" s="171" t="s">
        <v>540</v>
      </c>
      <c r="I38" s="172" t="s">
        <v>541</v>
      </c>
      <c r="J38" s="172" t="s">
        <v>542</v>
      </c>
      <c r="K38" s="173" t="s">
        <v>543</v>
      </c>
      <c r="L38" s="173" t="s">
        <v>544</v>
      </c>
      <c r="M38" s="173" t="s">
        <v>545</v>
      </c>
      <c r="N38" s="173" t="s">
        <v>546</v>
      </c>
      <c r="O38" s="173" t="s">
        <v>547</v>
      </c>
      <c r="P38" s="174" t="s">
        <v>151</v>
      </c>
      <c r="Q38" s="175" t="s">
        <v>548</v>
      </c>
      <c r="R38" s="168" t="str">
        <f ca="1">IF(ISERROR($V38),"",OFFSET('Smelter Look-up'!$C$4,$V38-4,0)&amp;"")</f>
        <v>LT Metal Ltd.</v>
      </c>
      <c r="S38" s="167" t="str">
        <f t="shared" ca="1" si="3"/>
        <v>KR</v>
      </c>
      <c r="T38" s="167" t="str">
        <f ca="1">IF(B38="","",IF(ISERROR(MATCH($J38,SorP!$B$1:$B$6230,0)),"",INDIRECT("'SorP'!$A$"&amp;MATCH($J38,SorP!$B$1:$B$6230,0))))</f>
        <v>KR-28</v>
      </c>
      <c r="U38" s="176"/>
      <c r="V38" s="177">
        <f>IF(C38="",NA(),IF(OR(C38="Smelter not listed",C38="Smelter not yet identified"),MATCH($B38&amp;$D38,'Smelter Look-up'!$J:$J,0),MATCH($B38&amp;$C38,'Smelter Look-up'!$J:$J,0)))</f>
        <v>159</v>
      </c>
      <c r="X38" s="140">
        <f t="shared" si="4"/>
        <v>0</v>
      </c>
      <c r="AB38" s="178" t="str">
        <f t="shared" si="5"/>
        <v>GoldLT Metal Ltd.</v>
      </c>
    </row>
    <row r="39" spans="1:28" s="140" customFormat="1" ht="114.75">
      <c r="A39" s="167" t="s">
        <v>549</v>
      </c>
      <c r="B39" s="168" t="s">
        <v>133</v>
      </c>
      <c r="C39" s="169" t="s">
        <v>550</v>
      </c>
      <c r="D39" s="170" t="s">
        <v>551</v>
      </c>
      <c r="E39" s="168" t="s">
        <v>192</v>
      </c>
      <c r="F39" s="168" t="s">
        <v>549</v>
      </c>
      <c r="G39" s="168" t="s">
        <v>142</v>
      </c>
      <c r="H39" s="171" t="s">
        <v>552</v>
      </c>
      <c r="I39" s="172" t="s">
        <v>553</v>
      </c>
      <c r="J39" s="172" t="s">
        <v>554</v>
      </c>
      <c r="K39" s="173" t="s">
        <v>555</v>
      </c>
      <c r="L39" s="173" t="s">
        <v>556</v>
      </c>
      <c r="M39" s="173"/>
      <c r="N39" s="173" t="s">
        <v>174</v>
      </c>
      <c r="O39" s="173" t="s">
        <v>557</v>
      </c>
      <c r="P39" s="174" t="s">
        <v>175</v>
      </c>
      <c r="Q39" s="175" t="s">
        <v>196</v>
      </c>
      <c r="R39" s="168" t="str">
        <f ca="1">IF(ISERROR($V39),"",OFFSET('Smelter Look-up'!$C$4,$V39-4,0)&amp;"")</f>
        <v>Luoyang Zijin Yinhui Gold Refinery Co., Ltd.</v>
      </c>
      <c r="S39" s="167" t="str">
        <f t="shared" ca="1" si="3"/>
        <v>CN</v>
      </c>
      <c r="T39" s="167" t="str">
        <f ca="1">IF(B39="","",IF(ISERROR(MATCH($J39,SorP!$B$1:$B$6230,0)),"",INDIRECT("'SorP'!$A$"&amp;MATCH($J39,SorP!$B$1:$B$6230,0))))</f>
        <v>CN-HA</v>
      </c>
      <c r="U39" s="176"/>
      <c r="V39" s="177">
        <f>IF(C39="",NA(),IF(OR(C39="Smelter not listed",C39="Smelter not yet identified"),MATCH($B39&amp;$D39,'Smelter Look-up'!$J:$J,0),MATCH($B39&amp;$C39,'Smelter Look-up'!$J:$J,0)))</f>
        <v>162</v>
      </c>
      <c r="X39" s="140">
        <f t="shared" si="4"/>
        <v>0</v>
      </c>
      <c r="AB39" s="178" t="str">
        <f t="shared" si="5"/>
        <v>GoldLuoyang Zijin Yinhui Metal Smelt Co Ltd</v>
      </c>
    </row>
    <row r="40" spans="1:28" s="140" customFormat="1" ht="76.5">
      <c r="A40" s="167" t="s">
        <v>558</v>
      </c>
      <c r="B40" s="168" t="s">
        <v>131</v>
      </c>
      <c r="C40" s="169" t="s">
        <v>559</v>
      </c>
      <c r="D40" s="170" t="s">
        <v>559</v>
      </c>
      <c r="E40" s="168" t="s">
        <v>192</v>
      </c>
      <c r="F40" s="168" t="s">
        <v>558</v>
      </c>
      <c r="G40" s="168" t="s">
        <v>142</v>
      </c>
      <c r="H40" s="171" t="s">
        <v>114</v>
      </c>
      <c r="I40" s="172" t="s">
        <v>196</v>
      </c>
      <c r="J40" s="172" t="s">
        <v>196</v>
      </c>
      <c r="K40" s="173"/>
      <c r="L40" s="173"/>
      <c r="M40" s="173"/>
      <c r="N40" s="173" t="s">
        <v>121</v>
      </c>
      <c r="O40" s="173" t="s">
        <v>121</v>
      </c>
      <c r="P40" s="174" t="s">
        <v>121</v>
      </c>
      <c r="Q40" s="175"/>
      <c r="R40" s="168" t="str">
        <f ca="1">IF(ISERROR($V40),"",OFFSET('Smelter Look-up'!$C$4,$V40-4,0)&amp;"")</f>
        <v/>
      </c>
      <c r="S40" s="167" t="str">
        <f t="shared" ca="1" si="3"/>
        <v>CN</v>
      </c>
      <c r="T40" s="167" t="str">
        <f ca="1">IF(B40="","",IF(ISERROR(MATCH($J40,SorP!$B$1:$B$6230,0)),"",INDIRECT("'SorP'!$A$"&amp;MATCH($J40,SorP!$B$1:$B$6230,0))))</f>
        <v/>
      </c>
      <c r="U40" s="176"/>
      <c r="V40" s="177" t="e">
        <f>IF(C40="",NA(),IF(OR(C40="Smelter not listed",C40="Smelter not yet identified"),MATCH($B40&amp;$D40,'Smelter Look-up'!$J:$J,0),MATCH($B40&amp;$C40,'Smelter Look-up'!$J:$J,0)))</f>
        <v>#N/A</v>
      </c>
      <c r="X40" s="140">
        <f t="shared" si="4"/>
        <v>0</v>
      </c>
      <c r="AB40" s="178" t="str">
        <f t="shared" si="5"/>
        <v>TinXianghualing Tin Industry Co., Ltd.</v>
      </c>
    </row>
    <row r="41" spans="1:28" s="140" customFormat="1" ht="76.5">
      <c r="A41" s="167" t="s">
        <v>560</v>
      </c>
      <c r="B41" s="168" t="s">
        <v>131</v>
      </c>
      <c r="C41" s="169" t="s">
        <v>561</v>
      </c>
      <c r="D41" s="170" t="s">
        <v>561</v>
      </c>
      <c r="E41" s="168" t="s">
        <v>192</v>
      </c>
      <c r="F41" s="168" t="s">
        <v>560</v>
      </c>
      <c r="G41" s="168" t="s">
        <v>142</v>
      </c>
      <c r="H41" s="171" t="s">
        <v>114</v>
      </c>
      <c r="I41" s="172" t="s">
        <v>196</v>
      </c>
      <c r="J41" s="172" t="s">
        <v>196</v>
      </c>
      <c r="K41" s="173"/>
      <c r="L41" s="173"/>
      <c r="M41" s="173"/>
      <c r="N41" s="173" t="s">
        <v>121</v>
      </c>
      <c r="O41" s="173" t="s">
        <v>121</v>
      </c>
      <c r="P41" s="174" t="s">
        <v>121</v>
      </c>
      <c r="Q41" s="175"/>
      <c r="R41" s="168" t="str">
        <f ca="1">IF(ISERROR($V41),"",OFFSET('Smelter Look-up'!$C$4,$V41-4,0)&amp;"")</f>
        <v/>
      </c>
      <c r="S41" s="167" t="str">
        <f t="shared" ca="1" si="3"/>
        <v>CN</v>
      </c>
      <c r="T41" s="167" t="str">
        <f ca="1">IF(B41="","",IF(ISERROR(MATCH($J41,SorP!$B$1:$B$6230,0)),"",INDIRECT("'SorP'!$A$"&amp;MATCH($J41,SorP!$B$1:$B$6230,0))))</f>
        <v/>
      </c>
      <c r="U41" s="176"/>
      <c r="V41" s="177" t="e">
        <f>IF(C41="",NA(),IF(OR(C41="Smelter not listed",C41="Smelter not yet identified"),MATCH($B41&amp;$D41,'Smelter Look-up'!$J:$J,0),MATCH($B41&amp;$C41,'Smelter Look-up'!$J:$J,0)))</f>
        <v>#N/A</v>
      </c>
      <c r="X41" s="140">
        <f t="shared" si="4"/>
        <v>0</v>
      </c>
      <c r="AB41" s="178" t="str">
        <f t="shared" si="5"/>
        <v>TinXin Furukawa Metal ( Wuxi ) Co., Ltd.</v>
      </c>
    </row>
    <row r="42" spans="1:28" s="140" customFormat="1" ht="20.25">
      <c r="A42" s="167" t="s">
        <v>562</v>
      </c>
      <c r="B42" s="168" t="s">
        <v>131</v>
      </c>
      <c r="C42" s="169" t="s">
        <v>563</v>
      </c>
      <c r="D42" s="170" t="s">
        <v>564</v>
      </c>
      <c r="E42" s="168" t="s">
        <v>192</v>
      </c>
      <c r="F42" s="168" t="s">
        <v>562</v>
      </c>
      <c r="G42" s="168" t="s">
        <v>142</v>
      </c>
      <c r="H42" s="171" t="s">
        <v>114</v>
      </c>
      <c r="I42" s="172" t="s">
        <v>196</v>
      </c>
      <c r="J42" s="172" t="s">
        <v>196</v>
      </c>
      <c r="K42" s="173"/>
      <c r="L42" s="173"/>
      <c r="M42" s="173"/>
      <c r="N42" s="173" t="s">
        <v>121</v>
      </c>
      <c r="O42" s="173" t="s">
        <v>121</v>
      </c>
      <c r="P42" s="174" t="s">
        <v>121</v>
      </c>
      <c r="Q42" s="175"/>
      <c r="R42" s="168" t="str">
        <f ca="1">IF(ISERROR($V42),"",OFFSET('Smelter Look-up'!$C$4,$V42-4,0)&amp;"")</f>
        <v/>
      </c>
      <c r="S42" s="167" t="str">
        <f t="shared" ca="1" si="3"/>
        <v>CN</v>
      </c>
      <c r="T42" s="167" t="str">
        <f ca="1">IF(B42="","",IF(ISERROR(MATCH($J42,SorP!$B$1:$B$6230,0)),"",INDIRECT("'SorP'!$A$"&amp;MATCH($J42,SorP!$B$1:$B$6230,0))))</f>
        <v/>
      </c>
      <c r="U42" s="176"/>
      <c r="V42" s="177" t="e">
        <f>IF(C42="",NA(),IF(OR(C42="Smelter not listed",C42="Smelter not yet identified"),MATCH($B42&amp;$D42,'Smelter Look-up'!$J:$J,0),MATCH($B42&amp;$C42,'Smelter Look-up'!$J:$J,0)))</f>
        <v>#N/A</v>
      </c>
      <c r="X42" s="140">
        <f t="shared" si="4"/>
        <v>0</v>
      </c>
      <c r="AB42" s="178" t="str">
        <f t="shared" si="5"/>
        <v>TinXURI</v>
      </c>
    </row>
    <row r="43" spans="1:28" s="140" customFormat="1" ht="25.5">
      <c r="A43" s="167" t="s">
        <v>565</v>
      </c>
      <c r="B43" s="168" t="s">
        <v>131</v>
      </c>
      <c r="C43" s="169" t="s">
        <v>566</v>
      </c>
      <c r="D43" s="170" t="s">
        <v>566</v>
      </c>
      <c r="E43" s="168" t="s">
        <v>192</v>
      </c>
      <c r="F43" s="168" t="s">
        <v>565</v>
      </c>
      <c r="G43" s="168" t="s">
        <v>142</v>
      </c>
      <c r="H43" s="171" t="s">
        <v>114</v>
      </c>
      <c r="I43" s="172" t="s">
        <v>196</v>
      </c>
      <c r="J43" s="172" t="s">
        <v>196</v>
      </c>
      <c r="K43" s="173"/>
      <c r="L43" s="173"/>
      <c r="M43" s="173"/>
      <c r="N43" s="173" t="s">
        <v>121</v>
      </c>
      <c r="O43" s="173" t="s">
        <v>121</v>
      </c>
      <c r="P43" s="174" t="s">
        <v>121</v>
      </c>
      <c r="Q43" s="175"/>
      <c r="R43" s="168" t="str">
        <f ca="1">IF(ISERROR($V43),"",OFFSET('Smelter Look-up'!$C$4,$V43-4,0)&amp;"")</f>
        <v/>
      </c>
      <c r="S43" s="167" t="str">
        <f t="shared" ca="1" si="3"/>
        <v>CN</v>
      </c>
      <c r="T43" s="167" t="str">
        <f ca="1">IF(B43="","",IF(ISERROR(MATCH($J43,SorP!$B$1:$B$6230,0)),"",INDIRECT("'SorP'!$A$"&amp;MATCH($J43,SorP!$B$1:$B$6230,0))))</f>
        <v/>
      </c>
      <c r="U43" s="176"/>
      <c r="V43" s="177" t="e">
        <f>IF(C43="",NA(),IF(OR(C43="Smelter not listed",C43="Smelter not yet identified"),MATCH($B43&amp;$D43,'Smelter Look-up'!$J:$J,0),MATCH($B43&amp;$C43,'Smelter Look-up'!$J:$J,0)))</f>
        <v>#N/A</v>
      </c>
      <c r="X43" s="140">
        <f t="shared" si="4"/>
        <v>0</v>
      </c>
      <c r="AB43" s="178" t="str">
        <f t="shared" si="5"/>
        <v>TinYifeng Tin</v>
      </c>
    </row>
    <row r="44" spans="1:28" s="140" customFormat="1" ht="409.5">
      <c r="A44" s="167" t="s">
        <v>567</v>
      </c>
      <c r="B44" s="168" t="s">
        <v>133</v>
      </c>
      <c r="C44" s="169" t="s">
        <v>568</v>
      </c>
      <c r="D44" s="170" t="s">
        <v>568</v>
      </c>
      <c r="E44" s="168" t="s">
        <v>155</v>
      </c>
      <c r="F44" s="168" t="s">
        <v>567</v>
      </c>
      <c r="G44" s="168" t="s">
        <v>142</v>
      </c>
      <c r="H44" s="171" t="s">
        <v>569</v>
      </c>
      <c r="I44" s="172" t="s">
        <v>570</v>
      </c>
      <c r="J44" s="172" t="s">
        <v>265</v>
      </c>
      <c r="K44" s="173" t="s">
        <v>571</v>
      </c>
      <c r="L44" s="173" t="s">
        <v>572</v>
      </c>
      <c r="M44" s="173" t="s">
        <v>573</v>
      </c>
      <c r="N44" s="173" t="s">
        <v>574</v>
      </c>
      <c r="O44" s="173" t="s">
        <v>575</v>
      </c>
      <c r="P44" s="174" t="s">
        <v>164</v>
      </c>
      <c r="Q44" s="175" t="s">
        <v>576</v>
      </c>
      <c r="R44" s="168" t="str">
        <f ca="1">IF(ISERROR($V44),"",OFFSET('Smelter Look-up'!$C$4,$V44-4,0)&amp;"")</f>
        <v>Matsuda Sangyo Co., Ltd.</v>
      </c>
      <c r="S44" s="167" t="str">
        <f t="shared" ref="S44:S64" ca="1" si="6">IF(B44="","",IF(ISERROR(MATCH($E44,CL,0)),"Unknown",INDIRECT("'C'!$A$"&amp;MATCH($E44,CL,0)+1)))</f>
        <v>JP</v>
      </c>
      <c r="T44" s="167" t="str">
        <f ca="1">IF(B44="","",IF(ISERROR(MATCH($J44,SorP!$B$1:$B$6230,0)),"",INDIRECT("'SorP'!$A$"&amp;MATCH($J44,SorP!$B$1:$B$6230,0))))</f>
        <v>JP-11</v>
      </c>
      <c r="U44" s="176"/>
      <c r="V44" s="177">
        <f>IF(C44="",NA(),IF(OR(C44="Smelter not listed",C44="Smelter not yet identified"),MATCH($B44&amp;$D44,'Smelter Look-up'!$J:$J,0),MATCH($B44&amp;$C44,'Smelter Look-up'!$J:$J,0)))</f>
        <v>165</v>
      </c>
      <c r="X44" s="140">
        <f t="shared" ref="X44:X64" si="7">IF(AND(C44="Smelter not listed",OR(LEN(D44)=0,LEN(E44)=0)),1,0)</f>
        <v>0</v>
      </c>
      <c r="AB44" s="178" t="str">
        <f t="shared" ref="AB44:AB64" si="8">B44&amp;C44</f>
        <v>GoldMatsuda Sangyo Co., Ltd.</v>
      </c>
    </row>
    <row r="45" spans="1:28" s="140" customFormat="1" ht="63.75">
      <c r="A45" s="167" t="s">
        <v>581</v>
      </c>
      <c r="B45" s="168" t="s">
        <v>133</v>
      </c>
      <c r="C45" s="169" t="s">
        <v>582</v>
      </c>
      <c r="D45" s="170" t="s">
        <v>582</v>
      </c>
      <c r="E45" s="168" t="s">
        <v>583</v>
      </c>
      <c r="F45" s="168" t="s">
        <v>581</v>
      </c>
      <c r="G45" s="168" t="s">
        <v>142</v>
      </c>
      <c r="H45" s="171" t="s">
        <v>114</v>
      </c>
      <c r="I45" s="172" t="s">
        <v>584</v>
      </c>
      <c r="J45" s="172" t="s">
        <v>585</v>
      </c>
      <c r="K45" s="173"/>
      <c r="L45" s="173"/>
      <c r="M45" s="173"/>
      <c r="N45" s="173"/>
      <c r="O45" s="173"/>
      <c r="P45" s="174"/>
      <c r="Q45" s="175"/>
      <c r="R45" s="168" t="str">
        <f ca="1">IF(ISERROR($V45),"",OFFSET('Smelter Look-up'!$C$4,$V45-4,0)&amp;"")</f>
        <v/>
      </c>
      <c r="S45" s="167" t="str">
        <f t="shared" ca="1" si="6"/>
        <v>MY</v>
      </c>
      <c r="T45" s="167" t="str">
        <f ca="1">IF(B45="","",IF(ISERROR(MATCH($J45,SorP!$B$1:$B$6230,0)),"",INDIRECT("'SorP'!$A$"&amp;MATCH($J45,SorP!$B$1:$B$6230,0))))</f>
        <v>MY-01</v>
      </c>
      <c r="U45" s="176"/>
      <c r="V45" s="177" t="e">
        <f>IF(C45="",NA(),IF(OR(C45="Smelter not listed",C45="Smelter not yet identified"),MATCH($B45&amp;$D45,'Smelter Look-up'!$J:$J,0),MATCH($B45&amp;$C45,'Smelter Look-up'!$J:$J,0)))</f>
        <v>#N/A</v>
      </c>
      <c r="X45" s="140">
        <f t="shared" si="7"/>
        <v>0</v>
      </c>
      <c r="AB45" s="178" t="str">
        <f t="shared" si="8"/>
        <v>GoldMetahub Industries Sdn. Bhd.</v>
      </c>
    </row>
    <row r="46" spans="1:28" s="140" customFormat="1" ht="409.5">
      <c r="A46" s="167" t="s">
        <v>590</v>
      </c>
      <c r="B46" s="168" t="s">
        <v>133</v>
      </c>
      <c r="C46" s="169" t="s">
        <v>591</v>
      </c>
      <c r="D46" s="170" t="s">
        <v>591</v>
      </c>
      <c r="E46" s="168" t="s">
        <v>433</v>
      </c>
      <c r="F46" s="168" t="s">
        <v>590</v>
      </c>
      <c r="G46" s="168" t="s">
        <v>142</v>
      </c>
      <c r="H46" s="171" t="s">
        <v>592</v>
      </c>
      <c r="I46" s="172" t="s">
        <v>593</v>
      </c>
      <c r="J46" s="172" t="s">
        <v>594</v>
      </c>
      <c r="K46" s="173" t="s">
        <v>595</v>
      </c>
      <c r="L46" s="173" t="s">
        <v>596</v>
      </c>
      <c r="M46" s="173" t="s">
        <v>597</v>
      </c>
      <c r="N46" s="173" t="s">
        <v>598</v>
      </c>
      <c r="O46" s="173" t="s">
        <v>599</v>
      </c>
      <c r="P46" s="174" t="s">
        <v>600</v>
      </c>
      <c r="Q46" s="175" t="s">
        <v>601</v>
      </c>
      <c r="R46" s="168" t="str">
        <f ca="1">IF(ISERROR($V46),"",OFFSET('Smelter Look-up'!$C$4,$V46-4,0)&amp;"")</f>
        <v>Marsam Metals</v>
      </c>
      <c r="S46" s="167" t="str">
        <f t="shared" ca="1" si="6"/>
        <v>BR</v>
      </c>
      <c r="T46" s="167" t="str">
        <f ca="1">IF(B46="","",IF(ISERROR(MATCH($J46,SorP!$B$1:$B$6230,0)),"",INDIRECT("'SorP'!$A$"&amp;MATCH($J46,SorP!$B$1:$B$6230,0))))</f>
        <v>BR-SP</v>
      </c>
      <c r="U46" s="176"/>
      <c r="V46" s="177">
        <f>IF(C46="",NA(),IF(OR(C46="Smelter not listed",C46="Smelter not yet identified"),MATCH($B46&amp;$D46,'Smelter Look-up'!$J:$J,0),MATCH($B46&amp;$C46,'Smelter Look-up'!$J:$J,0)))</f>
        <v>163</v>
      </c>
      <c r="X46" s="140">
        <f t="shared" si="7"/>
        <v>0</v>
      </c>
      <c r="AB46" s="178" t="str">
        <f t="shared" si="8"/>
        <v>GoldMarsam Metals</v>
      </c>
    </row>
    <row r="47" spans="1:28" s="140" customFormat="1" ht="409.5">
      <c r="A47" s="167" t="s">
        <v>602</v>
      </c>
      <c r="B47" s="168" t="s">
        <v>133</v>
      </c>
      <c r="C47" s="169" t="s">
        <v>603</v>
      </c>
      <c r="D47" s="170" t="s">
        <v>603</v>
      </c>
      <c r="E47" s="168" t="s">
        <v>141</v>
      </c>
      <c r="F47" s="168" t="s">
        <v>602</v>
      </c>
      <c r="G47" s="168" t="s">
        <v>142</v>
      </c>
      <c r="H47" s="171" t="s">
        <v>604</v>
      </c>
      <c r="I47" s="172" t="s">
        <v>605</v>
      </c>
      <c r="J47" s="172" t="s">
        <v>606</v>
      </c>
      <c r="K47" s="173" t="s">
        <v>607</v>
      </c>
      <c r="L47" s="173" t="s">
        <v>608</v>
      </c>
      <c r="M47" s="173" t="s">
        <v>609</v>
      </c>
      <c r="N47" s="173" t="s">
        <v>610</v>
      </c>
      <c r="O47" s="173" t="s">
        <v>611</v>
      </c>
      <c r="P47" s="174" t="s">
        <v>164</v>
      </c>
      <c r="Q47" s="175" t="s">
        <v>612</v>
      </c>
      <c r="R47" s="168" t="str">
        <f ca="1">IF(ISERROR($V47),"",OFFSET('Smelter Look-up'!$C$4,$V47-4,0)&amp;"")</f>
        <v>Materion</v>
      </c>
      <c r="S47" s="167" t="str">
        <f t="shared" ca="1" si="6"/>
        <v>US</v>
      </c>
      <c r="T47" s="167" t="str">
        <f ca="1">IF(B47="","",IF(ISERROR(MATCH($J47,SorP!$B$1:$B$6230,0)),"",INDIRECT("'SorP'!$A$"&amp;MATCH($J47,SorP!$B$1:$B$6230,0))))</f>
        <v>US-NY</v>
      </c>
      <c r="U47" s="176"/>
      <c r="V47" s="177">
        <f>IF(C47="",NA(),IF(OR(C47="Smelter not listed",C47="Smelter not yet identified"),MATCH($B47&amp;$D47,'Smelter Look-up'!$J:$J,0),MATCH($B47&amp;$C47,'Smelter Look-up'!$J:$J,0)))</f>
        <v>164</v>
      </c>
      <c r="X47" s="140">
        <f t="shared" si="7"/>
        <v>0</v>
      </c>
      <c r="AB47" s="178" t="str">
        <f t="shared" si="8"/>
        <v>GoldMaterion</v>
      </c>
    </row>
    <row r="48" spans="1:28" s="140" customFormat="1" ht="76.5">
      <c r="A48" s="167" t="s">
        <v>613</v>
      </c>
      <c r="B48" s="168" t="s">
        <v>131</v>
      </c>
      <c r="C48" s="169" t="s">
        <v>614</v>
      </c>
      <c r="D48" s="170" t="s">
        <v>614</v>
      </c>
      <c r="E48" s="168" t="s">
        <v>192</v>
      </c>
      <c r="F48" s="168" t="s">
        <v>613</v>
      </c>
      <c r="G48" s="168" t="s">
        <v>142</v>
      </c>
      <c r="H48" s="171" t="s">
        <v>114</v>
      </c>
      <c r="I48" s="172" t="s">
        <v>196</v>
      </c>
      <c r="J48" s="172" t="s">
        <v>196</v>
      </c>
      <c r="K48" s="173"/>
      <c r="L48" s="173"/>
      <c r="M48" s="173"/>
      <c r="N48" s="173" t="s">
        <v>121</v>
      </c>
      <c r="O48" s="173" t="s">
        <v>121</v>
      </c>
      <c r="P48" s="174" t="s">
        <v>121</v>
      </c>
      <c r="Q48" s="175"/>
      <c r="R48" s="168" t="str">
        <f ca="1">IF(ISERROR($V48),"",OFFSET('Smelter Look-up'!$C$4,$V48-4,0)&amp;"")</f>
        <v/>
      </c>
      <c r="S48" s="167" t="str">
        <f t="shared" ca="1" si="6"/>
        <v>CN</v>
      </c>
      <c r="T48" s="167" t="str">
        <f ca="1">IF(B48="","",IF(ISERROR(MATCH($J48,SorP!$B$1:$B$6230,0)),"",INDIRECT("'SorP'!$A$"&amp;MATCH($J48,SorP!$B$1:$B$6230,0))))</f>
        <v/>
      </c>
      <c r="U48" s="176"/>
      <c r="V48" s="177" t="e">
        <f>IF(C48="",NA(),IF(OR(C48="Smelter not listed",C48="Smelter not yet identified"),MATCH($B48&amp;$D48,'Smelter Look-up'!$J:$J,0),MATCH($B48&amp;$C48,'Smelter Look-up'!$J:$J,0)))</f>
        <v>#N/A</v>
      </c>
      <c r="X48" s="140">
        <f t="shared" si="7"/>
        <v>0</v>
      </c>
      <c r="AB48" s="178" t="str">
        <f t="shared" si="8"/>
        <v>TinYunnan Chengo Electric Smelting Plant</v>
      </c>
    </row>
    <row r="49" spans="1:28" s="140" customFormat="1" ht="89.25">
      <c r="A49" s="167" t="s">
        <v>615</v>
      </c>
      <c r="B49" s="168" t="s">
        <v>131</v>
      </c>
      <c r="C49" s="169" t="s">
        <v>616</v>
      </c>
      <c r="D49" s="170" t="s">
        <v>616</v>
      </c>
      <c r="E49" s="168" t="s">
        <v>192</v>
      </c>
      <c r="F49" s="168" t="s">
        <v>615</v>
      </c>
      <c r="G49" s="168" t="s">
        <v>142</v>
      </c>
      <c r="H49" s="171" t="s">
        <v>114</v>
      </c>
      <c r="I49" s="172" t="s">
        <v>196</v>
      </c>
      <c r="J49" s="172" t="s">
        <v>196</v>
      </c>
      <c r="K49" s="173"/>
      <c r="L49" s="173"/>
      <c r="M49" s="173"/>
      <c r="N49" s="173" t="s">
        <v>121</v>
      </c>
      <c r="O49" s="173" t="s">
        <v>121</v>
      </c>
      <c r="P49" s="174" t="s">
        <v>121</v>
      </c>
      <c r="Q49" s="175"/>
      <c r="R49" s="168" t="str">
        <f ca="1">IF(ISERROR($V49),"",OFFSET('Smelter Look-up'!$C$4,$V49-4,0)&amp;"")</f>
        <v/>
      </c>
      <c r="S49" s="167" t="str">
        <f t="shared" ca="1" si="6"/>
        <v>CN</v>
      </c>
      <c r="T49" s="167" t="str">
        <f ca="1">IF(B49="","",IF(ISERROR(MATCH($J49,SorP!$B$1:$B$6230,0)),"",INDIRECT("'SorP'!$A$"&amp;MATCH($J49,SorP!$B$1:$B$6230,0))))</f>
        <v/>
      </c>
      <c r="U49" s="176"/>
      <c r="V49" s="177" t="e">
        <f>IF(C49="",NA(),IF(OR(C49="Smelter not listed",C49="Smelter not yet identified"),MATCH($B49&amp;$D49,'Smelter Look-up'!$J:$J,0),MATCH($B49&amp;$C49,'Smelter Look-up'!$J:$J,0)))</f>
        <v>#N/A</v>
      </c>
      <c r="X49" s="140">
        <f t="shared" si="7"/>
        <v>0</v>
      </c>
      <c r="AB49" s="178" t="str">
        <f t="shared" si="8"/>
        <v>TinYunnan Copper Zinc Industry Co., Ltd.</v>
      </c>
    </row>
    <row r="50" spans="1:28" s="140" customFormat="1" ht="409.5">
      <c r="A50" s="167" t="s">
        <v>617</v>
      </c>
      <c r="B50" s="168" t="s">
        <v>133</v>
      </c>
      <c r="C50" s="169" t="s">
        <v>618</v>
      </c>
      <c r="D50" s="170" t="s">
        <v>618</v>
      </c>
      <c r="E50" s="168" t="s">
        <v>511</v>
      </c>
      <c r="F50" s="168" t="s">
        <v>617</v>
      </c>
      <c r="G50" s="168" t="s">
        <v>142</v>
      </c>
      <c r="H50" s="171" t="s">
        <v>619</v>
      </c>
      <c r="I50" s="172" t="s">
        <v>620</v>
      </c>
      <c r="J50" s="172" t="s">
        <v>621</v>
      </c>
      <c r="K50" s="173" t="s">
        <v>622</v>
      </c>
      <c r="L50" s="173" t="s">
        <v>623</v>
      </c>
      <c r="M50" s="173" t="s">
        <v>624</v>
      </c>
      <c r="N50" s="173" t="s">
        <v>625</v>
      </c>
      <c r="O50" s="173" t="s">
        <v>626</v>
      </c>
      <c r="P50" s="174" t="s">
        <v>151</v>
      </c>
      <c r="Q50" s="175" t="s">
        <v>627</v>
      </c>
      <c r="R50" s="168" t="str">
        <f ca="1">IF(ISERROR($V50),"",OFFSET('Smelter Look-up'!$C$4,$V50-4,0)&amp;"")</f>
        <v>Planta Recuperadora de Metales SpA</v>
      </c>
      <c r="S50" s="167" t="str">
        <f t="shared" ca="1" si="6"/>
        <v>CL</v>
      </c>
      <c r="T50" s="167" t="str">
        <f ca="1">IF(B50="","",IF(ISERROR(MATCH($J50,SorP!$B$1:$B$6230,0)),"",INDIRECT("'SorP'!$A$"&amp;MATCH($J50,SorP!$B$1:$B$6230,0))))</f>
        <v>CL-AN</v>
      </c>
      <c r="U50" s="176"/>
      <c r="V50" s="177">
        <f>IF(C50="",NA(),IF(OR(C50="Smelter not listed",C50="Smelter not yet identified"),MATCH($B50&amp;$D50,'Smelter Look-up'!$J:$J,0),MATCH($B50&amp;$C50,'Smelter Look-up'!$J:$J,0)))</f>
        <v>208</v>
      </c>
      <c r="X50" s="140">
        <f t="shared" si="7"/>
        <v>0</v>
      </c>
      <c r="AB50" s="178" t="str">
        <f t="shared" si="8"/>
        <v>GoldPlanta Recuperadora de Metales SpA</v>
      </c>
    </row>
    <row r="51" spans="1:28" s="140" customFormat="1" ht="409.5">
      <c r="A51" s="167" t="s">
        <v>630</v>
      </c>
      <c r="B51" s="168" t="s">
        <v>133</v>
      </c>
      <c r="C51" s="169" t="s">
        <v>631</v>
      </c>
      <c r="D51" s="170" t="s">
        <v>632</v>
      </c>
      <c r="E51" s="168" t="s">
        <v>443</v>
      </c>
      <c r="F51" s="168" t="s">
        <v>630</v>
      </c>
      <c r="G51" s="168" t="s">
        <v>142</v>
      </c>
      <c r="H51" s="171" t="s">
        <v>633</v>
      </c>
      <c r="I51" s="172" t="s">
        <v>634</v>
      </c>
      <c r="J51" s="172" t="s">
        <v>635</v>
      </c>
      <c r="K51" s="173" t="s">
        <v>636</v>
      </c>
      <c r="L51" s="173" t="s">
        <v>637</v>
      </c>
      <c r="M51" s="173" t="s">
        <v>638</v>
      </c>
      <c r="N51" s="173" t="s">
        <v>639</v>
      </c>
      <c r="O51" s="173" t="s">
        <v>640</v>
      </c>
      <c r="P51" s="174" t="s">
        <v>151</v>
      </c>
      <c r="Q51" s="175" t="s">
        <v>641</v>
      </c>
      <c r="R51" s="168" t="str">
        <f ca="1">IF(ISERROR($V51),"",OFFSET('Smelter Look-up'!$C$4,$V51-4,0)&amp;"")</f>
        <v/>
      </c>
      <c r="S51" s="167" t="str">
        <f t="shared" ca="1" si="6"/>
        <v>CH</v>
      </c>
      <c r="T51" s="167" t="str">
        <f ca="1">IF(B51="","",IF(ISERROR(MATCH($J51,SorP!$B$1:$B$6230,0)),"",INDIRECT("'SorP'!$A$"&amp;MATCH($J51,SorP!$B$1:$B$6230,0))))</f>
        <v>CH-NE</v>
      </c>
      <c r="U51" s="176"/>
      <c r="V51" s="177" t="e">
        <f>IF(C51="",NA(),IF(OR(C51="Smelter not listed",C51="Smelter not yet identified"),MATCH($B51&amp;$D51,'Smelter Look-up'!$J:$J,0),MATCH($B51&amp;$C51,'Smelter Look-up'!$J:$J,0)))</f>
        <v>#N/A</v>
      </c>
      <c r="X51" s="140">
        <f t="shared" si="7"/>
        <v>0</v>
      </c>
      <c r="AB51" s="178" t="str">
        <f t="shared" si="8"/>
        <v>GoldPX Précinox SA</v>
      </c>
    </row>
    <row r="52" spans="1:28" s="140" customFormat="1" ht="344.25">
      <c r="A52" s="167" t="s">
        <v>647</v>
      </c>
      <c r="B52" s="168" t="s">
        <v>133</v>
      </c>
      <c r="C52" s="169" t="s">
        <v>648</v>
      </c>
      <c r="D52" s="170" t="s">
        <v>648</v>
      </c>
      <c r="E52" s="168" t="s">
        <v>649</v>
      </c>
      <c r="F52" s="168" t="s">
        <v>647</v>
      </c>
      <c r="G52" s="168" t="s">
        <v>142</v>
      </c>
      <c r="H52" s="171" t="s">
        <v>650</v>
      </c>
      <c r="I52" s="172" t="s">
        <v>651</v>
      </c>
      <c r="J52" s="172" t="s">
        <v>652</v>
      </c>
      <c r="K52" s="173" t="s">
        <v>653</v>
      </c>
      <c r="L52" s="173" t="s">
        <v>654</v>
      </c>
      <c r="M52" s="173" t="s">
        <v>655</v>
      </c>
      <c r="N52" s="173" t="s">
        <v>656</v>
      </c>
      <c r="O52" s="173" t="s">
        <v>657</v>
      </c>
      <c r="P52" s="174" t="s">
        <v>151</v>
      </c>
      <c r="Q52" s="175" t="s">
        <v>658</v>
      </c>
      <c r="R52" s="168" t="str">
        <f ca="1">IF(ISERROR($V52),"",OFFSET('Smelter Look-up'!$C$4,$V52-4,0)&amp;"")</f>
        <v>Navoi Mining and Metallurgical Combinat</v>
      </c>
      <c r="S52" s="167" t="str">
        <f t="shared" ca="1" si="6"/>
        <v>UZ</v>
      </c>
      <c r="T52" s="167" t="str">
        <f ca="1">IF(B52="","",IF(ISERROR(MATCH($J52,SorP!$B$1:$B$6230,0)),"",INDIRECT("'SorP'!$A$"&amp;MATCH($J52,SorP!$B$1:$B$6230,0))))</f>
        <v>UZ-NW</v>
      </c>
      <c r="U52" s="176"/>
      <c r="V52" s="177">
        <f>IF(C52="",NA(),IF(OR(C52="Smelter not listed",C52="Smelter not yet identified"),MATCH($B52&amp;$D52,'Smelter Look-up'!$J:$J,0),MATCH($B52&amp;$C52,'Smelter Look-up'!$J:$J,0)))</f>
        <v>191</v>
      </c>
      <c r="X52" s="140">
        <f t="shared" si="7"/>
        <v>0</v>
      </c>
      <c r="AB52" s="178" t="str">
        <f t="shared" si="8"/>
        <v>GoldNavoi Mining and Metallurgical Combinat</v>
      </c>
    </row>
    <row r="53" spans="1:28" s="140" customFormat="1" ht="191.25">
      <c r="A53" s="167" t="s">
        <v>659</v>
      </c>
      <c r="B53" s="168" t="s">
        <v>133</v>
      </c>
      <c r="C53" s="169" t="s">
        <v>660</v>
      </c>
      <c r="D53" s="170" t="s">
        <v>660</v>
      </c>
      <c r="E53" s="168" t="s">
        <v>256</v>
      </c>
      <c r="F53" s="168" t="s">
        <v>659</v>
      </c>
      <c r="G53" s="168" t="s">
        <v>142</v>
      </c>
      <c r="H53" s="171" t="s">
        <v>661</v>
      </c>
      <c r="I53" s="172" t="s">
        <v>662</v>
      </c>
      <c r="J53" s="172" t="s">
        <v>258</v>
      </c>
      <c r="K53" s="173" t="s">
        <v>663</v>
      </c>
      <c r="L53" s="173" t="s">
        <v>664</v>
      </c>
      <c r="M53" s="173" t="s">
        <v>665</v>
      </c>
      <c r="N53" s="173" t="s">
        <v>666</v>
      </c>
      <c r="O53" s="173" t="s">
        <v>667</v>
      </c>
      <c r="P53" s="174" t="s">
        <v>668</v>
      </c>
      <c r="Q53" s="175" t="s">
        <v>669</v>
      </c>
      <c r="R53" s="168" t="str">
        <f ca="1">IF(ISERROR($V53),"",OFFSET('Smelter Look-up'!$C$4,$V53-4,0)&amp;"")</f>
        <v>NH Recytech Company</v>
      </c>
      <c r="S53" s="167" t="str">
        <f t="shared" ca="1" si="6"/>
        <v>KR</v>
      </c>
      <c r="T53" s="167" t="str">
        <f ca="1">IF(B53="","",IF(ISERROR(MATCH($J53,SorP!$B$1:$B$6230,0)),"",INDIRECT("'SorP'!$A$"&amp;MATCH($J53,SorP!$B$1:$B$6230,0))))</f>
        <v>KR-41</v>
      </c>
      <c r="U53" s="176"/>
      <c r="V53" s="177">
        <f>IF(C53="",NA(),IF(OR(C53="Smelter not listed",C53="Smelter not yet identified"),MATCH($B53&amp;$D53,'Smelter Look-up'!$J:$J,0),MATCH($B53&amp;$C53,'Smelter Look-up'!$J:$J,0)))</f>
        <v>192</v>
      </c>
      <c r="X53" s="140">
        <f t="shared" si="7"/>
        <v>0</v>
      </c>
      <c r="AB53" s="178" t="str">
        <f t="shared" si="8"/>
        <v>GoldNH Recytech Company</v>
      </c>
    </row>
    <row r="54" spans="1:28" s="140" customFormat="1" ht="409.5">
      <c r="A54" s="167" t="s">
        <v>670</v>
      </c>
      <c r="B54" s="168" t="s">
        <v>133</v>
      </c>
      <c r="C54" s="169" t="s">
        <v>671</v>
      </c>
      <c r="D54" s="170" t="s">
        <v>671</v>
      </c>
      <c r="E54" s="168" t="s">
        <v>155</v>
      </c>
      <c r="F54" s="168" t="s">
        <v>670</v>
      </c>
      <c r="G54" s="168" t="s">
        <v>142</v>
      </c>
      <c r="H54" s="171" t="s">
        <v>672</v>
      </c>
      <c r="I54" s="172" t="s">
        <v>673</v>
      </c>
      <c r="J54" s="172" t="s">
        <v>674</v>
      </c>
      <c r="K54" s="173" t="s">
        <v>675</v>
      </c>
      <c r="L54" s="173" t="s">
        <v>676</v>
      </c>
      <c r="M54" s="173" t="s">
        <v>677</v>
      </c>
      <c r="N54" s="173" t="s">
        <v>678</v>
      </c>
      <c r="O54" s="173" t="s">
        <v>679</v>
      </c>
      <c r="P54" s="174" t="s">
        <v>164</v>
      </c>
      <c r="Q54" s="175" t="s">
        <v>680</v>
      </c>
      <c r="R54" s="168" t="str">
        <f ca="1">IF(ISERROR($V54),"",OFFSET('Smelter Look-up'!$C$4,$V54-4,0)&amp;"")</f>
        <v>Nihon Material Co., Ltd.</v>
      </c>
      <c r="S54" s="167" t="str">
        <f t="shared" ca="1" si="6"/>
        <v>JP</v>
      </c>
      <c r="T54" s="167" t="str">
        <f ca="1">IF(B54="","",IF(ISERROR(MATCH($J54,SorP!$B$1:$B$6230,0)),"",INDIRECT("'SorP'!$A$"&amp;MATCH($J54,SorP!$B$1:$B$6230,0))))</f>
        <v>JP-12</v>
      </c>
      <c r="U54" s="176"/>
      <c r="V54" s="177">
        <f>IF(C54="",NA(),IF(OR(C54="Smelter not listed",C54="Smelter not yet identified"),MATCH($B54&amp;$D54,'Smelter Look-up'!$J:$J,0),MATCH($B54&amp;$C54,'Smelter Look-up'!$J:$J,0)))</f>
        <v>193</v>
      </c>
      <c r="X54" s="140">
        <f t="shared" si="7"/>
        <v>0</v>
      </c>
      <c r="AB54" s="178" t="str">
        <f t="shared" si="8"/>
        <v>GoldNihon Material Co., Ltd.</v>
      </c>
    </row>
    <row r="55" spans="1:28" s="140" customFormat="1" ht="409.5">
      <c r="A55" s="167" t="s">
        <v>685</v>
      </c>
      <c r="B55" s="168" t="s">
        <v>133</v>
      </c>
      <c r="C55" s="169" t="s">
        <v>686</v>
      </c>
      <c r="D55" s="170" t="s">
        <v>687</v>
      </c>
      <c r="E55" s="168" t="s">
        <v>443</v>
      </c>
      <c r="F55" s="168" t="s">
        <v>685</v>
      </c>
      <c r="G55" s="168" t="s">
        <v>142</v>
      </c>
      <c r="H55" s="171" t="s">
        <v>688</v>
      </c>
      <c r="I55" s="172" t="s">
        <v>689</v>
      </c>
      <c r="J55" s="172" t="s">
        <v>445</v>
      </c>
      <c r="K55" s="173" t="s">
        <v>690</v>
      </c>
      <c r="L55" s="173" t="s">
        <v>691</v>
      </c>
      <c r="M55" s="173" t="s">
        <v>692</v>
      </c>
      <c r="N55" s="173" t="s">
        <v>693</v>
      </c>
      <c r="O55" s="173" t="s">
        <v>694</v>
      </c>
      <c r="P55" s="174" t="s">
        <v>151</v>
      </c>
      <c r="Q55" s="175" t="s">
        <v>695</v>
      </c>
      <c r="R55" s="168" t="str">
        <f ca="1">IF(ISERROR($V55),"",OFFSET('Smelter Look-up'!$C$4,$V55-4,0)&amp;"")</f>
        <v/>
      </c>
      <c r="S55" s="167" t="str">
        <f t="shared" ca="1" si="6"/>
        <v>CH</v>
      </c>
      <c r="T55" s="167" t="str">
        <f ca="1">IF(B55="","",IF(ISERROR(MATCH($J55,SorP!$B$1:$B$6230,0)),"",INDIRECT("'SorP'!$A$"&amp;MATCH($J55,SorP!$B$1:$B$6230,0))))</f>
        <v>CH-TI</v>
      </c>
      <c r="U55" s="176"/>
      <c r="V55" s="177" t="e">
        <f>IF(C55="",NA(),IF(OR(C55="Smelter not listed",C55="Smelter not yet identified"),MATCH($B55&amp;$D55,'Smelter Look-up'!$J:$J,0),MATCH($B55&amp;$C55,'Smelter Look-up'!$J:$J,0)))</f>
        <v>#N/A</v>
      </c>
      <c r="X55" s="140">
        <f t="shared" si="7"/>
        <v>0</v>
      </c>
      <c r="AB55" s="178" t="str">
        <f t="shared" si="8"/>
        <v>GoldPAMP SA</v>
      </c>
    </row>
    <row r="56" spans="1:28" s="140" customFormat="1" ht="89.25">
      <c r="A56" s="167" t="s">
        <v>696</v>
      </c>
      <c r="B56" s="168" t="s">
        <v>133</v>
      </c>
      <c r="C56" s="169" t="s">
        <v>697</v>
      </c>
      <c r="D56" s="170" t="s">
        <v>697</v>
      </c>
      <c r="E56" s="168" t="s">
        <v>141</v>
      </c>
      <c r="F56" s="168" t="s">
        <v>696</v>
      </c>
      <c r="G56" s="168" t="s">
        <v>142</v>
      </c>
      <c r="H56" s="171" t="s">
        <v>698</v>
      </c>
      <c r="I56" s="172" t="s">
        <v>144</v>
      </c>
      <c r="J56" s="172" t="s">
        <v>145</v>
      </c>
      <c r="K56" s="173" t="s">
        <v>699</v>
      </c>
      <c r="L56" s="173" t="s">
        <v>700</v>
      </c>
      <c r="M56" s="173" t="s">
        <v>173</v>
      </c>
      <c r="N56" s="173" t="s">
        <v>220</v>
      </c>
      <c r="O56" s="173" t="s">
        <v>701</v>
      </c>
      <c r="P56" s="174" t="s">
        <v>175</v>
      </c>
      <c r="Q56" s="175" t="s">
        <v>196</v>
      </c>
      <c r="R56" s="168" t="str">
        <f ca="1">IF(ISERROR($V56),"",OFFSET('Smelter Look-up'!$C$4,$V56-4,0)&amp;"")</f>
        <v>Pease &amp; Curren</v>
      </c>
      <c r="S56" s="167" t="str">
        <f t="shared" ca="1" si="6"/>
        <v>US</v>
      </c>
      <c r="T56" s="167" t="str">
        <f ca="1">IF(B56="","",IF(ISERROR(MATCH($J56,SorP!$B$1:$B$6230,0)),"",INDIRECT("'SorP'!$A$"&amp;MATCH($J56,SorP!$B$1:$B$6230,0))))</f>
        <v>US-RI</v>
      </c>
      <c r="U56" s="176"/>
      <c r="V56" s="177">
        <f>IF(C56="",NA(),IF(OR(C56="Smelter not listed",C56="Smelter not yet identified"),MATCH($B56&amp;$D56,'Smelter Look-up'!$J:$J,0),MATCH($B56&amp;$C56,'Smelter Look-up'!$J:$J,0)))</f>
        <v>204</v>
      </c>
      <c r="X56" s="140">
        <f t="shared" si="7"/>
        <v>0</v>
      </c>
      <c r="AB56" s="178" t="str">
        <f t="shared" si="8"/>
        <v>GoldPease &amp; Curren</v>
      </c>
    </row>
    <row r="57" spans="1:28" s="140" customFormat="1" ht="409.5">
      <c r="A57" s="167" t="s">
        <v>705</v>
      </c>
      <c r="B57" s="168" t="s">
        <v>130</v>
      </c>
      <c r="C57" s="169" t="s">
        <v>706</v>
      </c>
      <c r="D57" s="170" t="s">
        <v>706</v>
      </c>
      <c r="E57" s="168" t="s">
        <v>192</v>
      </c>
      <c r="F57" s="168" t="s">
        <v>705</v>
      </c>
      <c r="G57" s="168" t="s">
        <v>142</v>
      </c>
      <c r="H57" s="171" t="s">
        <v>707</v>
      </c>
      <c r="I57" s="172" t="s">
        <v>708</v>
      </c>
      <c r="J57" s="172" t="s">
        <v>709</v>
      </c>
      <c r="K57" s="173" t="s">
        <v>710</v>
      </c>
      <c r="L57" s="173" t="s">
        <v>711</v>
      </c>
      <c r="M57" s="173" t="s">
        <v>712</v>
      </c>
      <c r="N57" s="173" t="s">
        <v>713</v>
      </c>
      <c r="O57" s="173" t="s">
        <v>714</v>
      </c>
      <c r="P57" s="174" t="s">
        <v>715</v>
      </c>
      <c r="Q57" s="175" t="s">
        <v>716</v>
      </c>
      <c r="R57" s="168" t="str">
        <f ca="1">IF(ISERROR($V57),"",OFFSET('Smelter Look-up'!$C$4,$V57-4,0)&amp;"")</f>
        <v>FIR Metals &amp; Resource Ltd.</v>
      </c>
      <c r="S57" s="167" t="str">
        <f t="shared" ca="1" si="6"/>
        <v>CN</v>
      </c>
      <c r="T57" s="167" t="str">
        <f ca="1">IF(B57="","",IF(ISERROR(MATCH($J57,SorP!$B$1:$B$6230,0)),"",INDIRECT("'SorP'!$A$"&amp;MATCH($J57,SorP!$B$1:$B$6230,0))))</f>
        <v>CN-HN</v>
      </c>
      <c r="U57" s="176"/>
      <c r="V57" s="177">
        <f>IF(C57="",NA(),IF(OR(C57="Smelter not listed",C57="Smelter not yet identified"),MATCH($B57&amp;$D57,'Smelter Look-up'!$J:$J,0),MATCH($B57&amp;$C57,'Smelter Look-up'!$J:$J,0)))</f>
        <v>331</v>
      </c>
      <c r="X57" s="140">
        <f t="shared" si="7"/>
        <v>0</v>
      </c>
      <c r="AB57" s="178" t="str">
        <f t="shared" si="8"/>
        <v>TantalumFIR Metals &amp; Resource Ltd.</v>
      </c>
    </row>
    <row r="58" spans="1:28" s="140" customFormat="1" ht="409.5">
      <c r="A58" s="167" t="s">
        <v>718</v>
      </c>
      <c r="B58" s="168" t="s">
        <v>130</v>
      </c>
      <c r="C58" s="169" t="s">
        <v>719</v>
      </c>
      <c r="D58" s="170" t="s">
        <v>719</v>
      </c>
      <c r="E58" s="168" t="s">
        <v>433</v>
      </c>
      <c r="F58" s="168" t="s">
        <v>718</v>
      </c>
      <c r="G58" s="168" t="s">
        <v>142</v>
      </c>
      <c r="H58" s="171" t="s">
        <v>720</v>
      </c>
      <c r="I58" s="172" t="s">
        <v>721</v>
      </c>
      <c r="J58" s="172" t="s">
        <v>435</v>
      </c>
      <c r="K58" s="173" t="s">
        <v>722</v>
      </c>
      <c r="L58" s="173" t="s">
        <v>723</v>
      </c>
      <c r="M58" s="173" t="s">
        <v>724</v>
      </c>
      <c r="N58" s="173" t="s">
        <v>725</v>
      </c>
      <c r="O58" s="173" t="s">
        <v>726</v>
      </c>
      <c r="P58" s="174" t="s">
        <v>715</v>
      </c>
      <c r="Q58" s="175" t="s">
        <v>727</v>
      </c>
      <c r="R58" s="168" t="str">
        <f ca="1">IF(ISERROR($V58),"",OFFSET('Smelter Look-up'!$C$4,$V58-4,0)&amp;"")</f>
        <v>AMG Brasil</v>
      </c>
      <c r="S58" s="167" t="str">
        <f t="shared" ca="1" si="6"/>
        <v>BR</v>
      </c>
      <c r="T58" s="167" t="str">
        <f ca="1">IF(B58="","",IF(ISERROR(MATCH($J58,SorP!$B$1:$B$6230,0)),"",INDIRECT("'SorP'!$A$"&amp;MATCH($J58,SorP!$B$1:$B$6230,0))))</f>
        <v>BR-MG</v>
      </c>
      <c r="U58" s="176"/>
      <c r="V58" s="177">
        <f>IF(C58="",NA(),IF(OR(C58="Smelter not listed",C58="Smelter not yet identified"),MATCH($B58&amp;$D58,'Smelter Look-up'!$J:$J,0),MATCH($B58&amp;$C58,'Smelter Look-up'!$J:$J,0)))</f>
        <v>350</v>
      </c>
      <c r="X58" s="140">
        <f t="shared" si="7"/>
        <v>0</v>
      </c>
      <c r="AB58" s="178" t="str">
        <f t="shared" si="8"/>
        <v>TantalumLSM Brasil S.A.</v>
      </c>
    </row>
    <row r="59" spans="1:28" s="140" customFormat="1" ht="409.5">
      <c r="A59" s="167" t="s">
        <v>733</v>
      </c>
      <c r="B59" s="168" t="s">
        <v>133</v>
      </c>
      <c r="C59" s="169" t="s">
        <v>734</v>
      </c>
      <c r="D59" s="170" t="s">
        <v>735</v>
      </c>
      <c r="E59" s="168" t="s">
        <v>168</v>
      </c>
      <c r="F59" s="168" t="s">
        <v>733</v>
      </c>
      <c r="G59" s="168" t="s">
        <v>142</v>
      </c>
      <c r="H59" s="171" t="s">
        <v>736</v>
      </c>
      <c r="I59" s="172" t="s">
        <v>737</v>
      </c>
      <c r="J59" s="172" t="s">
        <v>172</v>
      </c>
      <c r="K59" s="173" t="s">
        <v>738</v>
      </c>
      <c r="L59" s="173" t="s">
        <v>739</v>
      </c>
      <c r="M59" s="173" t="s">
        <v>740</v>
      </c>
      <c r="N59" s="173" t="s">
        <v>741</v>
      </c>
      <c r="O59" s="173" t="s">
        <v>742</v>
      </c>
      <c r="P59" s="174" t="s">
        <v>151</v>
      </c>
      <c r="Q59" s="175" t="s">
        <v>743</v>
      </c>
      <c r="R59" s="168" t="str">
        <f ca="1">IF(ISERROR($V59),"",OFFSET('Smelter Look-up'!$C$4,$V59-4,0)&amp;"")</f>
        <v>Nadir Metal Rafineri San. Ve Tic. A.S.</v>
      </c>
      <c r="S59" s="167" t="str">
        <f t="shared" ca="1" si="6"/>
        <v>TR</v>
      </c>
      <c r="T59" s="167" t="str">
        <f ca="1">IF(B59="","",IF(ISERROR(MATCH($J59,SorP!$B$1:$B$6230,0)),"",INDIRECT("'SorP'!$A$"&amp;MATCH($J59,SorP!$B$1:$B$6230,0))))</f>
        <v>TR-34</v>
      </c>
      <c r="U59" s="176"/>
      <c r="V59" s="177">
        <f>IF(C59="",NA(),IF(OR(C59="Smelter not listed",C59="Smelter not yet identified"),MATCH($B59&amp;$D59,'Smelter Look-up'!$J:$J,0),MATCH($B59&amp;$C59,'Smelter Look-up'!$J:$J,0)))</f>
        <v>190</v>
      </c>
      <c r="X59" s="140">
        <f t="shared" si="7"/>
        <v>0</v>
      </c>
      <c r="AB59" s="178" t="str">
        <f t="shared" si="8"/>
        <v>GoldNadir Metal Rafineri San. Ve Tic. A.Ş.</v>
      </c>
    </row>
    <row r="60" spans="1:28" s="140" customFormat="1" ht="409.5">
      <c r="A60" s="167" t="s">
        <v>748</v>
      </c>
      <c r="B60" s="168" t="s">
        <v>130</v>
      </c>
      <c r="C60" s="169" t="s">
        <v>749</v>
      </c>
      <c r="D60" s="170" t="s">
        <v>749</v>
      </c>
      <c r="E60" s="168" t="s">
        <v>192</v>
      </c>
      <c r="F60" s="168" t="s">
        <v>748</v>
      </c>
      <c r="G60" s="168" t="s">
        <v>142</v>
      </c>
      <c r="H60" s="171" t="s">
        <v>114</v>
      </c>
      <c r="I60" s="172" t="s">
        <v>750</v>
      </c>
      <c r="J60" s="172" t="s">
        <v>382</v>
      </c>
      <c r="K60" s="173" t="s">
        <v>751</v>
      </c>
      <c r="L60" s="173" t="s">
        <v>752</v>
      </c>
      <c r="M60" s="173" t="s">
        <v>753</v>
      </c>
      <c r="N60" s="173" t="s">
        <v>754</v>
      </c>
      <c r="O60" s="173" t="s">
        <v>755</v>
      </c>
      <c r="P60" s="174" t="s">
        <v>715</v>
      </c>
      <c r="Q60" s="175" t="s">
        <v>756</v>
      </c>
      <c r="R60" s="168" t="str">
        <f ca="1">IF(ISERROR($V60),"",OFFSET('Smelter Look-up'!$C$4,$V60-4,0)&amp;"")</f>
        <v>F&amp;X Electro-Materials Ltd.</v>
      </c>
      <c r="S60" s="167" t="str">
        <f t="shared" ca="1" si="6"/>
        <v>CN</v>
      </c>
      <c r="T60" s="167" t="str">
        <f ca="1">IF(B60="","",IF(ISERROR(MATCH($J60,SorP!$B$1:$B$6230,0)),"",INDIRECT("'SorP'!$A$"&amp;MATCH($J60,SorP!$B$1:$B$6230,0))))</f>
        <v>CN-GD</v>
      </c>
      <c r="U60" s="176"/>
      <c r="V60" s="177">
        <f>IF(C60="",NA(),IF(OR(C60="Smelter not listed",C60="Smelter not yet identified"),MATCH($B60&amp;$D60,'Smelter Look-up'!$J:$J,0),MATCH($B60&amp;$C60,'Smelter Look-up'!$J:$J,0)))</f>
        <v>330</v>
      </c>
      <c r="X60" s="140">
        <f t="shared" si="7"/>
        <v>0</v>
      </c>
      <c r="AB60" s="178" t="str">
        <f t="shared" si="8"/>
        <v>TantalumF&amp;X Electro-Materials Ltd.</v>
      </c>
    </row>
    <row r="61" spans="1:28" s="140" customFormat="1" ht="409.5">
      <c r="A61" s="167" t="s">
        <v>757</v>
      </c>
      <c r="B61" s="168" t="s">
        <v>130</v>
      </c>
      <c r="C61" s="169" t="s">
        <v>758</v>
      </c>
      <c r="D61" s="170" t="s">
        <v>758</v>
      </c>
      <c r="E61" s="168" t="s">
        <v>155</v>
      </c>
      <c r="F61" s="168" t="s">
        <v>757</v>
      </c>
      <c r="G61" s="168" t="s">
        <v>142</v>
      </c>
      <c r="H61" s="171" t="s">
        <v>759</v>
      </c>
      <c r="I61" s="172" t="s">
        <v>760</v>
      </c>
      <c r="J61" s="172" t="s">
        <v>158</v>
      </c>
      <c r="K61" s="173" t="s">
        <v>761</v>
      </c>
      <c r="L61" s="173" t="s">
        <v>762</v>
      </c>
      <c r="M61" s="173" t="s">
        <v>763</v>
      </c>
      <c r="N61" s="173" t="s">
        <v>764</v>
      </c>
      <c r="O61" s="173" t="s">
        <v>765</v>
      </c>
      <c r="P61" s="174" t="s">
        <v>732</v>
      </c>
      <c r="Q61" s="175" t="s">
        <v>766</v>
      </c>
      <c r="R61" s="168" t="str">
        <f ca="1">IF(ISERROR($V61),"",OFFSET('Smelter Look-up'!$C$4,$V61-4,0)&amp;"")</f>
        <v>Global Advanced Metals Aizu</v>
      </c>
      <c r="S61" s="167" t="str">
        <f t="shared" ca="1" si="6"/>
        <v>JP</v>
      </c>
      <c r="T61" s="167" t="str">
        <f ca="1">IF(B61="","",IF(ISERROR(MATCH($J61,SorP!$B$1:$B$6230,0)),"",INDIRECT("'SorP'!$A$"&amp;MATCH($J61,SorP!$B$1:$B$6230,0))))</f>
        <v>JP-07</v>
      </c>
      <c r="U61" s="176"/>
      <c r="V61" s="177">
        <f>IF(C61="",NA(),IF(OR(C61="Smelter not listed",C61="Smelter not yet identified"),MATCH($B61&amp;$D61,'Smelter Look-up'!$J:$J,0),MATCH($B61&amp;$C61,'Smelter Look-up'!$J:$J,0)))</f>
        <v>332</v>
      </c>
      <c r="X61" s="140">
        <f t="shared" si="7"/>
        <v>0</v>
      </c>
      <c r="AB61" s="178" t="str">
        <f t="shared" si="8"/>
        <v>TantalumGlobal Advanced Metals Aizu</v>
      </c>
    </row>
    <row r="62" spans="1:28" s="140" customFormat="1" ht="409.5">
      <c r="A62" s="167" t="s">
        <v>767</v>
      </c>
      <c r="B62" s="168" t="s">
        <v>130</v>
      </c>
      <c r="C62" s="169" t="s">
        <v>768</v>
      </c>
      <c r="D62" s="170" t="s">
        <v>768</v>
      </c>
      <c r="E62" s="168" t="s">
        <v>192</v>
      </c>
      <c r="F62" s="168" t="s">
        <v>767</v>
      </c>
      <c r="G62" s="168" t="s">
        <v>142</v>
      </c>
      <c r="H62" s="171" t="s">
        <v>769</v>
      </c>
      <c r="I62" s="172" t="s">
        <v>770</v>
      </c>
      <c r="J62" s="172" t="s">
        <v>771</v>
      </c>
      <c r="K62" s="173" t="s">
        <v>772</v>
      </c>
      <c r="L62" s="173" t="s">
        <v>773</v>
      </c>
      <c r="M62" s="173" t="s">
        <v>774</v>
      </c>
      <c r="N62" s="173" t="s">
        <v>775</v>
      </c>
      <c r="O62" s="173" t="s">
        <v>776</v>
      </c>
      <c r="P62" s="174" t="s">
        <v>715</v>
      </c>
      <c r="Q62" s="175" t="s">
        <v>777</v>
      </c>
      <c r="R62" s="168" t="str">
        <f ca="1">IF(ISERROR($V62),"",OFFSET('Smelter Look-up'!$C$4,$V62-4,0)&amp;"")</f>
        <v>Jiujiang Zhongao Tantalum &amp; Niobium Co., Ltd.</v>
      </c>
      <c r="S62" s="167" t="str">
        <f t="shared" ca="1" si="6"/>
        <v>CN</v>
      </c>
      <c r="T62" s="167" t="str">
        <f ca="1">IF(B62="","",IF(ISERROR(MATCH($J62,SorP!$B$1:$B$6230,0)),"",INDIRECT("'SorP'!$A$"&amp;MATCH($J62,SorP!$B$1:$B$6230,0))))</f>
        <v>CN-JX</v>
      </c>
      <c r="U62" s="176"/>
      <c r="V62" s="177">
        <f>IF(C62="",NA(),IF(OR(C62="Smelter not listed",C62="Smelter not yet identified"),MATCH($B62&amp;$D62,'Smelter Look-up'!$J:$J,0),MATCH($B62&amp;$C62,'Smelter Look-up'!$J:$J,0)))</f>
        <v>347</v>
      </c>
      <c r="X62" s="140">
        <f t="shared" si="7"/>
        <v>0</v>
      </c>
      <c r="AB62" s="178" t="str">
        <f t="shared" si="8"/>
        <v>TantalumJiujiang Zhongao Tantalum &amp; Niobium Co., Ltd.</v>
      </c>
    </row>
    <row r="63" spans="1:28" s="140" customFormat="1" ht="409.5">
      <c r="A63" s="167" t="s">
        <v>794</v>
      </c>
      <c r="B63" s="168" t="s">
        <v>133</v>
      </c>
      <c r="C63" s="169" t="s">
        <v>795</v>
      </c>
      <c r="D63" s="170" t="s">
        <v>796</v>
      </c>
      <c r="E63" s="168" t="s">
        <v>793</v>
      </c>
      <c r="F63" s="168" t="s">
        <v>794</v>
      </c>
      <c r="G63" s="168" t="s">
        <v>142</v>
      </c>
      <c r="H63" s="171" t="s">
        <v>797</v>
      </c>
      <c r="I63" s="172" t="s">
        <v>798</v>
      </c>
      <c r="J63" s="172" t="s">
        <v>799</v>
      </c>
      <c r="K63" s="173" t="s">
        <v>800</v>
      </c>
      <c r="L63" s="173" t="s">
        <v>801</v>
      </c>
      <c r="M63" s="173" t="s">
        <v>802</v>
      </c>
      <c r="N63" s="173" t="s">
        <v>803</v>
      </c>
      <c r="O63" s="173" t="s">
        <v>804</v>
      </c>
      <c r="P63" s="174" t="s">
        <v>164</v>
      </c>
      <c r="Q63" s="175" t="s">
        <v>805</v>
      </c>
      <c r="R63" s="168" t="str">
        <f ca="1">IF(ISERROR($V63),"",OFFSET('Smelter Look-up'!$C$4,$V63-4,0)&amp;"")</f>
        <v/>
      </c>
      <c r="S63" s="167" t="str">
        <f t="shared" ca="1" si="6"/>
        <v>ES</v>
      </c>
      <c r="T63" s="167" t="str">
        <f ca="1">IF(B63="","",IF(ISERROR(MATCH($J63,SorP!$B$1:$B$6230,0)),"",INDIRECT("'SorP'!$A$"&amp;MATCH($J63,SorP!$B$1:$B$6230,0))))</f>
        <v>ES-MD</v>
      </c>
      <c r="U63" s="176"/>
      <c r="V63" s="177" t="e">
        <f>IF(C63="",NA(),IF(OR(C63="Smelter not listed",C63="Smelter not yet identified"),MATCH($B63&amp;$D63,'Smelter Look-up'!$J:$J,0),MATCH($B63&amp;$C63,'Smelter Look-up'!$J:$J,0)))</f>
        <v>#N/A</v>
      </c>
      <c r="X63" s="140">
        <f t="shared" si="7"/>
        <v>0</v>
      </c>
      <c r="AB63" s="178" t="str">
        <f t="shared" si="8"/>
        <v>GoldSEMPSA Joyería Platería SA</v>
      </c>
    </row>
    <row r="64" spans="1:28" s="140" customFormat="1" ht="409.5">
      <c r="A64" s="167" t="s">
        <v>812</v>
      </c>
      <c r="B64" s="168" t="s">
        <v>133</v>
      </c>
      <c r="C64" s="169" t="s">
        <v>813</v>
      </c>
      <c r="D64" s="170" t="s">
        <v>813</v>
      </c>
      <c r="E64" s="168" t="s">
        <v>192</v>
      </c>
      <c r="F64" s="168" t="s">
        <v>812</v>
      </c>
      <c r="G64" s="168" t="s">
        <v>142</v>
      </c>
      <c r="H64" s="171" t="s">
        <v>814</v>
      </c>
      <c r="I64" s="172" t="s">
        <v>448</v>
      </c>
      <c r="J64" s="172" t="s">
        <v>419</v>
      </c>
      <c r="K64" s="173" t="s">
        <v>815</v>
      </c>
      <c r="L64" s="173" t="s">
        <v>816</v>
      </c>
      <c r="M64" s="173" t="s">
        <v>817</v>
      </c>
      <c r="N64" s="173" t="s">
        <v>818</v>
      </c>
      <c r="O64" s="173" t="s">
        <v>819</v>
      </c>
      <c r="P64" s="174" t="s">
        <v>151</v>
      </c>
      <c r="Q64" s="175" t="s">
        <v>820</v>
      </c>
      <c r="R64" s="168" t="str">
        <f ca="1">IF(ISERROR($V64),"",OFFSET('Smelter Look-up'!$C$4,$V64-4,0)&amp;"")</f>
        <v>Shandong Gold Smelting Co., Ltd.</v>
      </c>
      <c r="S64" s="167" t="str">
        <f t="shared" ca="1" si="6"/>
        <v>CN</v>
      </c>
      <c r="T64" s="167" t="str">
        <f ca="1">IF(B64="","",IF(ISERROR(MATCH($J64,SorP!$B$1:$B$6230,0)),"",INDIRECT("'SorP'!$A$"&amp;MATCH($J64,SorP!$B$1:$B$6230,0))))</f>
        <v>CN-SD</v>
      </c>
      <c r="U64" s="176"/>
      <c r="V64" s="177">
        <f>IF(C64="",NA(),IF(OR(C64="Smelter not listed",C64="Smelter not yet identified"),MATCH($B64&amp;$D64,'Smelter Look-up'!$J:$J,0),MATCH($B64&amp;$C64,'Smelter Look-up'!$J:$J,0)))</f>
        <v>282</v>
      </c>
      <c r="X64" s="140">
        <f t="shared" si="7"/>
        <v>0</v>
      </c>
      <c r="AB64" s="178" t="str">
        <f t="shared" si="8"/>
        <v>GoldThe Refinery of Shandong Gold Mining Co., Ltd.</v>
      </c>
    </row>
    <row r="65" spans="1:28" s="140" customFormat="1" ht="409.5">
      <c r="A65" s="167" t="s">
        <v>821</v>
      </c>
      <c r="B65" s="168" t="s">
        <v>131</v>
      </c>
      <c r="C65" s="169" t="s">
        <v>822</v>
      </c>
      <c r="D65" s="170" t="s">
        <v>822</v>
      </c>
      <c r="E65" s="168" t="s">
        <v>141</v>
      </c>
      <c r="F65" s="168" t="s">
        <v>821</v>
      </c>
      <c r="G65" s="168" t="s">
        <v>142</v>
      </c>
      <c r="H65" s="171" t="s">
        <v>823</v>
      </c>
      <c r="I65" s="172" t="s">
        <v>824</v>
      </c>
      <c r="J65" s="172" t="s">
        <v>218</v>
      </c>
      <c r="K65" s="173" t="s">
        <v>825</v>
      </c>
      <c r="L65" s="173" t="s">
        <v>826</v>
      </c>
      <c r="M65" s="173" t="s">
        <v>827</v>
      </c>
      <c r="N65" s="173" t="s">
        <v>828</v>
      </c>
      <c r="O65" s="173" t="s">
        <v>829</v>
      </c>
      <c r="P65" s="174" t="s">
        <v>151</v>
      </c>
      <c r="Q65" s="175" t="s">
        <v>830</v>
      </c>
      <c r="R65" s="168" t="str">
        <f ca="1">IF(ISERROR($V65),"",OFFSET('Smelter Look-up'!$C$4,$V65-4,0)&amp;"")</f>
        <v>Metallic Resources, Inc.</v>
      </c>
      <c r="S65" s="167" t="str">
        <f t="shared" ref="S65:S82" ca="1" si="9">IF(B65="","",IF(ISERROR(MATCH($E65,CL,0)),"Unknown",INDIRECT("'C'!$A$"&amp;MATCH($E65,CL,0)+1)))</f>
        <v>US</v>
      </c>
      <c r="T65" s="167" t="str">
        <f ca="1">IF(B65="","",IF(ISERROR(MATCH($J65,SorP!$B$1:$B$6230,0)),"",INDIRECT("'SorP'!$A$"&amp;MATCH($J65,SorP!$B$1:$B$6230,0))))</f>
        <v>US-OH</v>
      </c>
      <c r="U65" s="176"/>
      <c r="V65" s="177">
        <f>IF(C65="",NA(),IF(OR(C65="Smelter not listed",C65="Smelter not yet identified"),MATCH($B65&amp;$D65,'Smelter Look-up'!$J:$J,0),MATCH($B65&amp;$C65,'Smelter Look-up'!$J:$J,0)))</f>
        <v>461</v>
      </c>
      <c r="X65" s="140">
        <f t="shared" ref="X65:X82" si="10">IF(AND(C65="Smelter not listed",OR(LEN(D65)=0,LEN(E65)=0)),1,0)</f>
        <v>0</v>
      </c>
      <c r="AB65" s="178" t="str">
        <f t="shared" ref="AB65:AB82" si="11">B65&amp;C65</f>
        <v>TinMetallic Resources, Inc.</v>
      </c>
    </row>
    <row r="66" spans="1:28" s="140" customFormat="1" ht="409.5">
      <c r="A66" s="167" t="s">
        <v>834</v>
      </c>
      <c r="B66" s="168" t="s">
        <v>131</v>
      </c>
      <c r="C66" s="169" t="s">
        <v>835</v>
      </c>
      <c r="D66" s="170" t="s">
        <v>836</v>
      </c>
      <c r="E66" s="168" t="s">
        <v>433</v>
      </c>
      <c r="F66" s="168" t="s">
        <v>834</v>
      </c>
      <c r="G66" s="168" t="s">
        <v>142</v>
      </c>
      <c r="H66" s="171" t="s">
        <v>837</v>
      </c>
      <c r="I66" s="172" t="s">
        <v>512</v>
      </c>
      <c r="J66" s="172" t="s">
        <v>838</v>
      </c>
      <c r="K66" s="173" t="s">
        <v>839</v>
      </c>
      <c r="L66" s="173" t="s">
        <v>840</v>
      </c>
      <c r="M66" s="173" t="s">
        <v>841</v>
      </c>
      <c r="N66" s="173" t="s">
        <v>842</v>
      </c>
      <c r="O66" s="173" t="s">
        <v>843</v>
      </c>
      <c r="P66" s="174" t="s">
        <v>600</v>
      </c>
      <c r="Q66" s="175" t="s">
        <v>844</v>
      </c>
      <c r="R66" s="168" t="str">
        <f ca="1">IF(ISERROR($V66),"",OFFSET('Smelter Look-up'!$C$4,$V66-4,0)&amp;"")</f>
        <v/>
      </c>
      <c r="S66" s="167" t="str">
        <f t="shared" ca="1" si="9"/>
        <v>BR</v>
      </c>
      <c r="T66" s="167" t="str">
        <f ca="1">IF(B66="","",IF(ISERROR(MATCH($J66,SorP!$B$1:$B$6230,0)),"",INDIRECT("'SorP'!$A$"&amp;MATCH($J66,SorP!$B$1:$B$6230,0))))</f>
        <v>BR-RO</v>
      </c>
      <c r="U66" s="176"/>
      <c r="V66" s="177" t="e">
        <f>IF(C66="",NA(),IF(OR(C66="Smelter not listed",C66="Smelter not yet identified"),MATCH($B66&amp;$D66,'Smelter Look-up'!$J:$J,0),MATCH($B66&amp;$C66,'Smelter Look-up'!$J:$J,0)))</f>
        <v>#N/A</v>
      </c>
      <c r="X66" s="140">
        <f t="shared" si="10"/>
        <v>0</v>
      </c>
      <c r="AB66" s="178" t="str">
        <f t="shared" si="11"/>
        <v>TinMelt Metais e Ligas S/A</v>
      </c>
    </row>
    <row r="67" spans="1:28" s="140" customFormat="1" ht="409.5">
      <c r="A67" s="167" t="s">
        <v>845</v>
      </c>
      <c r="B67" s="168" t="s">
        <v>133</v>
      </c>
      <c r="C67" s="169" t="s">
        <v>846</v>
      </c>
      <c r="D67" s="170" t="s">
        <v>846</v>
      </c>
      <c r="E67" s="168" t="s">
        <v>786</v>
      </c>
      <c r="F67" s="168" t="s">
        <v>845</v>
      </c>
      <c r="G67" s="168" t="s">
        <v>142</v>
      </c>
      <c r="H67" s="171" t="s">
        <v>847</v>
      </c>
      <c r="I67" s="172" t="s">
        <v>848</v>
      </c>
      <c r="J67" s="172" t="s">
        <v>849</v>
      </c>
      <c r="K67" s="173" t="s">
        <v>850</v>
      </c>
      <c r="L67" s="173" t="s">
        <v>851</v>
      </c>
      <c r="M67" s="173" t="s">
        <v>852</v>
      </c>
      <c r="N67" s="173" t="s">
        <v>853</v>
      </c>
      <c r="O67" s="173" t="s">
        <v>854</v>
      </c>
      <c r="P67" s="174" t="s">
        <v>164</v>
      </c>
      <c r="Q67" s="175" t="s">
        <v>855</v>
      </c>
      <c r="R67" s="168" t="str">
        <f ca="1">IF(ISERROR($V67),"",OFFSET('Smelter Look-up'!$C$4,$V67-4,0)&amp;"")</f>
        <v>REMONDIS PMR B.V.</v>
      </c>
      <c r="S67" s="167" t="str">
        <f t="shared" ca="1" si="9"/>
        <v>NL</v>
      </c>
      <c r="T67" s="167" t="str">
        <f ca="1">IF(B67="","",IF(ISERROR(MATCH($J67,SorP!$B$1:$B$6230,0)),"",INDIRECT("'SorP'!$A$"&amp;MATCH($J67,SorP!$B$1:$B$6230,0))))</f>
        <v>NL-NB</v>
      </c>
      <c r="U67" s="176"/>
      <c r="V67" s="177">
        <f>IF(C67="",NA(),IF(OR(C67="Smelter not listed",C67="Smelter not yet identified"),MATCH($B67&amp;$D67,'Smelter Look-up'!$J:$J,0),MATCH($B67&amp;$C67,'Smelter Look-up'!$J:$J,0)))</f>
        <v>219</v>
      </c>
      <c r="X67" s="140">
        <f t="shared" si="10"/>
        <v>0</v>
      </c>
      <c r="AB67" s="178" t="str">
        <f t="shared" si="11"/>
        <v>GoldREMONDIS PMR B.V.</v>
      </c>
    </row>
    <row r="68" spans="1:28" s="140" customFormat="1" ht="409.5">
      <c r="A68" s="167" t="s">
        <v>862</v>
      </c>
      <c r="B68" s="168" t="s">
        <v>133</v>
      </c>
      <c r="C68" s="169" t="s">
        <v>863</v>
      </c>
      <c r="D68" s="170" t="s">
        <v>863</v>
      </c>
      <c r="E68" s="168" t="s">
        <v>864</v>
      </c>
      <c r="F68" s="168" t="s">
        <v>862</v>
      </c>
      <c r="G68" s="168" t="s">
        <v>142</v>
      </c>
      <c r="H68" s="171" t="s">
        <v>865</v>
      </c>
      <c r="I68" s="172" t="s">
        <v>866</v>
      </c>
      <c r="J68" s="172" t="s">
        <v>867</v>
      </c>
      <c r="K68" s="173" t="s">
        <v>868</v>
      </c>
      <c r="L68" s="173" t="s">
        <v>869</v>
      </c>
      <c r="M68" s="173" t="s">
        <v>870</v>
      </c>
      <c r="N68" s="173" t="s">
        <v>871</v>
      </c>
      <c r="O68" s="173" t="s">
        <v>872</v>
      </c>
      <c r="P68" s="174" t="s">
        <v>151</v>
      </c>
      <c r="Q68" s="175" t="s">
        <v>873</v>
      </c>
      <c r="R68" s="168" t="str">
        <f ca="1">IF(ISERROR($V68),"",OFFSET('Smelter Look-up'!$C$4,$V68-4,0)&amp;"")</f>
        <v>SAAMP</v>
      </c>
      <c r="S68" s="167" t="str">
        <f t="shared" ca="1" si="9"/>
        <v>FR</v>
      </c>
      <c r="T68" s="167" t="str">
        <f ca="1">IF(B68="","",IF(ISERROR(MATCH($J68,SorP!$B$1:$B$6230,0)),"",INDIRECT("'SorP'!$A$"&amp;MATCH($J68,SorP!$B$1:$B$6230,0))))</f>
        <v>FR-IDF</v>
      </c>
      <c r="U68" s="176"/>
      <c r="V68" s="177">
        <f>IF(C68="",NA(),IF(OR(C68="Smelter not listed",C68="Smelter not yet identified"),MATCH($B68&amp;$D68,'Smelter Look-up'!$J:$J,0),MATCH($B68&amp;$C68,'Smelter Look-up'!$J:$J,0)))</f>
        <v>221</v>
      </c>
      <c r="X68" s="140">
        <f t="shared" si="10"/>
        <v>0</v>
      </c>
      <c r="AB68" s="178" t="str">
        <f t="shared" si="11"/>
        <v>GoldSAAMP</v>
      </c>
    </row>
    <row r="69" spans="1:28" s="140" customFormat="1" ht="409.5">
      <c r="A69" s="167" t="s">
        <v>874</v>
      </c>
      <c r="B69" s="168" t="s">
        <v>133</v>
      </c>
      <c r="C69" s="169" t="s">
        <v>875</v>
      </c>
      <c r="D69" s="170" t="s">
        <v>875</v>
      </c>
      <c r="E69" s="168" t="s">
        <v>394</v>
      </c>
      <c r="F69" s="168" t="s">
        <v>874</v>
      </c>
      <c r="G69" s="168" t="s">
        <v>142</v>
      </c>
      <c r="H69" s="171" t="s">
        <v>876</v>
      </c>
      <c r="I69" s="172" t="s">
        <v>501</v>
      </c>
      <c r="J69" s="172" t="s">
        <v>502</v>
      </c>
      <c r="K69" s="173" t="s">
        <v>877</v>
      </c>
      <c r="L69" s="173" t="s">
        <v>878</v>
      </c>
      <c r="M69" s="173" t="s">
        <v>879</v>
      </c>
      <c r="N69" s="173" t="s">
        <v>880</v>
      </c>
      <c r="O69" s="173" t="s">
        <v>881</v>
      </c>
      <c r="P69" s="174" t="s">
        <v>151</v>
      </c>
      <c r="Q69" s="175" t="s">
        <v>882</v>
      </c>
      <c r="R69" s="168" t="str">
        <f ca="1">IF(ISERROR($V69),"",OFFSET('Smelter Look-up'!$C$4,$V69-4,0)&amp;"")</f>
        <v>Safimet S.p.A</v>
      </c>
      <c r="S69" s="167" t="str">
        <f t="shared" ca="1" si="9"/>
        <v>IT</v>
      </c>
      <c r="T69" s="167" t="str">
        <f ca="1">IF(B69="","",IF(ISERROR(MATCH($J69,SorP!$B$1:$B$6230,0)),"",INDIRECT("'SorP'!$A$"&amp;MATCH($J69,SorP!$B$1:$B$6230,0))))</f>
        <v>IT-52</v>
      </c>
      <c r="U69" s="176"/>
      <c r="V69" s="177">
        <f>IF(C69="",NA(),IF(OR(C69="Smelter not listed",C69="Smelter not yet identified"),MATCH($B69&amp;$D69,'Smelter Look-up'!$J:$J,0),MATCH($B69&amp;$C69,'Smelter Look-up'!$J:$J,0)))</f>
        <v>223</v>
      </c>
      <c r="X69" s="140">
        <f t="shared" si="10"/>
        <v>0</v>
      </c>
      <c r="AB69" s="178" t="str">
        <f t="shared" si="11"/>
        <v>GoldSafimet S.p.A</v>
      </c>
    </row>
    <row r="70" spans="1:28" s="140" customFormat="1" ht="409.5">
      <c r="A70" s="167" t="s">
        <v>883</v>
      </c>
      <c r="B70" s="168" t="s">
        <v>133</v>
      </c>
      <c r="C70" s="169" t="s">
        <v>884</v>
      </c>
      <c r="D70" s="170" t="s">
        <v>885</v>
      </c>
      <c r="E70" s="168" t="s">
        <v>155</v>
      </c>
      <c r="F70" s="168" t="s">
        <v>883</v>
      </c>
      <c r="G70" s="168" t="s">
        <v>142</v>
      </c>
      <c r="H70" s="171" t="s">
        <v>886</v>
      </c>
      <c r="I70" s="172" t="s">
        <v>887</v>
      </c>
      <c r="J70" s="172" t="s">
        <v>888</v>
      </c>
      <c r="K70" s="173" t="s">
        <v>889</v>
      </c>
      <c r="L70" s="173" t="s">
        <v>890</v>
      </c>
      <c r="M70" s="173" t="s">
        <v>891</v>
      </c>
      <c r="N70" s="173" t="s">
        <v>892</v>
      </c>
      <c r="O70" s="173" t="s">
        <v>893</v>
      </c>
      <c r="P70" s="174" t="s">
        <v>164</v>
      </c>
      <c r="Q70" s="175" t="s">
        <v>894</v>
      </c>
      <c r="R70" s="168" t="str">
        <f ca="1">IF(ISERROR($V70),"",OFFSET('Smelter Look-up'!$C$4,$V70-4,0)&amp;"")</f>
        <v/>
      </c>
      <c r="S70" s="167" t="str">
        <f t="shared" ca="1" si="9"/>
        <v>JP</v>
      </c>
      <c r="T70" s="167" t="str">
        <f ca="1">IF(B70="","",IF(ISERROR(MATCH($J70,SorP!$B$1:$B$6230,0)),"",INDIRECT("'SorP'!$A$"&amp;MATCH($J70,SorP!$B$1:$B$6230,0))))</f>
        <v>JP-38</v>
      </c>
      <c r="U70" s="176"/>
      <c r="V70" s="177" t="e">
        <f>IF(C70="",NA(),IF(OR(C70="Smelter not listed",C70="Smelter not yet identified"),MATCH($B70&amp;$D70,'Smelter Look-up'!$J:$J,0),MATCH($B70&amp;$C70,'Smelter Look-up'!$J:$J,0)))</f>
        <v>#N/A</v>
      </c>
      <c r="X70" s="140">
        <f t="shared" si="10"/>
        <v>0</v>
      </c>
      <c r="AB70" s="178" t="str">
        <f t="shared" si="11"/>
        <v>GoldToyo Smelter &amp; Refinery</v>
      </c>
    </row>
    <row r="71" spans="1:28" s="140" customFormat="1" ht="409.5">
      <c r="A71" s="167" t="s">
        <v>895</v>
      </c>
      <c r="B71" s="168" t="s">
        <v>133</v>
      </c>
      <c r="C71" s="169" t="s">
        <v>896</v>
      </c>
      <c r="D71" s="170" t="s">
        <v>896</v>
      </c>
      <c r="E71" s="168" t="s">
        <v>256</v>
      </c>
      <c r="F71" s="168" t="s">
        <v>895</v>
      </c>
      <c r="G71" s="168" t="s">
        <v>142</v>
      </c>
      <c r="H71" s="171" t="s">
        <v>897</v>
      </c>
      <c r="I71" s="172" t="s">
        <v>898</v>
      </c>
      <c r="J71" s="172" t="s">
        <v>899</v>
      </c>
      <c r="K71" s="173" t="s">
        <v>900</v>
      </c>
      <c r="L71" s="173" t="s">
        <v>901</v>
      </c>
      <c r="M71" s="173" t="s">
        <v>902</v>
      </c>
      <c r="N71" s="173" t="s">
        <v>903</v>
      </c>
      <c r="O71" s="173" t="s">
        <v>904</v>
      </c>
      <c r="P71" s="174" t="s">
        <v>164</v>
      </c>
      <c r="Q71" s="175" t="s">
        <v>905</v>
      </c>
      <c r="R71" s="168" t="str">
        <f ca="1">IF(ISERROR($V71),"",OFFSET('Smelter Look-up'!$C$4,$V71-4,0)&amp;"")</f>
        <v>Torecom</v>
      </c>
      <c r="S71" s="167" t="str">
        <f t="shared" ca="1" si="9"/>
        <v>KR</v>
      </c>
      <c r="T71" s="167" t="str">
        <f ca="1">IF(B71="","",IF(ISERROR(MATCH($J71,SorP!$B$1:$B$6230,0)),"",INDIRECT("'SorP'!$A$"&amp;MATCH($J71,SorP!$B$1:$B$6230,0))))</f>
        <v>KR-44</v>
      </c>
      <c r="U71" s="176"/>
      <c r="V71" s="177">
        <f>IF(C71="",NA(),IF(OR(C71="Smelter not listed",C71="Smelter not yet identified"),MATCH($B71&amp;$D71,'Smelter Look-up'!$J:$J,0),MATCH($B71&amp;$C71,'Smelter Look-up'!$J:$J,0)))</f>
        <v>288</v>
      </c>
      <c r="X71" s="140">
        <f t="shared" si="10"/>
        <v>0</v>
      </c>
      <c r="AB71" s="178" t="str">
        <f t="shared" si="11"/>
        <v>GoldTorecom</v>
      </c>
    </row>
    <row r="72" spans="1:28" s="140" customFormat="1" ht="51">
      <c r="A72" s="167" t="s">
        <v>907</v>
      </c>
      <c r="B72" s="168" t="s">
        <v>133</v>
      </c>
      <c r="C72" s="169" t="s">
        <v>906</v>
      </c>
      <c r="D72" s="170" t="s">
        <v>908</v>
      </c>
      <c r="E72" s="168" t="s">
        <v>369</v>
      </c>
      <c r="F72" s="168" t="s">
        <v>907</v>
      </c>
      <c r="G72" s="168" t="s">
        <v>142</v>
      </c>
      <c r="H72" s="171" t="s">
        <v>114</v>
      </c>
      <c r="I72" s="172" t="s">
        <v>196</v>
      </c>
      <c r="J72" s="172" t="s">
        <v>196</v>
      </c>
      <c r="K72" s="173"/>
      <c r="L72" s="173"/>
      <c r="M72" s="173"/>
      <c r="N72" s="173" t="s">
        <v>121</v>
      </c>
      <c r="O72" s="173" t="s">
        <v>121</v>
      </c>
      <c r="P72" s="174" t="s">
        <v>121</v>
      </c>
      <c r="Q72" s="175"/>
      <c r="R72" s="168" t="str">
        <f ca="1">IF(ISERROR($V72),"",OFFSET('Smelter Look-up'!$C$4,$V72-4,0)&amp;"")</f>
        <v/>
      </c>
      <c r="S72" s="167" t="str">
        <f t="shared" ca="1" si="9"/>
        <v>TW</v>
      </c>
      <c r="T72" s="167" t="str">
        <f ca="1">IF(B72="","",IF(ISERROR(MATCH($J72,SorP!$B$1:$B$6230,0)),"",INDIRECT("'SorP'!$A$"&amp;MATCH($J72,SorP!$B$1:$B$6230,0))))</f>
        <v/>
      </c>
      <c r="U72" s="176"/>
      <c r="V72" s="177" t="e">
        <f>IF(C72="",NA(),IF(OR(C72="Smelter not listed",C72="Smelter not yet identified"),MATCH($B72&amp;$D72,'Smelter Look-up'!$J:$J,0),MATCH($B72&amp;$C72,'Smelter Look-up'!$J:$J,0)))</f>
        <v>#N/A</v>
      </c>
      <c r="X72" s="140">
        <f t="shared" si="10"/>
        <v>0</v>
      </c>
      <c r="AB72" s="178" t="str">
        <f t="shared" si="11"/>
        <v>GoldTsai Brother industries</v>
      </c>
    </row>
    <row r="73" spans="1:28" s="140" customFormat="1" ht="191.25">
      <c r="A73" s="167" t="s">
        <v>909</v>
      </c>
      <c r="B73" s="168" t="s">
        <v>133</v>
      </c>
      <c r="C73" s="169" t="s">
        <v>910</v>
      </c>
      <c r="D73" s="170" t="s">
        <v>910</v>
      </c>
      <c r="E73" s="168" t="s">
        <v>256</v>
      </c>
      <c r="F73" s="168" t="s">
        <v>909</v>
      </c>
      <c r="G73" s="168" t="s">
        <v>142</v>
      </c>
      <c r="H73" s="171" t="s">
        <v>114</v>
      </c>
      <c r="I73" s="172" t="s">
        <v>911</v>
      </c>
      <c r="J73" s="172" t="s">
        <v>912</v>
      </c>
      <c r="K73" s="173" t="s">
        <v>913</v>
      </c>
      <c r="L73" s="173" t="s">
        <v>914</v>
      </c>
      <c r="M73" s="173" t="s">
        <v>915</v>
      </c>
      <c r="N73" s="173" t="s">
        <v>916</v>
      </c>
      <c r="O73" s="173" t="s">
        <v>917</v>
      </c>
      <c r="P73" s="174" t="s">
        <v>918</v>
      </c>
      <c r="Q73" s="175" t="s">
        <v>919</v>
      </c>
      <c r="R73" s="168" t="str">
        <f ca="1">IF(ISERROR($V73),"",OFFSET('Smelter Look-up'!$C$4,$V73-4,0)&amp;"")</f>
        <v/>
      </c>
      <c r="S73" s="167" t="str">
        <f t="shared" ca="1" si="9"/>
        <v>KR</v>
      </c>
      <c r="T73" s="167" t="str">
        <f ca="1">IF(B73="","",IF(ISERROR(MATCH($J73,SorP!$B$1:$B$6230,0)),"",INDIRECT("'SorP'!$A$"&amp;MATCH($J73,SorP!$B$1:$B$6230,0))))</f>
        <v>KR-43</v>
      </c>
      <c r="U73" s="176"/>
      <c r="V73" s="177" t="e">
        <f>IF(C73="",NA(),IF(OR(C73="Smelter not listed",C73="Smelter not yet identified"),MATCH($B73&amp;$D73,'Smelter Look-up'!$J:$J,0),MATCH($B73&amp;$C73,'Smelter Look-up'!$J:$J,0)))</f>
        <v>#N/A</v>
      </c>
      <c r="X73" s="140">
        <f t="shared" si="10"/>
        <v>0</v>
      </c>
      <c r="AB73" s="178" t="str">
        <f t="shared" si="11"/>
        <v>GoldTSK Pretech</v>
      </c>
    </row>
    <row r="74" spans="1:28" s="140" customFormat="1" ht="102">
      <c r="A74" s="167" t="s">
        <v>920</v>
      </c>
      <c r="B74" s="168" t="s">
        <v>133</v>
      </c>
      <c r="C74" s="169" t="s">
        <v>921</v>
      </c>
      <c r="D74" s="170" t="s">
        <v>921</v>
      </c>
      <c r="E74" s="168" t="s">
        <v>433</v>
      </c>
      <c r="F74" s="168" t="s">
        <v>920</v>
      </c>
      <c r="G74" s="168" t="s">
        <v>142</v>
      </c>
      <c r="H74" s="171" t="s">
        <v>114</v>
      </c>
      <c r="I74" s="172" t="s">
        <v>922</v>
      </c>
      <c r="J74" s="172" t="s">
        <v>923</v>
      </c>
      <c r="K74" s="173" t="s">
        <v>924</v>
      </c>
      <c r="L74" s="173" t="s">
        <v>925</v>
      </c>
      <c r="M74" s="173" t="s">
        <v>926</v>
      </c>
      <c r="N74" s="173" t="s">
        <v>927</v>
      </c>
      <c r="O74" s="173" t="s">
        <v>928</v>
      </c>
      <c r="P74" s="174" t="s">
        <v>117</v>
      </c>
      <c r="Q74" s="175" t="s">
        <v>929</v>
      </c>
      <c r="R74" s="168" t="str">
        <f ca="1">IF(ISERROR($V74),"",OFFSET('Smelter Look-up'!$C$4,$V74-4,0)&amp;"")</f>
        <v/>
      </c>
      <c r="S74" s="167" t="str">
        <f t="shared" ca="1" si="9"/>
        <v>BR</v>
      </c>
      <c r="T74" s="167" t="str">
        <f ca="1">IF(B74="","",IF(ISERROR(MATCH($J74,SorP!$B$1:$B$6230,0)),"",INDIRECT("'SorP'!$A$"&amp;MATCH($J74,SorP!$B$1:$B$6230,0))))</f>
        <v/>
      </c>
      <c r="U74" s="176"/>
      <c r="V74" s="177" t="e">
        <f>IF(C74="",NA(),IF(OR(C74="Smelter not listed",C74="Smelter not yet identified"),MATCH($B74&amp;$D74,'Smelter Look-up'!$J:$J,0),MATCH($B74&amp;$C74,'Smelter Look-up'!$J:$J,0)))</f>
        <v>#N/A</v>
      </c>
      <c r="X74" s="140">
        <f t="shared" si="10"/>
        <v>0</v>
      </c>
      <c r="AB74" s="178" t="str">
        <f t="shared" si="11"/>
        <v>GoldUmicore Brasil Ltda.</v>
      </c>
    </row>
    <row r="75" spans="1:28" s="140" customFormat="1" ht="409.5">
      <c r="A75" s="167" t="s">
        <v>934</v>
      </c>
      <c r="B75" s="168" t="s">
        <v>133</v>
      </c>
      <c r="C75" s="169" t="s">
        <v>935</v>
      </c>
      <c r="D75" s="170" t="s">
        <v>935</v>
      </c>
      <c r="E75" s="168" t="s">
        <v>141</v>
      </c>
      <c r="F75" s="168" t="s">
        <v>934</v>
      </c>
      <c r="G75" s="168" t="s">
        <v>142</v>
      </c>
      <c r="H75" s="171" t="s">
        <v>936</v>
      </c>
      <c r="I75" s="172" t="s">
        <v>937</v>
      </c>
      <c r="J75" s="172" t="s">
        <v>606</v>
      </c>
      <c r="K75" s="173" t="s">
        <v>938</v>
      </c>
      <c r="L75" s="173" t="s">
        <v>939</v>
      </c>
      <c r="M75" s="173" t="s">
        <v>940</v>
      </c>
      <c r="N75" s="173" t="s">
        <v>941</v>
      </c>
      <c r="O75" s="173" t="s">
        <v>942</v>
      </c>
      <c r="P75" s="174" t="s">
        <v>164</v>
      </c>
      <c r="Q75" s="175" t="s">
        <v>943</v>
      </c>
      <c r="R75" s="168" t="str">
        <f ca="1">IF(ISERROR($V75),"",OFFSET('Smelter Look-up'!$C$4,$V75-4,0)&amp;"")</f>
        <v>United Precious Metal Refining, Inc.</v>
      </c>
      <c r="S75" s="167" t="str">
        <f t="shared" ca="1" si="9"/>
        <v>US</v>
      </c>
      <c r="T75" s="167" t="str">
        <f ca="1">IF(B75="","",IF(ISERROR(MATCH($J75,SorP!$B$1:$B$6230,0)),"",INDIRECT("'SorP'!$A$"&amp;MATCH($J75,SorP!$B$1:$B$6230,0))))</f>
        <v>US-NY</v>
      </c>
      <c r="U75" s="176"/>
      <c r="V75" s="177">
        <f>IF(C75="",NA(),IF(OR(C75="Smelter not listed",C75="Smelter not yet identified"),MATCH($B75&amp;$D75,'Smelter Look-up'!$J:$J,0),MATCH($B75&amp;$C75,'Smelter Look-up'!$J:$J,0)))</f>
        <v>294</v>
      </c>
      <c r="X75" s="140">
        <f t="shared" si="10"/>
        <v>0</v>
      </c>
      <c r="AB75" s="178" t="str">
        <f t="shared" si="11"/>
        <v>GoldUnited Precious Metal Refining, Inc.</v>
      </c>
    </row>
    <row r="76" spans="1:28" s="140" customFormat="1" ht="76.5">
      <c r="A76" s="167" t="s">
        <v>944</v>
      </c>
      <c r="B76" s="168" t="s">
        <v>133</v>
      </c>
      <c r="C76" s="169" t="s">
        <v>945</v>
      </c>
      <c r="D76" s="170" t="s">
        <v>945</v>
      </c>
      <c r="E76" s="168" t="s">
        <v>946</v>
      </c>
      <c r="F76" s="168" t="s">
        <v>944</v>
      </c>
      <c r="G76" s="168" t="s">
        <v>142</v>
      </c>
      <c r="H76" s="171" t="s">
        <v>114</v>
      </c>
      <c r="I76" s="172" t="s">
        <v>947</v>
      </c>
      <c r="J76" s="172" t="s">
        <v>947</v>
      </c>
      <c r="K76" s="173"/>
      <c r="L76" s="173"/>
      <c r="M76" s="173"/>
      <c r="N76" s="173" t="s">
        <v>121</v>
      </c>
      <c r="O76" s="173" t="s">
        <v>121</v>
      </c>
      <c r="P76" s="174" t="s">
        <v>117</v>
      </c>
      <c r="Q76" s="175"/>
      <c r="R76" s="168" t="str">
        <f ca="1">IF(ISERROR($V76),"",OFFSET('Smelter Look-up'!$C$4,$V76-4,0)&amp;"")</f>
        <v/>
      </c>
      <c r="S76" s="167" t="str">
        <f t="shared" ca="1" si="9"/>
        <v>ZM</v>
      </c>
      <c r="T76" s="167" t="str">
        <f ca="1">IF(B76="","",IF(ISERROR(MATCH($J76,SorP!$B$1:$B$6230,0)),"",INDIRECT("'SorP'!$A$"&amp;MATCH($J76,SorP!$B$1:$B$6230,0))))</f>
        <v>ZM-09</v>
      </c>
      <c r="U76" s="176"/>
      <c r="V76" s="177" t="e">
        <f>IF(C76="",NA(),IF(OR(C76="Smelter not listed",C76="Smelter not yet identified"),MATCH($B76&amp;$D76,'Smelter Look-up'!$J:$J,0),MATCH($B76&amp;$C76,'Smelter Look-up'!$J:$J,0)))</f>
        <v>#N/A</v>
      </c>
      <c r="X76" s="140">
        <f t="shared" si="10"/>
        <v>0</v>
      </c>
      <c r="AB76" s="178" t="str">
        <f t="shared" si="11"/>
        <v>GoldUniversal Precious Metals Refining Zambia</v>
      </c>
    </row>
    <row r="77" spans="1:28" s="140" customFormat="1" ht="102">
      <c r="A77" s="167" t="s">
        <v>954</v>
      </c>
      <c r="B77" s="168" t="s">
        <v>132</v>
      </c>
      <c r="C77" s="169" t="s">
        <v>955</v>
      </c>
      <c r="D77" s="170" t="s">
        <v>956</v>
      </c>
      <c r="E77" s="168" t="s">
        <v>192</v>
      </c>
      <c r="F77" s="168" t="s">
        <v>954</v>
      </c>
      <c r="G77" s="168" t="s">
        <v>142</v>
      </c>
      <c r="H77" s="171" t="s">
        <v>114</v>
      </c>
      <c r="I77" s="172" t="s">
        <v>957</v>
      </c>
      <c r="J77" s="172" t="s">
        <v>958</v>
      </c>
      <c r="K77" s="173" t="s">
        <v>959</v>
      </c>
      <c r="L77" s="173" t="s">
        <v>960</v>
      </c>
      <c r="M77" s="173" t="s">
        <v>961</v>
      </c>
      <c r="N77" s="173" t="s">
        <v>962</v>
      </c>
      <c r="O77" s="173" t="s">
        <v>963</v>
      </c>
      <c r="P77" s="174" t="s">
        <v>715</v>
      </c>
      <c r="Q77" s="175" t="s">
        <v>964</v>
      </c>
      <c r="R77" s="168" t="str">
        <f ca="1">IF(ISERROR($V77),"",OFFSET('Smelter Look-up'!$C$4,$V77-4,0)&amp;"")</f>
        <v/>
      </c>
      <c r="S77" s="167" t="str">
        <f t="shared" ca="1" si="9"/>
        <v>CN</v>
      </c>
      <c r="T77" s="167" t="str">
        <f ca="1">IF(B77="","",IF(ISERROR(MATCH($J77,SorP!$B$1:$B$6230,0)),"",INDIRECT("'SorP'!$A$"&amp;MATCH($J77,SorP!$B$1:$B$6230,0))))</f>
        <v>CN-FJ</v>
      </c>
      <c r="U77" s="176"/>
      <c r="V77" s="177" t="e">
        <f>IF(C77="",NA(),IF(OR(C77="Smelter not listed",C77="Smelter not yet identified"),MATCH($B77&amp;$D77,'Smelter Look-up'!$J:$J,0),MATCH($B77&amp;$C77,'Smelter Look-up'!$J:$J,0)))</f>
        <v>#N/A</v>
      </c>
      <c r="X77" s="140">
        <f t="shared" si="10"/>
        <v>0</v>
      </c>
      <c r="AB77" s="178" t="str">
        <f t="shared" si="11"/>
        <v>TungstenFujian Xinlu Tungsten Co., Ltd.</v>
      </c>
    </row>
    <row r="78" spans="1:28" s="140" customFormat="1" ht="38.25">
      <c r="A78" s="167" t="s">
        <v>969</v>
      </c>
      <c r="B78" s="168" t="s">
        <v>132</v>
      </c>
      <c r="C78" s="169" t="s">
        <v>970</v>
      </c>
      <c r="D78" s="170" t="s">
        <v>970</v>
      </c>
      <c r="E78" s="168" t="s">
        <v>253</v>
      </c>
      <c r="F78" s="168" t="s">
        <v>969</v>
      </c>
      <c r="G78" s="168" t="s">
        <v>114</v>
      </c>
      <c r="H78" s="171" t="s">
        <v>114</v>
      </c>
      <c r="I78" s="172" t="s">
        <v>114</v>
      </c>
      <c r="J78" s="172" t="s">
        <v>114</v>
      </c>
      <c r="K78" s="173"/>
      <c r="L78" s="173"/>
      <c r="M78" s="173"/>
      <c r="N78" s="173"/>
      <c r="O78" s="173"/>
      <c r="P78" s="174"/>
      <c r="Q78" s="175"/>
      <c r="R78" s="168" t="str">
        <f ca="1">IF(ISERROR($V78),"",OFFSET('Smelter Look-up'!$C$4,$V78-4,0)&amp;"")</f>
        <v/>
      </c>
      <c r="S78" s="167" t="str">
        <f t="shared" ca="1" si="9"/>
        <v>ID</v>
      </c>
      <c r="T78" s="167" t="str">
        <f ca="1">IF(B78="","",IF(ISERROR(MATCH($J78,SorP!$B$1:$B$6230,0)),"",INDIRECT("'SorP'!$A$"&amp;MATCH($J78,SorP!$B$1:$B$6230,0))))</f>
        <v/>
      </c>
      <c r="U78" s="176"/>
      <c r="V78" s="177" t="e">
        <f>IF(C78="",NA(),IF(OR(C78="Smelter not listed",C78="Smelter not yet identified"),MATCH($B78&amp;$D78,'Smelter Look-up'!$J:$J,0),MATCH($B78&amp;$C78,'Smelter Look-up'!$J:$J,0)))</f>
        <v>#N/A</v>
      </c>
      <c r="X78" s="140">
        <f t="shared" si="10"/>
        <v>0</v>
      </c>
      <c r="AB78" s="178" t="str">
        <f t="shared" si="11"/>
        <v>TungstenAlta Group</v>
      </c>
    </row>
    <row r="79" spans="1:28" s="140" customFormat="1" ht="178.5">
      <c r="A79" s="167" t="s">
        <v>972</v>
      </c>
      <c r="B79" s="168" t="s">
        <v>132</v>
      </c>
      <c r="C79" s="169" t="s">
        <v>973</v>
      </c>
      <c r="D79" s="170" t="s">
        <v>974</v>
      </c>
      <c r="E79" s="168" t="s">
        <v>192</v>
      </c>
      <c r="F79" s="168" t="s">
        <v>972</v>
      </c>
      <c r="G79" s="168" t="s">
        <v>142</v>
      </c>
      <c r="H79" s="171" t="s">
        <v>975</v>
      </c>
      <c r="I79" s="172" t="s">
        <v>553</v>
      </c>
      <c r="J79" s="172" t="s">
        <v>709</v>
      </c>
      <c r="K79" s="173" t="s">
        <v>976</v>
      </c>
      <c r="L79" s="173" t="s">
        <v>977</v>
      </c>
      <c r="M79" s="173" t="s">
        <v>978</v>
      </c>
      <c r="N79" s="173" t="s">
        <v>979</v>
      </c>
      <c r="O79" s="173" t="s">
        <v>980</v>
      </c>
      <c r="P79" s="174" t="s">
        <v>715</v>
      </c>
      <c r="Q79" s="175" t="s">
        <v>981</v>
      </c>
      <c r="R79" s="168" t="str">
        <f ca="1">IF(ISERROR($V79),"",OFFSET('Smelter Look-up'!$C$4,$V79-4,0)&amp;"")</f>
        <v>China Molybdenum Tungsten Co., Ltd.</v>
      </c>
      <c r="S79" s="167" t="str">
        <f t="shared" ca="1" si="9"/>
        <v>CN</v>
      </c>
      <c r="T79" s="167" t="str">
        <f ca="1">IF(B79="","",IF(ISERROR(MATCH($J79,SorP!$B$1:$B$6230,0)),"",INDIRECT("'SorP'!$A$"&amp;MATCH($J79,SorP!$B$1:$B$6230,0))))</f>
        <v>CN-HN</v>
      </c>
      <c r="U79" s="176"/>
      <c r="V79" s="177">
        <f>IF(C79="",NA(),IF(OR(C79="Smelter not listed",C79="Smelter not yet identified"),MATCH($B79&amp;$D79,'Smelter Look-up'!$J:$J,0),MATCH($B79&amp;$C79,'Smelter Look-up'!$J:$J,0)))</f>
        <v>568</v>
      </c>
      <c r="X79" s="140">
        <f t="shared" si="10"/>
        <v>0</v>
      </c>
      <c r="AB79" s="178" t="str">
        <f t="shared" si="11"/>
        <v>TungstenChina Molybdenum Tungsten Co., Ltd.</v>
      </c>
    </row>
    <row r="80" spans="1:28" s="140" customFormat="1" ht="76.5">
      <c r="A80" s="167" t="s">
        <v>992</v>
      </c>
      <c r="B80" s="168" t="s">
        <v>132</v>
      </c>
      <c r="C80" s="169" t="s">
        <v>993</v>
      </c>
      <c r="D80" s="170" t="s">
        <v>993</v>
      </c>
      <c r="E80" s="168" t="s">
        <v>192</v>
      </c>
      <c r="F80" s="168" t="s">
        <v>992</v>
      </c>
      <c r="G80" s="168" t="s">
        <v>142</v>
      </c>
      <c r="H80" s="171" t="s">
        <v>114</v>
      </c>
      <c r="I80" s="172" t="s">
        <v>994</v>
      </c>
      <c r="J80" s="172" t="s">
        <v>995</v>
      </c>
      <c r="K80" s="173" t="s">
        <v>196</v>
      </c>
      <c r="L80" s="173" t="s">
        <v>196</v>
      </c>
      <c r="M80" s="173"/>
      <c r="N80" s="173" t="s">
        <v>220</v>
      </c>
      <c r="O80" s="173" t="s">
        <v>996</v>
      </c>
      <c r="P80" s="174" t="s">
        <v>121</v>
      </c>
      <c r="Q80" s="175" t="s">
        <v>196</v>
      </c>
      <c r="R80" s="168" t="str">
        <f ca="1">IF(ISERROR($V80),"",OFFSET('Smelter Look-up'!$C$4,$V80-4,0)&amp;"")</f>
        <v>CNMC (Guangxi) PGMA Co., Ltd.</v>
      </c>
      <c r="S80" s="167" t="str">
        <f t="shared" ca="1" si="9"/>
        <v>CN</v>
      </c>
      <c r="T80" s="167" t="str">
        <f ca="1">IF(B80="","",IF(ISERROR(MATCH($J80,SorP!$B$1:$B$6230,0)),"",INDIRECT("'SorP'!$A$"&amp;MATCH($J80,SorP!$B$1:$B$6230,0))))</f>
        <v>CN-GX</v>
      </c>
      <c r="U80" s="176"/>
      <c r="V80" s="177">
        <f>IF(C80="",NA(),IF(OR(C80="Smelter not listed",C80="Smelter not yet identified"),MATCH($B80&amp;$D80,'Smelter Look-up'!$J:$J,0),MATCH($B80&amp;$C80,'Smelter Look-up'!$J:$J,0)))</f>
        <v>571</v>
      </c>
      <c r="X80" s="140">
        <f t="shared" si="10"/>
        <v>0</v>
      </c>
      <c r="AB80" s="178" t="str">
        <f t="shared" si="11"/>
        <v>TungstenCNMC (Guangxi) PGMA Co., Ltd.</v>
      </c>
    </row>
    <row r="81" spans="1:28" s="140" customFormat="1" ht="409.5">
      <c r="A81" s="167" t="s">
        <v>997</v>
      </c>
      <c r="B81" s="168" t="s">
        <v>130</v>
      </c>
      <c r="C81" s="169" t="s">
        <v>998</v>
      </c>
      <c r="D81" s="170" t="s">
        <v>998</v>
      </c>
      <c r="E81" s="168" t="s">
        <v>141</v>
      </c>
      <c r="F81" s="168" t="s">
        <v>997</v>
      </c>
      <c r="G81" s="168" t="s">
        <v>142</v>
      </c>
      <c r="H81" s="171" t="s">
        <v>999</v>
      </c>
      <c r="I81" s="172" t="s">
        <v>1000</v>
      </c>
      <c r="J81" s="172" t="s">
        <v>1001</v>
      </c>
      <c r="K81" s="173" t="s">
        <v>1002</v>
      </c>
      <c r="L81" s="173" t="s">
        <v>1003</v>
      </c>
      <c r="M81" s="173" t="s">
        <v>1004</v>
      </c>
      <c r="N81" s="173" t="s">
        <v>1005</v>
      </c>
      <c r="O81" s="173" t="s">
        <v>1006</v>
      </c>
      <c r="P81" s="174" t="s">
        <v>732</v>
      </c>
      <c r="Q81" s="175" t="s">
        <v>1007</v>
      </c>
      <c r="R81" s="168" t="str">
        <f ca="1">IF(ISERROR($V81),"",OFFSET('Smelter Look-up'!$C$4,$V81-4,0)&amp;"")</f>
        <v>QuantumClean</v>
      </c>
      <c r="S81" s="167" t="str">
        <f t="shared" ca="1" si="9"/>
        <v>US</v>
      </c>
      <c r="T81" s="167" t="str">
        <f ca="1">IF(B81="","",IF(ISERROR(MATCH($J81,SorP!$B$1:$B$6230,0)),"",INDIRECT("'SorP'!$A$"&amp;MATCH($J81,SorP!$B$1:$B$6230,0))))</f>
        <v>US-TX</v>
      </c>
      <c r="U81" s="176"/>
      <c r="V81" s="177">
        <f>IF(C81="",NA(),IF(OR(C81="Smelter not listed",C81="Smelter not yet identified"),MATCH($B81&amp;$D81,'Smelter Look-up'!$J:$J,0),MATCH($B81&amp;$C81,'Smelter Look-up'!$J:$J,0)))</f>
        <v>362</v>
      </c>
      <c r="X81" s="140">
        <f t="shared" si="10"/>
        <v>0</v>
      </c>
      <c r="AB81" s="178" t="str">
        <f t="shared" si="11"/>
        <v>TantalumQuantumClean</v>
      </c>
    </row>
    <row r="82" spans="1:28" s="140" customFormat="1" ht="409.5">
      <c r="A82" s="167" t="s">
        <v>1008</v>
      </c>
      <c r="B82" s="168" t="s">
        <v>130</v>
      </c>
      <c r="C82" s="169" t="s">
        <v>1009</v>
      </c>
      <c r="D82" s="170" t="s">
        <v>1010</v>
      </c>
      <c r="E82" s="168" t="s">
        <v>433</v>
      </c>
      <c r="F82" s="168" t="s">
        <v>1008</v>
      </c>
      <c r="G82" s="168" t="s">
        <v>142</v>
      </c>
      <c r="H82" s="171" t="s">
        <v>1011</v>
      </c>
      <c r="I82" s="172" t="s">
        <v>721</v>
      </c>
      <c r="J82" s="172" t="s">
        <v>1012</v>
      </c>
      <c r="K82" s="173" t="s">
        <v>1013</v>
      </c>
      <c r="L82" s="173" t="s">
        <v>1014</v>
      </c>
      <c r="M82" s="173" t="s">
        <v>1015</v>
      </c>
      <c r="N82" s="173" t="s">
        <v>1016</v>
      </c>
      <c r="O82" s="173" t="s">
        <v>1017</v>
      </c>
      <c r="P82" s="174" t="s">
        <v>715</v>
      </c>
      <c r="Q82" s="175" t="s">
        <v>1018</v>
      </c>
      <c r="R82" s="168" t="str">
        <f ca="1">IF(ISERROR($V82),"",OFFSET('Smelter Look-up'!$C$4,$V82-4,0)&amp;"")</f>
        <v>Resind Industria e Comercio Ltda.</v>
      </c>
      <c r="S82" s="167" t="str">
        <f t="shared" ca="1" si="9"/>
        <v>BR</v>
      </c>
      <c r="T82" s="167" t="str">
        <f ca="1">IF(B82="","",IF(ISERROR(MATCH($J82,SorP!$B$1:$B$6230,0)),"",INDIRECT("'SorP'!$A$"&amp;MATCH($J82,SorP!$B$1:$B$6230,0))))</f>
        <v>BR-MG</v>
      </c>
      <c r="U82" s="176"/>
      <c r="V82" s="177">
        <f>IF(C82="",NA(),IF(OR(C82="Smelter not listed",C82="Smelter not yet identified"),MATCH($B82&amp;$D82,'Smelter Look-up'!$J:$J,0),MATCH($B82&amp;$C82,'Smelter Look-up'!$J:$J,0)))</f>
        <v>365</v>
      </c>
      <c r="X82" s="140">
        <f t="shared" si="10"/>
        <v>0</v>
      </c>
      <c r="AB82" s="178" t="str">
        <f t="shared" si="11"/>
        <v>TantalumResind Indústria e Comércio Ltda.</v>
      </c>
    </row>
    <row r="83" spans="1:28" s="140" customFormat="1" ht="409.5">
      <c r="A83" s="167" t="s">
        <v>1025</v>
      </c>
      <c r="B83" s="168" t="s">
        <v>130</v>
      </c>
      <c r="C83" s="169" t="s">
        <v>1023</v>
      </c>
      <c r="D83" s="170" t="s">
        <v>1026</v>
      </c>
      <c r="E83" s="168" t="s">
        <v>459</v>
      </c>
      <c r="F83" s="168" t="s">
        <v>1025</v>
      </c>
      <c r="G83" s="168" t="s">
        <v>142</v>
      </c>
      <c r="H83" s="171" t="s">
        <v>1027</v>
      </c>
      <c r="I83" s="172" t="s">
        <v>1024</v>
      </c>
      <c r="J83" s="172" t="s">
        <v>1028</v>
      </c>
      <c r="K83" s="173" t="s">
        <v>1029</v>
      </c>
      <c r="L83" s="173" t="s">
        <v>1030</v>
      </c>
      <c r="M83" s="173" t="s">
        <v>1031</v>
      </c>
      <c r="N83" s="173" t="s">
        <v>1032</v>
      </c>
      <c r="O83" s="173" t="s">
        <v>1033</v>
      </c>
      <c r="P83" s="174" t="s">
        <v>715</v>
      </c>
      <c r="Q83" s="175" t="s">
        <v>1034</v>
      </c>
      <c r="R83" s="168" t="str">
        <f ca="1">IF(ISERROR($V83),"",OFFSET('Smelter Look-up'!$C$4,$V83-4,0)&amp;"")</f>
        <v>Solikamsk Magnesium Works OAO</v>
      </c>
      <c r="S83" s="167" t="str">
        <f t="shared" ref="S83:S107" ca="1" si="12">IF(B83="","",IF(ISERROR(MATCH($E83,CL,0)),"Unknown",INDIRECT("'C'!$A$"&amp;MATCH($E83,CL,0)+1)))</f>
        <v>RU</v>
      </c>
      <c r="T83" s="167" t="str">
        <f ca="1">IF(B83="","",IF(ISERROR(MATCH($J83,SorP!$B$1:$B$6230,0)),"",INDIRECT("'SorP'!$A$"&amp;MATCH($J83,SorP!$B$1:$B$6230,0))))</f>
        <v>RU-PER</v>
      </c>
      <c r="U83" s="176"/>
      <c r="V83" s="177">
        <f>IF(C83="",NA(),IF(OR(C83="Smelter not listed",C83="Smelter not yet identified"),MATCH($B83&amp;$D83,'Smelter Look-up'!$J:$J,0),MATCH($B83&amp;$C83,'Smelter Look-up'!$J:$J,0)))</f>
        <v>371</v>
      </c>
      <c r="X83" s="140">
        <f t="shared" ref="X83:X107" si="13">IF(AND(C83="Smelter not listed",OR(LEN(D83)=0,LEN(E83)=0)),1,0)</f>
        <v>0</v>
      </c>
      <c r="AB83" s="178" t="str">
        <f t="shared" ref="AB83:AB107" si="14">B83&amp;C83</f>
        <v>TantalumSolikamsk Metal Works</v>
      </c>
    </row>
    <row r="84" spans="1:28" s="140" customFormat="1" ht="409.5">
      <c r="A84" s="167" t="s">
        <v>1035</v>
      </c>
      <c r="B84" s="168" t="s">
        <v>130</v>
      </c>
      <c r="C84" s="169" t="s">
        <v>1036</v>
      </c>
      <c r="D84" s="170" t="s">
        <v>1037</v>
      </c>
      <c r="E84" s="168" t="s">
        <v>155</v>
      </c>
      <c r="F84" s="168" t="s">
        <v>1035</v>
      </c>
      <c r="G84" s="168" t="s">
        <v>142</v>
      </c>
      <c r="H84" s="171" t="s">
        <v>1038</v>
      </c>
      <c r="I84" s="172" t="s">
        <v>1039</v>
      </c>
      <c r="J84" s="172" t="s">
        <v>285</v>
      </c>
      <c r="K84" s="173" t="s">
        <v>1040</v>
      </c>
      <c r="L84" s="173" t="s">
        <v>1041</v>
      </c>
      <c r="M84" s="173" t="s">
        <v>1042</v>
      </c>
      <c r="N84" s="173" t="s">
        <v>1043</v>
      </c>
      <c r="O84" s="173" t="s">
        <v>1044</v>
      </c>
      <c r="P84" s="174" t="s">
        <v>732</v>
      </c>
      <c r="Q84" s="175" t="s">
        <v>1045</v>
      </c>
      <c r="R84" s="168" t="str">
        <f ca="1">IF(ISERROR($V84),"",OFFSET('Smelter Look-up'!$C$4,$V84-4,0)&amp;"")</f>
        <v>Taki Chemical Co., Ltd.</v>
      </c>
      <c r="S84" s="167" t="str">
        <f t="shared" ca="1" si="12"/>
        <v>JP</v>
      </c>
      <c r="T84" s="167" t="str">
        <f ca="1">IF(B84="","",IF(ISERROR(MATCH($J84,SorP!$B$1:$B$6230,0)),"",INDIRECT("'SorP'!$A$"&amp;MATCH($J84,SorP!$B$1:$B$6230,0))))</f>
        <v>JP-28</v>
      </c>
      <c r="U84" s="176"/>
      <c r="V84" s="177">
        <f>IF(C84="",NA(),IF(OR(C84="Smelter not listed",C84="Smelter not yet identified"),MATCH($B84&amp;$D84,'Smelter Look-up'!$J:$J,0),MATCH($B84&amp;$C84,'Smelter Look-up'!$J:$J,0)))</f>
        <v>373</v>
      </c>
      <c r="X84" s="140">
        <f t="shared" si="13"/>
        <v>0</v>
      </c>
      <c r="AB84" s="178" t="str">
        <f t="shared" si="14"/>
        <v>TantalumTaki Chemicals</v>
      </c>
    </row>
    <row r="85" spans="1:28" s="140" customFormat="1" ht="409.5">
      <c r="A85" s="167" t="s">
        <v>1052</v>
      </c>
      <c r="B85" s="168" t="s">
        <v>131</v>
      </c>
      <c r="C85" s="169" t="s">
        <v>1053</v>
      </c>
      <c r="D85" s="170" t="s">
        <v>1054</v>
      </c>
      <c r="E85" s="168" t="s">
        <v>253</v>
      </c>
      <c r="F85" s="168" t="s">
        <v>1052</v>
      </c>
      <c r="G85" s="168" t="s">
        <v>142</v>
      </c>
      <c r="H85" s="171" t="s">
        <v>1055</v>
      </c>
      <c r="I85" s="172" t="s">
        <v>1056</v>
      </c>
      <c r="J85" s="172" t="s">
        <v>833</v>
      </c>
      <c r="K85" s="173" t="s">
        <v>1057</v>
      </c>
      <c r="L85" s="173" t="s">
        <v>1058</v>
      </c>
      <c r="M85" s="173" t="s">
        <v>1059</v>
      </c>
      <c r="N85" s="173" t="s">
        <v>1060</v>
      </c>
      <c r="O85" s="173" t="s">
        <v>1061</v>
      </c>
      <c r="P85" s="174" t="s">
        <v>151</v>
      </c>
      <c r="Q85" s="175" t="s">
        <v>1062</v>
      </c>
      <c r="R85" s="168" t="str">
        <f ca="1">IF(ISERROR($V85),"",OFFSET('Smelter Look-up'!$C$4,$V85-4,0)&amp;"")</f>
        <v>PT Babel Inti Perkasa</v>
      </c>
      <c r="S85" s="167" t="str">
        <f t="shared" ca="1" si="12"/>
        <v>ID</v>
      </c>
      <c r="T85" s="167" t="str">
        <f ca="1">IF(B85="","",IF(ISERROR(MATCH($J85,SorP!$B$1:$B$6230,0)),"",INDIRECT("'SorP'!$A$"&amp;MATCH($J85,SorP!$B$1:$B$6230,0))))</f>
        <v>ID-BB</v>
      </c>
      <c r="U85" s="176"/>
      <c r="V85" s="177">
        <f>IF(C85="",NA(),IF(OR(C85="Smelter not listed",C85="Smelter not yet identified"),MATCH($B85&amp;$D85,'Smelter Look-up'!$J:$J,0),MATCH($B85&amp;$C85,'Smelter Look-up'!$J:$J,0)))</f>
        <v>486</v>
      </c>
      <c r="X85" s="140">
        <f t="shared" si="13"/>
        <v>0</v>
      </c>
      <c r="AB85" s="178" t="str">
        <f t="shared" si="14"/>
        <v>TinPT Babel Inti Perkasa</v>
      </c>
    </row>
    <row r="86" spans="1:28" s="140" customFormat="1" ht="51">
      <c r="A86" s="167" t="s">
        <v>1063</v>
      </c>
      <c r="B86" s="168" t="s">
        <v>131</v>
      </c>
      <c r="C86" s="169" t="s">
        <v>1064</v>
      </c>
      <c r="D86" s="170" t="s">
        <v>1065</v>
      </c>
      <c r="E86" s="168" t="s">
        <v>253</v>
      </c>
      <c r="F86" s="168" t="s">
        <v>1063</v>
      </c>
      <c r="G86" s="168" t="s">
        <v>169</v>
      </c>
      <c r="H86" s="171" t="s">
        <v>1056</v>
      </c>
      <c r="I86" s="172" t="s">
        <v>1066</v>
      </c>
      <c r="J86" s="172" t="s">
        <v>833</v>
      </c>
      <c r="K86" s="173"/>
      <c r="L86" s="173"/>
      <c r="M86" s="173"/>
      <c r="N86" s="173"/>
      <c r="O86" s="173"/>
      <c r="P86" s="174"/>
      <c r="Q86" s="175" t="s">
        <v>1067</v>
      </c>
      <c r="R86" s="168" t="str">
        <f ca="1">IF(ISERROR($V86),"",OFFSET('Smelter Look-up'!$C$4,$V86-4,0)&amp;"")</f>
        <v/>
      </c>
      <c r="S86" s="167" t="str">
        <f t="shared" ca="1" si="12"/>
        <v>ID</v>
      </c>
      <c r="T86" s="167" t="str">
        <f ca="1">IF(B86="","",IF(ISERROR(MATCH($J86,SorP!$B$1:$B$6230,0)),"",INDIRECT("'SorP'!$A$"&amp;MATCH($J86,SorP!$B$1:$B$6230,0))))</f>
        <v>ID-BB</v>
      </c>
      <c r="U86" s="176"/>
      <c r="V86" s="177" t="e">
        <f>IF(C86="",NA(),IF(OR(C86="Smelter not listed",C86="Smelter not yet identified"),MATCH($B86&amp;$D86,'Smelter Look-up'!$J:$J,0),MATCH($B86&amp;$C86,'Smelter Look-up'!$J:$J,0)))</f>
        <v>#N/A</v>
      </c>
      <c r="X86" s="140">
        <f t="shared" si="13"/>
        <v>0</v>
      </c>
      <c r="AB86" s="178" t="str">
        <f t="shared" si="14"/>
        <v>TinPT BilliTin Makmur Lestari</v>
      </c>
    </row>
    <row r="87" spans="1:28" s="140" customFormat="1" ht="51">
      <c r="A87" s="167" t="s">
        <v>1072</v>
      </c>
      <c r="B87" s="168" t="s">
        <v>131</v>
      </c>
      <c r="C87" s="169" t="s">
        <v>1073</v>
      </c>
      <c r="D87" s="170" t="s">
        <v>1073</v>
      </c>
      <c r="E87" s="168" t="s">
        <v>253</v>
      </c>
      <c r="F87" s="168" t="s">
        <v>1072</v>
      </c>
      <c r="G87" s="168" t="s">
        <v>169</v>
      </c>
      <c r="H87" s="171" t="s">
        <v>114</v>
      </c>
      <c r="I87" s="172" t="s">
        <v>114</v>
      </c>
      <c r="J87" s="172" t="s">
        <v>114</v>
      </c>
      <c r="K87" s="173"/>
      <c r="L87" s="173"/>
      <c r="M87" s="173"/>
      <c r="N87" s="173"/>
      <c r="O87" s="173"/>
      <c r="P87" s="174"/>
      <c r="Q87" s="175"/>
      <c r="R87" s="168" t="str">
        <f ca="1">IF(ISERROR($V87),"",OFFSET('Smelter Look-up'!$C$4,$V87-4,0)&amp;"")</f>
        <v/>
      </c>
      <c r="S87" s="167" t="str">
        <f t="shared" ca="1" si="12"/>
        <v>ID</v>
      </c>
      <c r="T87" s="167" t="str">
        <f ca="1">IF(B87="","",IF(ISERROR(MATCH($J87,SorP!$B$1:$B$6230,0)),"",INDIRECT("'SorP'!$A$"&amp;MATCH($J87,SorP!$B$1:$B$6230,0))))</f>
        <v/>
      </c>
      <c r="U87" s="176"/>
      <c r="V87" s="177" t="e">
        <f>IF(C87="",NA(),IF(OR(C87="Smelter not listed",C87="Smelter not yet identified"),MATCH($B87&amp;$D87,'Smelter Look-up'!$J:$J,0),MATCH($B87&amp;$C87,'Smelter Look-up'!$J:$J,0)))</f>
        <v>#N/A</v>
      </c>
      <c r="X87" s="140">
        <f t="shared" si="13"/>
        <v>0</v>
      </c>
      <c r="AB87" s="178" t="str">
        <f t="shared" si="14"/>
        <v>TinPT Supra Sukses Trinusa</v>
      </c>
    </row>
    <row r="88" spans="1:28" s="140" customFormat="1" ht="409.5">
      <c r="A88" s="167" t="s">
        <v>1077</v>
      </c>
      <c r="B88" s="168" t="s">
        <v>130</v>
      </c>
      <c r="C88" s="169" t="s">
        <v>1078</v>
      </c>
      <c r="D88" s="170" t="s">
        <v>1079</v>
      </c>
      <c r="E88" s="168" t="s">
        <v>311</v>
      </c>
      <c r="F88" s="168" t="s">
        <v>1077</v>
      </c>
      <c r="G88" s="168" t="s">
        <v>142</v>
      </c>
      <c r="H88" s="171" t="s">
        <v>1080</v>
      </c>
      <c r="I88" s="172" t="s">
        <v>1081</v>
      </c>
      <c r="J88" s="172" t="s">
        <v>1082</v>
      </c>
      <c r="K88" s="173" t="s">
        <v>1083</v>
      </c>
      <c r="L88" s="173" t="s">
        <v>1084</v>
      </c>
      <c r="M88" s="173" t="s">
        <v>1085</v>
      </c>
      <c r="N88" s="173" t="s">
        <v>1086</v>
      </c>
      <c r="O88" s="173" t="s">
        <v>1087</v>
      </c>
      <c r="P88" s="174" t="s">
        <v>715</v>
      </c>
      <c r="Q88" s="175" t="s">
        <v>1088</v>
      </c>
      <c r="R88" s="168" t="str">
        <f ca="1">IF(ISERROR($V88),"",OFFSET('Smelter Look-up'!$C$4,$V88-4,0)&amp;"")</f>
        <v>KEMET de Mexico</v>
      </c>
      <c r="S88" s="167" t="str">
        <f t="shared" ca="1" si="12"/>
        <v>MX</v>
      </c>
      <c r="T88" s="167" t="str">
        <f ca="1">IF(B88="","",IF(ISERROR(MATCH($J88,SorP!$B$1:$B$6230,0)),"",INDIRECT("'SorP'!$A$"&amp;MATCH($J88,SorP!$B$1:$B$6230,0))))</f>
        <v>MX-TAM</v>
      </c>
      <c r="U88" s="176"/>
      <c r="V88" s="177">
        <f>IF(C88="",NA(),IF(OR(C88="Smelter not listed",C88="Smelter not yet identified"),MATCH($B88&amp;$D88,'Smelter Look-up'!$J:$J,0),MATCH($B88&amp;$C88,'Smelter Look-up'!$J:$J,0)))</f>
        <v>349</v>
      </c>
      <c r="X88" s="140">
        <f t="shared" si="13"/>
        <v>0</v>
      </c>
      <c r="AB88" s="178" t="str">
        <f t="shared" si="14"/>
        <v>TantalumKEMET de Mexico</v>
      </c>
    </row>
    <row r="89" spans="1:28" s="140" customFormat="1" ht="409.5">
      <c r="A89" s="167" t="s">
        <v>1089</v>
      </c>
      <c r="B89" s="168" t="s">
        <v>130</v>
      </c>
      <c r="C89" s="169" t="s">
        <v>1090</v>
      </c>
      <c r="D89" s="170" t="s">
        <v>1090</v>
      </c>
      <c r="E89" s="168" t="s">
        <v>288</v>
      </c>
      <c r="F89" s="168" t="s">
        <v>1089</v>
      </c>
      <c r="G89" s="168" t="s">
        <v>142</v>
      </c>
      <c r="H89" s="171" t="s">
        <v>1091</v>
      </c>
      <c r="I89" s="172" t="s">
        <v>1092</v>
      </c>
      <c r="J89" s="172" t="s">
        <v>363</v>
      </c>
      <c r="K89" s="173" t="s">
        <v>1093</v>
      </c>
      <c r="L89" s="173" t="s">
        <v>1094</v>
      </c>
      <c r="M89" s="173" t="s">
        <v>1095</v>
      </c>
      <c r="N89" s="173" t="s">
        <v>1096</v>
      </c>
      <c r="O89" s="173" t="s">
        <v>1097</v>
      </c>
      <c r="P89" s="174" t="s">
        <v>715</v>
      </c>
      <c r="Q89" s="175" t="s">
        <v>1098</v>
      </c>
      <c r="R89" s="168" t="str">
        <f ca="1">IF(ISERROR($V89),"",OFFSET('Smelter Look-up'!$C$4,$V89-4,0)&amp;"")</f>
        <v>Ulba Metallurgical Plant JSC</v>
      </c>
      <c r="S89" s="167" t="str">
        <f t="shared" ca="1" si="12"/>
        <v>KZ</v>
      </c>
      <c r="T89" s="167" t="str">
        <f ca="1">IF(B89="","",IF(ISERROR(MATCH($J89,SorP!$B$1:$B$6230,0)),"",INDIRECT("'SorP'!$A$"&amp;MATCH($J89,SorP!$B$1:$B$6230,0))))</f>
        <v>KZ-KAR</v>
      </c>
      <c r="U89" s="176"/>
      <c r="V89" s="177">
        <f>IF(C89="",NA(),IF(OR(C89="Smelter not listed",C89="Smelter not yet identified"),MATCH($B89&amp;$D89,'Smelter Look-up'!$J:$J,0),MATCH($B89&amp;$C89,'Smelter Look-up'!$J:$J,0)))</f>
        <v>380</v>
      </c>
      <c r="X89" s="140">
        <f t="shared" si="13"/>
        <v>0</v>
      </c>
      <c r="AB89" s="178" t="str">
        <f t="shared" si="14"/>
        <v>TantalumUlba Metallurgical Plant JSC</v>
      </c>
    </row>
    <row r="90" spans="1:28" s="140" customFormat="1" ht="409.5">
      <c r="A90" s="167" t="s">
        <v>1101</v>
      </c>
      <c r="B90" s="168" t="s">
        <v>130</v>
      </c>
      <c r="C90" s="169" t="s">
        <v>1102</v>
      </c>
      <c r="D90" s="170" t="s">
        <v>1102</v>
      </c>
      <c r="E90" s="168" t="s">
        <v>192</v>
      </c>
      <c r="F90" s="168" t="s">
        <v>1101</v>
      </c>
      <c r="G90" s="168" t="s">
        <v>142</v>
      </c>
      <c r="H90" s="171" t="s">
        <v>1103</v>
      </c>
      <c r="I90" s="172" t="s">
        <v>1104</v>
      </c>
      <c r="J90" s="172" t="s">
        <v>382</v>
      </c>
      <c r="K90" s="173" t="s">
        <v>1105</v>
      </c>
      <c r="L90" s="173" t="s">
        <v>1106</v>
      </c>
      <c r="M90" s="173" t="s">
        <v>1107</v>
      </c>
      <c r="N90" s="173" t="s">
        <v>1108</v>
      </c>
      <c r="O90" s="173" t="s">
        <v>1109</v>
      </c>
      <c r="P90" s="174" t="s">
        <v>715</v>
      </c>
      <c r="Q90" s="175" t="s">
        <v>1110</v>
      </c>
      <c r="R90" s="168" t="str">
        <f ca="1">IF(ISERROR($V90),"",OFFSET('Smelter Look-up'!$C$4,$V90-4,0)&amp;"")</f>
        <v>XinXing HaoRong Electronic Material Co., Ltd.</v>
      </c>
      <c r="S90" s="167" t="str">
        <f t="shared" ca="1" si="12"/>
        <v>CN</v>
      </c>
      <c r="T90" s="167" t="str">
        <f ca="1">IF(B90="","",IF(ISERROR(MATCH($J90,SorP!$B$1:$B$6230,0)),"",INDIRECT("'SorP'!$A$"&amp;MATCH($J90,SorP!$B$1:$B$6230,0))))</f>
        <v>CN-GD</v>
      </c>
      <c r="U90" s="176"/>
      <c r="V90" s="177">
        <f>IF(C90="",NA(),IF(OR(C90="Smelter not listed",C90="Smelter not yet identified"),MATCH($B90&amp;$D90,'Smelter Look-up'!$J:$J,0),MATCH($B90&amp;$C90,'Smelter Look-up'!$J:$J,0)))</f>
        <v>382</v>
      </c>
      <c r="X90" s="140">
        <f t="shared" si="13"/>
        <v>0</v>
      </c>
      <c r="AB90" s="178" t="str">
        <f t="shared" si="14"/>
        <v>TantalumXinXing HaoRong Electronic Material Co., Ltd.</v>
      </c>
    </row>
    <row r="91" spans="1:28" s="140" customFormat="1" ht="409.5">
      <c r="A91" s="167" t="s">
        <v>1111</v>
      </c>
      <c r="B91" s="168" t="s">
        <v>131</v>
      </c>
      <c r="C91" s="169" t="s">
        <v>1112</v>
      </c>
      <c r="D91" s="170" t="s">
        <v>1113</v>
      </c>
      <c r="E91" s="168" t="s">
        <v>141</v>
      </c>
      <c r="F91" s="168" t="s">
        <v>1111</v>
      </c>
      <c r="G91" s="168" t="s">
        <v>142</v>
      </c>
      <c r="H91" s="171" t="s">
        <v>114</v>
      </c>
      <c r="I91" s="172" t="s">
        <v>1114</v>
      </c>
      <c r="J91" s="172" t="s">
        <v>480</v>
      </c>
      <c r="K91" s="173" t="s">
        <v>1115</v>
      </c>
      <c r="L91" s="173" t="s">
        <v>1116</v>
      </c>
      <c r="M91" s="173" t="s">
        <v>1117</v>
      </c>
      <c r="N91" s="173" t="s">
        <v>1118</v>
      </c>
      <c r="O91" s="173" t="s">
        <v>1119</v>
      </c>
      <c r="P91" s="174" t="s">
        <v>164</v>
      </c>
      <c r="Q91" s="175" t="s">
        <v>1120</v>
      </c>
      <c r="R91" s="168" t="str">
        <f ca="1">IF(ISERROR($V91),"",OFFSET('Smelter Look-up'!$C$4,$V91-4,0)&amp;"")</f>
        <v>Alpha</v>
      </c>
      <c r="S91" s="167" t="str">
        <f t="shared" ca="1" si="12"/>
        <v>US</v>
      </c>
      <c r="T91" s="167" t="str">
        <f ca="1">IF(B91="","",IF(ISERROR(MATCH($J91,SorP!$B$1:$B$6230,0)),"",INDIRECT("'SorP'!$A$"&amp;MATCH($J91,SorP!$B$1:$B$6230,0))))</f>
        <v>US-PA</v>
      </c>
      <c r="U91" s="176"/>
      <c r="V91" s="177">
        <f>IF(C91="",NA(),IF(OR(C91="Smelter not listed",C91="Smelter not yet identified"),MATCH($B91&amp;$D91,'Smelter Look-up'!$J:$J,0),MATCH($B91&amp;$C91,'Smelter Look-up'!$J:$J,0)))</f>
        <v>406</v>
      </c>
      <c r="X91" s="140">
        <f t="shared" si="13"/>
        <v>0</v>
      </c>
      <c r="AB91" s="178" t="str">
        <f t="shared" si="14"/>
        <v>TinCookson (Alpha Metals Taiwan)</v>
      </c>
    </row>
    <row r="92" spans="1:28" s="140" customFormat="1" ht="51">
      <c r="A92" s="167" t="s">
        <v>1123</v>
      </c>
      <c r="B92" s="168" t="s">
        <v>131</v>
      </c>
      <c r="C92" s="169" t="s">
        <v>1124</v>
      </c>
      <c r="D92" s="170" t="s">
        <v>1124</v>
      </c>
      <c r="E92" s="168" t="s">
        <v>192</v>
      </c>
      <c r="F92" s="168" t="s">
        <v>1123</v>
      </c>
      <c r="G92" s="168" t="s">
        <v>114</v>
      </c>
      <c r="H92" s="171" t="s">
        <v>114</v>
      </c>
      <c r="I92" s="172"/>
      <c r="J92" s="172" t="s">
        <v>114</v>
      </c>
      <c r="K92" s="173"/>
      <c r="L92" s="173"/>
      <c r="M92" s="173"/>
      <c r="N92" s="173"/>
      <c r="O92" s="173"/>
      <c r="P92" s="174"/>
      <c r="Q92" s="175"/>
      <c r="R92" s="168" t="str">
        <f ca="1">IF(ISERROR($V92),"",OFFSET('Smelter Look-up'!$C$4,$V92-4,0)&amp;"")</f>
        <v/>
      </c>
      <c r="S92" s="167" t="str">
        <f t="shared" ca="1" si="12"/>
        <v>CN</v>
      </c>
      <c r="T92" s="167" t="str">
        <f ca="1">IF(B92="","",IF(ISERROR(MATCH($J92,SorP!$B$1:$B$6230,0)),"",INDIRECT("'SorP'!$A$"&amp;MATCH($J92,SorP!$B$1:$B$6230,0))))</f>
        <v/>
      </c>
      <c r="U92" s="176"/>
      <c r="V92" s="177" t="e">
        <f>IF(C92="",NA(),IF(OR(C92="Smelter not listed",C92="Smelter not yet identified"),MATCH($B92&amp;$D92,'Smelter Look-up'!$J:$J,0),MATCH($B92&amp;$C92,'Smelter Look-up'!$J:$J,0)))</f>
        <v>#N/A</v>
      </c>
      <c r="X92" s="140">
        <f t="shared" si="13"/>
        <v>0</v>
      </c>
      <c r="AB92" s="178" t="str">
        <f t="shared" si="14"/>
        <v>TinAmerican Iron and Metal</v>
      </c>
    </row>
    <row r="93" spans="1:28" s="140" customFormat="1" ht="409.5">
      <c r="A93" s="167" t="s">
        <v>1132</v>
      </c>
      <c r="B93" s="168" t="s">
        <v>131</v>
      </c>
      <c r="C93" s="169" t="s">
        <v>1133</v>
      </c>
      <c r="D93" s="170" t="s">
        <v>1134</v>
      </c>
      <c r="E93" s="168" t="s">
        <v>253</v>
      </c>
      <c r="F93" s="168" t="s">
        <v>1132</v>
      </c>
      <c r="G93" s="168" t="s">
        <v>142</v>
      </c>
      <c r="H93" s="171" t="s">
        <v>1135</v>
      </c>
      <c r="I93" s="172" t="s">
        <v>1136</v>
      </c>
      <c r="J93" s="172" t="s">
        <v>833</v>
      </c>
      <c r="K93" s="173" t="s">
        <v>1137</v>
      </c>
      <c r="L93" s="173" t="s">
        <v>1138</v>
      </c>
      <c r="M93" s="173" t="s">
        <v>1139</v>
      </c>
      <c r="N93" s="173" t="s">
        <v>1140</v>
      </c>
      <c r="O93" s="173" t="s">
        <v>1141</v>
      </c>
      <c r="P93" s="174" t="s">
        <v>151</v>
      </c>
      <c r="Q93" s="175" t="s">
        <v>1142</v>
      </c>
      <c r="R93" s="168" t="str">
        <f ca="1">IF(ISERROR($V93),"",OFFSET('Smelter Look-up'!$C$4,$V93-4,0)&amp;"")</f>
        <v/>
      </c>
      <c r="S93" s="167" t="str">
        <f t="shared" ca="1" si="12"/>
        <v>ID</v>
      </c>
      <c r="T93" s="167" t="str">
        <f ca="1">IF(B93="","",IF(ISERROR(MATCH($J93,SorP!$B$1:$B$6230,0)),"",INDIRECT("'SorP'!$A$"&amp;MATCH($J93,SorP!$B$1:$B$6230,0))))</f>
        <v>ID-BB</v>
      </c>
      <c r="U93" s="176"/>
      <c r="V93" s="177" t="e">
        <f>IF(C93="",NA(),IF(OR(C93="Smelter not listed",C93="Smelter not yet identified"),MATCH($B93&amp;$D93,'Smelter Look-up'!$J:$J,0),MATCH($B93&amp;$C93,'Smelter Look-up'!$J:$J,0)))</f>
        <v>#N/A</v>
      </c>
      <c r="X93" s="140">
        <f t="shared" si="13"/>
        <v>0</v>
      </c>
      <c r="AB93" s="178" t="str">
        <f t="shared" si="14"/>
        <v>TinTimah Indonesian State Tin Corporation</v>
      </c>
    </row>
    <row r="94" spans="1:28" s="140" customFormat="1" ht="409.5">
      <c r="A94" s="167" t="s">
        <v>1143</v>
      </c>
      <c r="B94" s="168" t="s">
        <v>131</v>
      </c>
      <c r="C94" s="169" t="s">
        <v>1144</v>
      </c>
      <c r="D94" s="170" t="s">
        <v>1145</v>
      </c>
      <c r="E94" s="168" t="s">
        <v>192</v>
      </c>
      <c r="F94" s="168" t="s">
        <v>1143</v>
      </c>
      <c r="G94" s="168" t="s">
        <v>142</v>
      </c>
      <c r="H94" s="171" t="s">
        <v>1146</v>
      </c>
      <c r="I94" s="172" t="s">
        <v>1147</v>
      </c>
      <c r="J94" s="172" t="s">
        <v>1148</v>
      </c>
      <c r="K94" s="173" t="s">
        <v>1149</v>
      </c>
      <c r="L94" s="173" t="s">
        <v>1150</v>
      </c>
      <c r="M94" s="173" t="s">
        <v>1151</v>
      </c>
      <c r="N94" s="173" t="s">
        <v>1152</v>
      </c>
      <c r="O94" s="173" t="s">
        <v>1153</v>
      </c>
      <c r="P94" s="174" t="s">
        <v>715</v>
      </c>
      <c r="Q94" s="175" t="s">
        <v>1154</v>
      </c>
      <c r="R94" s="168" t="str">
        <f ca="1">IF(ISERROR($V94),"",OFFSET('Smelter Look-up'!$C$4,$V94-4,0)&amp;"")</f>
        <v>Tin Smelting Branch of Yunnan Tin Co., Ltd.</v>
      </c>
      <c r="S94" s="167" t="str">
        <f t="shared" ca="1" si="12"/>
        <v>CN</v>
      </c>
      <c r="T94" s="167" t="str">
        <f ca="1">IF(B94="","",IF(ISERROR(MATCH($J94,SorP!$B$1:$B$6230,0)),"",INDIRECT("'SorP'!$A$"&amp;MATCH($J94,SorP!$B$1:$B$6230,0))))</f>
        <v>CN-YN</v>
      </c>
      <c r="U94" s="176"/>
      <c r="V94" s="177">
        <f>IF(C94="",NA(),IF(OR(C94="Smelter not listed",C94="Smelter not yet identified"),MATCH($B94&amp;$D94,'Smelter Look-up'!$J:$J,0),MATCH($B94&amp;$C94,'Smelter Look-up'!$J:$J,0)))</f>
        <v>549</v>
      </c>
      <c r="X94" s="140">
        <f t="shared" si="13"/>
        <v>0</v>
      </c>
      <c r="AB94" s="178" t="str">
        <f t="shared" si="14"/>
        <v>TinYuntinic Resources</v>
      </c>
    </row>
    <row r="95" spans="1:28" s="140" customFormat="1" ht="63.75">
      <c r="A95" s="167" t="s">
        <v>1155</v>
      </c>
      <c r="B95" s="168" t="s">
        <v>131</v>
      </c>
      <c r="C95" s="169" t="s">
        <v>1145</v>
      </c>
      <c r="D95" s="170" t="s">
        <v>1145</v>
      </c>
      <c r="E95" s="168" t="s">
        <v>192</v>
      </c>
      <c r="F95" s="168" t="s">
        <v>1155</v>
      </c>
      <c r="G95" s="168" t="s">
        <v>142</v>
      </c>
      <c r="H95" s="171" t="s">
        <v>114</v>
      </c>
      <c r="I95" s="172" t="s">
        <v>1147</v>
      </c>
      <c r="J95" s="172" t="s">
        <v>1148</v>
      </c>
      <c r="K95" s="173"/>
      <c r="L95" s="173"/>
      <c r="M95" s="173"/>
      <c r="N95" s="173"/>
      <c r="O95" s="173"/>
      <c r="P95" s="174"/>
      <c r="Q95" s="175"/>
      <c r="R95" s="168" t="str">
        <f ca="1">IF(ISERROR($V95),"",OFFSET('Smelter Look-up'!$C$4,$V95-4,0)&amp;"")</f>
        <v>Tin Smelting Branch of Yunnan Tin Co., Ltd.</v>
      </c>
      <c r="S95" s="167" t="str">
        <f t="shared" ca="1" si="12"/>
        <v>CN</v>
      </c>
      <c r="T95" s="167" t="str">
        <f ca="1">IF(B95="","",IF(ISERROR(MATCH($J95,SorP!$B$1:$B$6230,0)),"",INDIRECT("'SorP'!$A$"&amp;MATCH($J95,SorP!$B$1:$B$6230,0))))</f>
        <v>CN-YN</v>
      </c>
      <c r="U95" s="176"/>
      <c r="V95" s="177">
        <f>IF(C95="",NA(),IF(OR(C95="Smelter not listed",C95="Smelter not yet identified"),MATCH($B95&amp;$D95,'Smelter Look-up'!$J:$J,0),MATCH($B95&amp;$C95,'Smelter Look-up'!$J:$J,0)))</f>
        <v>544</v>
      </c>
      <c r="X95" s="140">
        <f t="shared" si="13"/>
        <v>0</v>
      </c>
      <c r="AB95" s="178" t="str">
        <f t="shared" si="14"/>
        <v>TinYunnan Tin Company Limited</v>
      </c>
    </row>
    <row r="96" spans="1:28" s="140" customFormat="1" ht="409.5">
      <c r="A96" s="167" t="s">
        <v>1156</v>
      </c>
      <c r="B96" s="168" t="s">
        <v>131</v>
      </c>
      <c r="C96" s="169" t="s">
        <v>1157</v>
      </c>
      <c r="D96" s="170" t="s">
        <v>1157</v>
      </c>
      <c r="E96" s="168" t="s">
        <v>192</v>
      </c>
      <c r="F96" s="168" t="s">
        <v>1156</v>
      </c>
      <c r="G96" s="168" t="s">
        <v>142</v>
      </c>
      <c r="H96" s="171" t="s">
        <v>1158</v>
      </c>
      <c r="I96" s="172" t="s">
        <v>1147</v>
      </c>
      <c r="J96" s="172" t="s">
        <v>1148</v>
      </c>
      <c r="K96" s="173" t="s">
        <v>1159</v>
      </c>
      <c r="L96" s="173" t="s">
        <v>1160</v>
      </c>
      <c r="M96" s="173" t="s">
        <v>1161</v>
      </c>
      <c r="N96" s="173" t="s">
        <v>1162</v>
      </c>
      <c r="O96" s="173" t="s">
        <v>1163</v>
      </c>
      <c r="P96" s="174" t="s">
        <v>600</v>
      </c>
      <c r="Q96" s="175" t="s">
        <v>1164</v>
      </c>
      <c r="R96" s="168" t="str">
        <f ca="1">IF(ISERROR($V96),"",OFFSET('Smelter Look-up'!$C$4,$V96-4,0)&amp;"")</f>
        <v>Yunnan Yunfan Non-ferrous Metals Co., Ltd.</v>
      </c>
      <c r="S96" s="167" t="str">
        <f t="shared" ca="1" si="12"/>
        <v>CN</v>
      </c>
      <c r="T96" s="167" t="str">
        <f ca="1">IF(B96="","",IF(ISERROR(MATCH($J96,SorP!$B$1:$B$6230,0)),"",INDIRECT("'SorP'!$A$"&amp;MATCH($J96,SorP!$B$1:$B$6230,0))))</f>
        <v>CN-YN</v>
      </c>
      <c r="U96" s="176"/>
      <c r="V96" s="177">
        <f>IF(C96="",NA(),IF(OR(C96="Smelter not listed",C96="Smelter not yet identified"),MATCH($B96&amp;$D96,'Smelter Look-up'!$J:$J,0),MATCH($B96&amp;$C96,'Smelter Look-up'!$J:$J,0)))</f>
        <v>548</v>
      </c>
      <c r="X96" s="140">
        <f t="shared" si="13"/>
        <v>0</v>
      </c>
      <c r="AB96" s="178" t="str">
        <f t="shared" si="14"/>
        <v>TinYunnan Yunfan Non-ferrous Metals Co., Ltd.</v>
      </c>
    </row>
    <row r="97" spans="1:28" s="140" customFormat="1" ht="102">
      <c r="A97" s="167" t="s">
        <v>1165</v>
      </c>
      <c r="B97" s="168" t="s">
        <v>131</v>
      </c>
      <c r="C97" s="169" t="s">
        <v>1166</v>
      </c>
      <c r="D97" s="170" t="s">
        <v>1166</v>
      </c>
      <c r="E97" s="168" t="s">
        <v>192</v>
      </c>
      <c r="F97" s="168" t="s">
        <v>1165</v>
      </c>
      <c r="G97" s="168" t="s">
        <v>114</v>
      </c>
      <c r="H97" s="171" t="s">
        <v>114</v>
      </c>
      <c r="I97" s="172" t="s">
        <v>114</v>
      </c>
      <c r="J97" s="172" t="s">
        <v>114</v>
      </c>
      <c r="K97" s="173"/>
      <c r="L97" s="173"/>
      <c r="M97" s="173"/>
      <c r="N97" s="173"/>
      <c r="O97" s="173"/>
      <c r="P97" s="174"/>
      <c r="Q97" s="175"/>
      <c r="R97" s="168" t="str">
        <f ca="1">IF(ISERROR($V97),"",OFFSET('Smelter Look-up'!$C$4,$V97-4,0)&amp;"")</f>
        <v/>
      </c>
      <c r="S97" s="167" t="str">
        <f t="shared" ca="1" si="12"/>
        <v>CN</v>
      </c>
      <c r="T97" s="167" t="str">
        <f ca="1">IF(B97="","",IF(ISERROR(MATCH($J97,SorP!$B$1:$B$6230,0)),"",INDIRECT("'SorP'!$A$"&amp;MATCH($J97,SorP!$B$1:$B$6230,0))))</f>
        <v/>
      </c>
      <c r="U97" s="176"/>
      <c r="V97" s="177" t="e">
        <f>IF(C97="",NA(),IF(OR(C97="Smelter not listed",C97="Smelter not yet identified"),MATCH($B97&amp;$D97,'Smelter Look-up'!$J:$J,0),MATCH($B97&amp;$C97,'Smelter Look-up'!$J:$J,0)))</f>
        <v>#N/A</v>
      </c>
      <c r="X97" s="140">
        <f t="shared" si="13"/>
        <v>0</v>
      </c>
      <c r="AB97" s="178" t="str">
        <f t="shared" si="14"/>
        <v>TinZhangzhou Hiromi Non-ferrous Metals Co., Ltd.</v>
      </c>
    </row>
    <row r="98" spans="1:28" s="140" customFormat="1" ht="76.5">
      <c r="A98" s="167" t="s">
        <v>1167</v>
      </c>
      <c r="B98" s="168" t="s">
        <v>131</v>
      </c>
      <c r="C98" s="169" t="s">
        <v>1168</v>
      </c>
      <c r="D98" s="170" t="s">
        <v>1168</v>
      </c>
      <c r="E98" s="168" t="s">
        <v>141</v>
      </c>
      <c r="F98" s="168" t="s">
        <v>1167</v>
      </c>
      <c r="G98" s="168" t="s">
        <v>114</v>
      </c>
      <c r="H98" s="171" t="s">
        <v>114</v>
      </c>
      <c r="I98" s="172" t="s">
        <v>114</v>
      </c>
      <c r="J98" s="172" t="s">
        <v>114</v>
      </c>
      <c r="K98" s="173"/>
      <c r="L98" s="173"/>
      <c r="M98" s="173"/>
      <c r="N98" s="173"/>
      <c r="O98" s="173"/>
      <c r="P98" s="174"/>
      <c r="Q98" s="175"/>
      <c r="R98" s="168" t="str">
        <f ca="1">IF(ISERROR($V98),"",OFFSET('Smelter Look-up'!$C$4,$V98-4,0)&amp;"")</f>
        <v/>
      </c>
      <c r="S98" s="167" t="str">
        <f t="shared" ca="1" si="12"/>
        <v>US</v>
      </c>
      <c r="T98" s="167" t="str">
        <f ca="1">IF(B98="","",IF(ISERROR(MATCH($J98,SorP!$B$1:$B$6230,0)),"",INDIRECT("'SorP'!$A$"&amp;MATCH($J98,SorP!$B$1:$B$6230,0))))</f>
        <v/>
      </c>
      <c r="U98" s="176"/>
      <c r="V98" s="177" t="e">
        <f>IF(C98="",NA(),IF(OR(C98="Smelter not listed",C98="Smelter not yet identified"),MATCH($B98&amp;$D98,'Smelter Look-up'!$J:$J,0),MATCH($B98&amp;$C98,'Smelter Look-up'!$J:$J,0)))</f>
        <v>#N/A</v>
      </c>
      <c r="X98" s="140">
        <f t="shared" si="13"/>
        <v>0</v>
      </c>
      <c r="AB98" s="178" t="str">
        <f t="shared" si="14"/>
        <v>TinZhangzhou Xiangcheng Hongyu Building</v>
      </c>
    </row>
    <row r="99" spans="1:28" s="140" customFormat="1" ht="63.75">
      <c r="A99" s="167" t="s">
        <v>1170</v>
      </c>
      <c r="B99" s="168" t="s">
        <v>131</v>
      </c>
      <c r="C99" s="169" t="s">
        <v>1171</v>
      </c>
      <c r="D99" s="170" t="s">
        <v>1171</v>
      </c>
      <c r="E99" s="168" t="s">
        <v>192</v>
      </c>
      <c r="F99" s="168" t="s">
        <v>1170</v>
      </c>
      <c r="G99" s="168" t="s">
        <v>142</v>
      </c>
      <c r="H99" s="171" t="s">
        <v>114</v>
      </c>
      <c r="I99" s="172" t="s">
        <v>196</v>
      </c>
      <c r="J99" s="172" t="s">
        <v>196</v>
      </c>
      <c r="K99" s="173"/>
      <c r="L99" s="173"/>
      <c r="M99" s="173"/>
      <c r="N99" s="173" t="s">
        <v>121</v>
      </c>
      <c r="O99" s="173" t="s">
        <v>121</v>
      </c>
      <c r="P99" s="174" t="s">
        <v>121</v>
      </c>
      <c r="Q99" s="175"/>
      <c r="R99" s="168" t="str">
        <f ca="1">IF(ISERROR($V99),"",OFFSET('Smelter Look-up'!$C$4,$V99-4,0)&amp;"")</f>
        <v/>
      </c>
      <c r="S99" s="167" t="str">
        <f t="shared" ca="1" si="12"/>
        <v>CN</v>
      </c>
      <c r="T99" s="167" t="str">
        <f ca="1">IF(B99="","",IF(ISERROR(MATCH($J99,SorP!$B$1:$B$6230,0)),"",INDIRECT("'SorP'!$A$"&amp;MATCH($J99,SorP!$B$1:$B$6230,0))))</f>
        <v/>
      </c>
      <c r="U99" s="176"/>
      <c r="V99" s="177" t="e">
        <f>IF(C99="",NA(),IF(OR(C99="Smelter not listed",C99="Smelter not yet identified"),MATCH($B99&amp;$D99,'Smelter Look-up'!$J:$J,0),MATCH($B99&amp;$C99,'Smelter Look-up'!$J:$J,0)))</f>
        <v>#N/A</v>
      </c>
      <c r="X99" s="140">
        <f t="shared" si="13"/>
        <v>0</v>
      </c>
      <c r="AB99" s="178" t="str">
        <f t="shared" si="14"/>
        <v>TinZhongshan Jinye Smelting Co.,Ltd</v>
      </c>
    </row>
    <row r="100" spans="1:28" s="140" customFormat="1" ht="25.5">
      <c r="A100" s="167" t="s">
        <v>1172</v>
      </c>
      <c r="B100" s="168" t="s">
        <v>131</v>
      </c>
      <c r="C100" s="169" t="s">
        <v>1173</v>
      </c>
      <c r="D100" s="170" t="s">
        <v>1173</v>
      </c>
      <c r="E100" s="168" t="s">
        <v>141</v>
      </c>
      <c r="F100" s="168" t="s">
        <v>1172</v>
      </c>
      <c r="G100" s="168" t="s">
        <v>114</v>
      </c>
      <c r="H100" s="171" t="s">
        <v>114</v>
      </c>
      <c r="I100" s="172" t="s">
        <v>114</v>
      </c>
      <c r="J100" s="172" t="s">
        <v>114</v>
      </c>
      <c r="K100" s="173"/>
      <c r="L100" s="173"/>
      <c r="M100" s="173"/>
      <c r="N100" s="173"/>
      <c r="O100" s="173"/>
      <c r="P100" s="174"/>
      <c r="Q100" s="175"/>
      <c r="R100" s="168" t="str">
        <f ca="1">IF(ISERROR($V100),"",OFFSET('Smelter Look-up'!$C$4,$V100-4,0)&amp;"")</f>
        <v/>
      </c>
      <c r="S100" s="167" t="str">
        <f t="shared" ca="1" si="12"/>
        <v>US</v>
      </c>
      <c r="T100" s="167" t="str">
        <f ca="1">IF(B100="","",IF(ISERROR(MATCH($J100,SorP!$B$1:$B$6230,0)),"",INDIRECT("'SorP'!$A$"&amp;MATCH($J100,SorP!$B$1:$B$6230,0))))</f>
        <v/>
      </c>
      <c r="U100" s="176"/>
      <c r="V100" s="177" t="e">
        <f>IF(C100="",NA(),IF(OR(C100="Smelter not listed",C100="Smelter not yet identified"),MATCH($B100&amp;$D100,'Smelter Look-up'!$J:$J,0),MATCH($B100&amp;$C100,'Smelter Look-up'!$J:$J,0)))</f>
        <v>#N/A</v>
      </c>
      <c r="X100" s="140">
        <f t="shared" si="13"/>
        <v>0</v>
      </c>
      <c r="AB100" s="178" t="str">
        <f t="shared" si="14"/>
        <v>TinZhongShi</v>
      </c>
    </row>
    <row r="101" spans="1:28" s="140" customFormat="1" ht="76.5">
      <c r="A101" s="167" t="s">
        <v>1174</v>
      </c>
      <c r="B101" s="168" t="s">
        <v>131</v>
      </c>
      <c r="C101" s="169" t="s">
        <v>1175</v>
      </c>
      <c r="D101" s="170" t="s">
        <v>1175</v>
      </c>
      <c r="E101" s="168" t="s">
        <v>192</v>
      </c>
      <c r="F101" s="168" t="s">
        <v>1174</v>
      </c>
      <c r="G101" s="168" t="s">
        <v>114</v>
      </c>
      <c r="H101" s="171" t="s">
        <v>114</v>
      </c>
      <c r="I101" s="172" t="s">
        <v>114</v>
      </c>
      <c r="J101" s="172" t="s">
        <v>114</v>
      </c>
      <c r="K101" s="173"/>
      <c r="L101" s="173"/>
      <c r="M101" s="173"/>
      <c r="N101" s="173"/>
      <c r="O101" s="173"/>
      <c r="P101" s="174"/>
      <c r="Q101" s="175"/>
      <c r="R101" s="168" t="str">
        <f ca="1">IF(ISERROR($V101),"",OFFSET('Smelter Look-up'!$C$4,$V101-4,0)&amp;"")</f>
        <v/>
      </c>
      <c r="S101" s="167" t="str">
        <f t="shared" ca="1" si="12"/>
        <v>CN</v>
      </c>
      <c r="T101" s="167" t="str">
        <f ca="1">IF(B101="","",IF(ISERROR(MATCH($J101,SorP!$B$1:$B$6230,0)),"",INDIRECT("'SorP'!$A$"&amp;MATCH($J101,SorP!$B$1:$B$6230,0))))</f>
        <v/>
      </c>
      <c r="U101" s="176"/>
      <c r="V101" s="177" t="e">
        <f>IF(C101="",NA(),IF(OR(C101="Smelter not listed",C101="Smelter not yet identified"),MATCH($B101&amp;$D101,'Smelter Look-up'!$J:$J,0),MATCH($B101&amp;$C101,'Smelter Look-up'!$J:$J,0)))</f>
        <v>#N/A</v>
      </c>
      <c r="X101" s="140">
        <f t="shared" si="13"/>
        <v>0</v>
      </c>
      <c r="AB101" s="178" t="str">
        <f t="shared" si="14"/>
        <v>TinZhuhai Horyison Solder Co., Ltd.</v>
      </c>
    </row>
    <row r="102" spans="1:28" s="140" customFormat="1" ht="409.5">
      <c r="A102" s="167" t="s">
        <v>1176</v>
      </c>
      <c r="B102" s="168" t="s">
        <v>132</v>
      </c>
      <c r="C102" s="169" t="s">
        <v>1177</v>
      </c>
      <c r="D102" s="170" t="s">
        <v>1177</v>
      </c>
      <c r="E102" s="168" t="s">
        <v>433</v>
      </c>
      <c r="F102" s="168" t="s">
        <v>1176</v>
      </c>
      <c r="G102" s="168" t="s">
        <v>142</v>
      </c>
      <c r="H102" s="171" t="s">
        <v>114</v>
      </c>
      <c r="I102" s="172" t="s">
        <v>1178</v>
      </c>
      <c r="J102" s="172" t="s">
        <v>594</v>
      </c>
      <c r="K102" s="173" t="s">
        <v>1179</v>
      </c>
      <c r="L102" s="173" t="s">
        <v>1180</v>
      </c>
      <c r="M102" s="173" t="s">
        <v>1181</v>
      </c>
      <c r="N102" s="173" t="s">
        <v>1182</v>
      </c>
      <c r="O102" s="173" t="s">
        <v>1183</v>
      </c>
      <c r="P102" s="174" t="s">
        <v>715</v>
      </c>
      <c r="Q102" s="175" t="s">
        <v>1184</v>
      </c>
      <c r="R102" s="168" t="str">
        <f ca="1">IF(ISERROR($V102),"",OFFSET('Smelter Look-up'!$C$4,$V102-4,0)&amp;"")</f>
        <v>ACL Metais Eireli</v>
      </c>
      <c r="S102" s="167" t="str">
        <f t="shared" ca="1" si="12"/>
        <v>BR</v>
      </c>
      <c r="T102" s="167" t="str">
        <f ca="1">IF(B102="","",IF(ISERROR(MATCH($J102,SorP!$B$1:$B$6230,0)),"",INDIRECT("'SorP'!$A$"&amp;MATCH($J102,SorP!$B$1:$B$6230,0))))</f>
        <v>BR-SP</v>
      </c>
      <c r="U102" s="176"/>
      <c r="V102" s="177">
        <f>IF(C102="",NA(),IF(OR(C102="Smelter not listed",C102="Smelter not yet identified"),MATCH($B102&amp;$D102,'Smelter Look-up'!$J:$J,0),MATCH($B102&amp;$C102,'Smelter Look-up'!$J:$J,0)))</f>
        <v>556</v>
      </c>
      <c r="X102" s="140">
        <f t="shared" si="13"/>
        <v>0</v>
      </c>
      <c r="AB102" s="178" t="str">
        <f t="shared" si="14"/>
        <v>TungstenACL Metais Eireli</v>
      </c>
    </row>
    <row r="103" spans="1:28" s="140" customFormat="1" ht="409.5">
      <c r="A103" s="167" t="s">
        <v>1185</v>
      </c>
      <c r="B103" s="168" t="s">
        <v>133</v>
      </c>
      <c r="C103" s="169" t="s">
        <v>1186</v>
      </c>
      <c r="D103" s="170" t="s">
        <v>1186</v>
      </c>
      <c r="E103" s="168" t="s">
        <v>179</v>
      </c>
      <c r="F103" s="168" t="s">
        <v>1185</v>
      </c>
      <c r="G103" s="168" t="s">
        <v>142</v>
      </c>
      <c r="H103" s="171" t="s">
        <v>1187</v>
      </c>
      <c r="I103" s="172" t="s">
        <v>181</v>
      </c>
      <c r="J103" s="172" t="s">
        <v>182</v>
      </c>
      <c r="K103" s="173" t="s">
        <v>1188</v>
      </c>
      <c r="L103" s="173" t="s">
        <v>1189</v>
      </c>
      <c r="M103" s="173" t="s">
        <v>1190</v>
      </c>
      <c r="N103" s="173" t="s">
        <v>1191</v>
      </c>
      <c r="O103" s="173" t="s">
        <v>1192</v>
      </c>
      <c r="P103" s="174" t="s">
        <v>164</v>
      </c>
      <c r="Q103" s="175" t="s">
        <v>1193</v>
      </c>
      <c r="R103" s="168" t="str">
        <f ca="1">IF(ISERROR($V103),"",OFFSET('Smelter Look-up'!$C$4,$V103-4,0)&amp;"")</f>
        <v>WIELAND Edelmetalle GmbH</v>
      </c>
      <c r="S103" s="167" t="str">
        <f t="shared" ca="1" si="12"/>
        <v>DE</v>
      </c>
      <c r="T103" s="167" t="str">
        <f ca="1">IF(B103="","",IF(ISERROR(MATCH($J103,SorP!$B$1:$B$6230,0)),"",INDIRECT("'SorP'!$A$"&amp;MATCH($J103,SorP!$B$1:$B$6230,0))))</f>
        <v>DE-BW</v>
      </c>
      <c r="U103" s="176"/>
      <c r="V103" s="177">
        <f>IF(C103="",NA(),IF(OR(C103="Smelter not listed",C103="Smelter not yet identified"),MATCH($B103&amp;$D103,'Smelter Look-up'!$J:$J,0),MATCH($B103&amp;$C103,'Smelter Look-up'!$J:$J,0)))</f>
        <v>299</v>
      </c>
      <c r="X103" s="140">
        <f t="shared" si="13"/>
        <v>0</v>
      </c>
      <c r="AB103" s="178" t="str">
        <f t="shared" si="14"/>
        <v>GoldWIELAND Edelmetalle GmbH</v>
      </c>
    </row>
    <row r="104" spans="1:28" s="140" customFormat="1" ht="38.25">
      <c r="A104" s="167" t="s">
        <v>1194</v>
      </c>
      <c r="B104" s="168" t="s">
        <v>133</v>
      </c>
      <c r="C104" s="169" t="s">
        <v>1195</v>
      </c>
      <c r="D104" s="170" t="s">
        <v>1195</v>
      </c>
      <c r="E104" s="168" t="s">
        <v>192</v>
      </c>
      <c r="F104" s="168" t="s">
        <v>1194</v>
      </c>
      <c r="G104" s="168" t="s">
        <v>142</v>
      </c>
      <c r="H104" s="171" t="s">
        <v>114</v>
      </c>
      <c r="I104" s="172" t="s">
        <v>196</v>
      </c>
      <c r="J104" s="172" t="s">
        <v>196</v>
      </c>
      <c r="K104" s="173"/>
      <c r="L104" s="173"/>
      <c r="M104" s="173"/>
      <c r="N104" s="173" t="s">
        <v>121</v>
      </c>
      <c r="O104" s="173" t="s">
        <v>121</v>
      </c>
      <c r="P104" s="174" t="s">
        <v>121</v>
      </c>
      <c r="Q104" s="175"/>
      <c r="R104" s="168" t="str">
        <f ca="1">IF(ISERROR($V104),"",OFFSET('Smelter Look-up'!$C$4,$V104-4,0)&amp;"")</f>
        <v/>
      </c>
      <c r="S104" s="167" t="str">
        <f t="shared" ca="1" si="12"/>
        <v>CN</v>
      </c>
      <c r="T104" s="167" t="str">
        <f ca="1">IF(B104="","",IF(ISERROR(MATCH($J104,SorP!$B$1:$B$6230,0)),"",INDIRECT("'SorP'!$A$"&amp;MATCH($J104,SorP!$B$1:$B$6230,0))))</f>
        <v/>
      </c>
      <c r="U104" s="176"/>
      <c r="V104" s="177" t="e">
        <f>IF(C104="",NA(),IF(OR(C104="Smelter not listed",C104="Smelter not yet identified"),MATCH($B104&amp;$D104,'Smelter Look-up'!$J:$J,0),MATCH($B104&amp;$C104,'Smelter Look-up'!$J:$J,0)))</f>
        <v>#N/A</v>
      </c>
      <c r="X104" s="140">
        <f t="shared" si="13"/>
        <v>0</v>
      </c>
      <c r="AB104" s="178" t="str">
        <f t="shared" si="14"/>
        <v>GoldWuzhong Group</v>
      </c>
    </row>
    <row r="105" spans="1:28" s="140" customFormat="1" ht="76.5">
      <c r="A105" s="167" t="s">
        <v>1196</v>
      </c>
      <c r="B105" s="168" t="s">
        <v>133</v>
      </c>
      <c r="C105" s="169" t="s">
        <v>1197</v>
      </c>
      <c r="D105" s="170" t="s">
        <v>1198</v>
      </c>
      <c r="E105" s="168" t="s">
        <v>192</v>
      </c>
      <c r="F105" s="168" t="s">
        <v>1196</v>
      </c>
      <c r="G105" s="168" t="s">
        <v>142</v>
      </c>
      <c r="H105" s="171" t="s">
        <v>114</v>
      </c>
      <c r="I105" s="172" t="s">
        <v>196</v>
      </c>
      <c r="J105" s="172" t="s">
        <v>196</v>
      </c>
      <c r="K105" s="173"/>
      <c r="L105" s="173"/>
      <c r="M105" s="173"/>
      <c r="N105" s="173" t="s">
        <v>121</v>
      </c>
      <c r="O105" s="173" t="s">
        <v>121</v>
      </c>
      <c r="P105" s="174" t="s">
        <v>121</v>
      </c>
      <c r="Q105" s="175"/>
      <c r="R105" s="168" t="str">
        <f ca="1">IF(ISERROR($V105),"",OFFSET('Smelter Look-up'!$C$4,$V105-4,0)&amp;"")</f>
        <v/>
      </c>
      <c r="S105" s="167" t="str">
        <f t="shared" ca="1" si="12"/>
        <v>CN</v>
      </c>
      <c r="T105" s="167" t="str">
        <f ca="1">IF(B105="","",IF(ISERROR(MATCH($J105,SorP!$B$1:$B$6230,0)),"",INDIRECT("'SorP'!$A$"&amp;MATCH($J105,SorP!$B$1:$B$6230,0))))</f>
        <v/>
      </c>
      <c r="U105" s="176"/>
      <c r="V105" s="177" t="e">
        <f>IF(C105="",NA(),IF(OR(C105="Smelter not listed",C105="Smelter not yet identified"),MATCH($B105&amp;$D105,'Smelter Look-up'!$J:$J,0),MATCH($B105&amp;$C105,'Smelter Look-up'!$J:$J,0)))</f>
        <v>#N/A</v>
      </c>
      <c r="X105" s="140">
        <f t="shared" si="13"/>
        <v>0</v>
      </c>
      <c r="AB105" s="178" t="str">
        <f t="shared" si="14"/>
        <v>GoldXiamen JInbo Metal Co., Ltd.</v>
      </c>
    </row>
    <row r="106" spans="1:28" s="140" customFormat="1" ht="409.5">
      <c r="A106" s="167" t="s">
        <v>1199</v>
      </c>
      <c r="B106" s="168" t="s">
        <v>130</v>
      </c>
      <c r="C106" s="169" t="s">
        <v>1200</v>
      </c>
      <c r="D106" s="170" t="s">
        <v>1201</v>
      </c>
      <c r="E106" s="168" t="s">
        <v>141</v>
      </c>
      <c r="F106" s="168" t="s">
        <v>1199</v>
      </c>
      <c r="G106" s="168" t="s">
        <v>142</v>
      </c>
      <c r="H106" s="171" t="s">
        <v>1202</v>
      </c>
      <c r="I106" s="172" t="s">
        <v>1203</v>
      </c>
      <c r="J106" s="172" t="s">
        <v>1204</v>
      </c>
      <c r="K106" s="173" t="s">
        <v>1205</v>
      </c>
      <c r="L106" s="173" t="s">
        <v>1206</v>
      </c>
      <c r="M106" s="173" t="s">
        <v>1207</v>
      </c>
      <c r="N106" s="173" t="s">
        <v>1208</v>
      </c>
      <c r="O106" s="173" t="s">
        <v>1209</v>
      </c>
      <c r="P106" s="174" t="s">
        <v>715</v>
      </c>
      <c r="Q106" s="175" t="s">
        <v>1210</v>
      </c>
      <c r="R106" s="168" t="str">
        <f ca="1">IF(ISERROR($V106),"",OFFSET('Smelter Look-up'!$C$4,$V106-4,0)&amp;"")</f>
        <v/>
      </c>
      <c r="S106" s="167" t="str">
        <f t="shared" ca="1" si="12"/>
        <v>US</v>
      </c>
      <c r="T106" s="167" t="str">
        <f ca="1">IF(B106="","",IF(ISERROR(MATCH($J106,SorP!$B$1:$B$6230,0)),"",INDIRECT("'SorP'!$A$"&amp;MATCH($J106,SorP!$B$1:$B$6230,0))))</f>
        <v>US-MA</v>
      </c>
      <c r="U106" s="176"/>
      <c r="V106" s="177" t="e">
        <f>IF(C106="",NA(),IF(OR(C106="Smelter not listed",C106="Smelter not yet identified"),MATCH($B106&amp;$D106,'Smelter Look-up'!$J:$J,0),MATCH($B106&amp;$C106,'Smelter Look-up'!$J:$J,0)))</f>
        <v>#N/A</v>
      </c>
      <c r="X106" s="140">
        <f t="shared" si="13"/>
        <v>0</v>
      </c>
      <c r="AB106" s="178" t="str">
        <f t="shared" si="14"/>
        <v>TantalumMaterion Newton Inc.</v>
      </c>
    </row>
    <row r="107" spans="1:28" s="140" customFormat="1" ht="409.5">
      <c r="A107" s="167" t="s">
        <v>1216</v>
      </c>
      <c r="B107" s="168" t="s">
        <v>130</v>
      </c>
      <c r="C107" s="169" t="s">
        <v>1217</v>
      </c>
      <c r="D107" s="170" t="s">
        <v>1218</v>
      </c>
      <c r="E107" s="168" t="s">
        <v>179</v>
      </c>
      <c r="F107" s="168" t="s">
        <v>1216</v>
      </c>
      <c r="G107" s="168" t="s">
        <v>142</v>
      </c>
      <c r="H107" s="171" t="s">
        <v>1219</v>
      </c>
      <c r="I107" s="172" t="s">
        <v>1220</v>
      </c>
      <c r="J107" s="172" t="s">
        <v>182</v>
      </c>
      <c r="K107" s="173" t="s">
        <v>1221</v>
      </c>
      <c r="L107" s="173" t="s">
        <v>1222</v>
      </c>
      <c r="M107" s="173" t="s">
        <v>1223</v>
      </c>
      <c r="N107" s="173" t="s">
        <v>1224</v>
      </c>
      <c r="O107" s="173" t="s">
        <v>1225</v>
      </c>
      <c r="P107" s="174" t="s">
        <v>715</v>
      </c>
      <c r="Q107" s="175" t="s">
        <v>1226</v>
      </c>
      <c r="R107" s="168" t="str">
        <f ca="1">IF(ISERROR($V107),"",OFFSET('Smelter Look-up'!$C$4,$V107-4,0)&amp;"")</f>
        <v>TANIOBIS Smelting GmbH &amp; Co. KG</v>
      </c>
      <c r="S107" s="167" t="str">
        <f t="shared" ca="1" si="12"/>
        <v>DE</v>
      </c>
      <c r="T107" s="167" t="str">
        <f ca="1">IF(B107="","",IF(ISERROR(MATCH($J107,SorP!$B$1:$B$6230,0)),"",INDIRECT("'SorP'!$A$"&amp;MATCH($J107,SorP!$B$1:$B$6230,0))))</f>
        <v>DE-BW</v>
      </c>
      <c r="U107" s="176"/>
      <c r="V107" s="177">
        <f>IF(C107="",NA(),IF(OR(C107="Smelter not listed",C107="Smelter not yet identified"),MATCH($B107&amp;$D107,'Smelter Look-up'!$J:$J,0),MATCH($B107&amp;$C107,'Smelter Look-up'!$J:$J,0)))</f>
        <v>377</v>
      </c>
      <c r="X107" s="140">
        <f t="shared" si="13"/>
        <v>0</v>
      </c>
      <c r="AB107" s="178" t="str">
        <f t="shared" si="14"/>
        <v>TantalumTANIOBIS Smelting GmbH &amp; Co. KG</v>
      </c>
    </row>
    <row r="108" spans="1:28" s="140" customFormat="1" ht="409.5">
      <c r="A108" s="167" t="s">
        <v>1229</v>
      </c>
      <c r="B108" s="168" t="s">
        <v>131</v>
      </c>
      <c r="C108" s="169" t="s">
        <v>1009</v>
      </c>
      <c r="D108" s="170" t="s">
        <v>1010</v>
      </c>
      <c r="E108" s="168" t="s">
        <v>433</v>
      </c>
      <c r="F108" s="168" t="s">
        <v>1229</v>
      </c>
      <c r="G108" s="168" t="s">
        <v>142</v>
      </c>
      <c r="H108" s="171" t="s">
        <v>1011</v>
      </c>
      <c r="I108" s="172" t="s">
        <v>721</v>
      </c>
      <c r="J108" s="172" t="s">
        <v>1012</v>
      </c>
      <c r="K108" s="173" t="s">
        <v>1230</v>
      </c>
      <c r="L108" s="173" t="s">
        <v>1231</v>
      </c>
      <c r="M108" s="173" t="s">
        <v>1232</v>
      </c>
      <c r="N108" s="173" t="s">
        <v>1233</v>
      </c>
      <c r="O108" s="173" t="s">
        <v>1234</v>
      </c>
      <c r="P108" s="174" t="s">
        <v>151</v>
      </c>
      <c r="Q108" s="175" t="s">
        <v>1235</v>
      </c>
      <c r="R108" s="168" t="str">
        <f ca="1">IF(ISERROR($V108),"",OFFSET('Smelter Look-up'!$C$4,$V108-4,0)&amp;"")</f>
        <v>Resind Industria e Comercio Ltda.</v>
      </c>
      <c r="S108" s="167" t="str">
        <f t="shared" ref="S108:S125" ca="1" si="15">IF(B108="","",IF(ISERROR(MATCH($E108,CL,0)),"Unknown",INDIRECT("'C'!$A$"&amp;MATCH($E108,CL,0)+1)))</f>
        <v>BR</v>
      </c>
      <c r="T108" s="167" t="str">
        <f ca="1">IF(B108="","",IF(ISERROR(MATCH($J108,SorP!$B$1:$B$6230,0)),"",INDIRECT("'SorP'!$A$"&amp;MATCH($J108,SorP!$B$1:$B$6230,0))))</f>
        <v>BR-MG</v>
      </c>
      <c r="U108" s="176"/>
      <c r="V108" s="177">
        <f>IF(C108="",NA(),IF(OR(C108="Smelter not listed",C108="Smelter not yet identified"),MATCH($B108&amp;$D108,'Smelter Look-up'!$J:$J,0),MATCH($B108&amp;$C108,'Smelter Look-up'!$J:$J,0)))</f>
        <v>515</v>
      </c>
      <c r="X108" s="140">
        <f t="shared" ref="X108:X125" si="16">IF(AND(C108="Smelter not listed",OR(LEN(D108)=0,LEN(E108)=0)),1,0)</f>
        <v>0</v>
      </c>
      <c r="AB108" s="178" t="str">
        <f t="shared" ref="AB108:AB125" si="17">B108&amp;C108</f>
        <v>TinResind Indústria e Comércio Ltda.</v>
      </c>
    </row>
    <row r="109" spans="1:28" s="140" customFormat="1" ht="51">
      <c r="A109" s="167" t="s">
        <v>1238</v>
      </c>
      <c r="B109" s="168" t="s">
        <v>131</v>
      </c>
      <c r="C109" s="169" t="s">
        <v>1239</v>
      </c>
      <c r="D109" s="170" t="s">
        <v>1239</v>
      </c>
      <c r="E109" s="168" t="s">
        <v>192</v>
      </c>
      <c r="F109" s="168" t="s">
        <v>1238</v>
      </c>
      <c r="G109" s="168" t="s">
        <v>114</v>
      </c>
      <c r="H109" s="171" t="s">
        <v>114</v>
      </c>
      <c r="I109" s="172"/>
      <c r="J109" s="172" t="s">
        <v>114</v>
      </c>
      <c r="K109" s="173"/>
      <c r="L109" s="173"/>
      <c r="M109" s="173"/>
      <c r="N109" s="173"/>
      <c r="O109" s="173"/>
      <c r="P109" s="174"/>
      <c r="Q109" s="175"/>
      <c r="R109" s="168" t="str">
        <f ca="1">IF(ISERROR($V109),"",OFFSET('Smelter Look-up'!$C$4,$V109-4,0)&amp;"")</f>
        <v/>
      </c>
      <c r="S109" s="167" t="str">
        <f t="shared" ca="1" si="15"/>
        <v>CN</v>
      </c>
      <c r="T109" s="167" t="str">
        <f ca="1">IF(B109="","",IF(ISERROR(MATCH($J109,SorP!$B$1:$B$6230,0)),"",INDIRECT("'SorP'!$A$"&amp;MATCH($J109,SorP!$B$1:$B$6230,0))))</f>
        <v/>
      </c>
      <c r="U109" s="176"/>
      <c r="V109" s="177" t="e">
        <f>IF(C109="",NA(),IF(OR(C109="Smelter not listed",C109="Smelter not yet identified"),MATCH($B109&amp;$D109,'Smelter Look-up'!$J:$J,0),MATCH($B109&amp;$C109,'Smelter Look-up'!$J:$J,0)))</f>
        <v>#N/A</v>
      </c>
      <c r="X109" s="140">
        <f t="shared" si="16"/>
        <v>0</v>
      </c>
      <c r="AB109" s="178" t="str">
        <f t="shared" si="17"/>
        <v>TinGEJIU YE LIAN CHANG</v>
      </c>
    </row>
    <row r="110" spans="1:28" s="140" customFormat="1" ht="409.5">
      <c r="A110" s="167" t="s">
        <v>1240</v>
      </c>
      <c r="B110" s="168" t="s">
        <v>132</v>
      </c>
      <c r="C110" s="169" t="s">
        <v>1241</v>
      </c>
      <c r="D110" s="170" t="s">
        <v>1242</v>
      </c>
      <c r="E110" s="168" t="s">
        <v>192</v>
      </c>
      <c r="F110" s="168" t="s">
        <v>1240</v>
      </c>
      <c r="G110" s="168" t="s">
        <v>142</v>
      </c>
      <c r="H110" s="171" t="s">
        <v>1243</v>
      </c>
      <c r="I110" s="172" t="s">
        <v>1244</v>
      </c>
      <c r="J110" s="172" t="s">
        <v>709</v>
      </c>
      <c r="K110" s="173" t="s">
        <v>1245</v>
      </c>
      <c r="L110" s="173" t="s">
        <v>1246</v>
      </c>
      <c r="M110" s="173" t="s">
        <v>1247</v>
      </c>
      <c r="N110" s="173" t="s">
        <v>1248</v>
      </c>
      <c r="O110" s="173" t="s">
        <v>1249</v>
      </c>
      <c r="P110" s="174" t="s">
        <v>715</v>
      </c>
      <c r="Q110" s="175" t="s">
        <v>1250</v>
      </c>
      <c r="R110" s="168" t="str">
        <f ca="1">IF(ISERROR($V110),"",OFFSET('Smelter Look-up'!$C$4,$V110-4,0)&amp;"")</f>
        <v/>
      </c>
      <c r="S110" s="167" t="str">
        <f t="shared" ca="1" si="15"/>
        <v>CN</v>
      </c>
      <c r="T110" s="167" t="str">
        <f ca="1">IF(B110="","",IF(ISERROR(MATCH($J110,SorP!$B$1:$B$6230,0)),"",INDIRECT("'SorP'!$A$"&amp;MATCH($J110,SorP!$B$1:$B$6230,0))))</f>
        <v>CN-HN</v>
      </c>
      <c r="U110" s="176"/>
      <c r="V110" s="177" t="e">
        <f>IF(C110="",NA(),IF(OR(C110="Smelter not listed",C110="Smelter not yet identified"),MATCH($B110&amp;$D110,'Smelter Look-up'!$J:$J,0),MATCH($B110&amp;$C110,'Smelter Look-up'!$J:$J,0)))</f>
        <v>#N/A</v>
      </c>
      <c r="X110" s="140">
        <f t="shared" si="16"/>
        <v>0</v>
      </c>
      <c r="AB110" s="178" t="str">
        <f t="shared" si="17"/>
        <v>TungstenHunan Jintai New Material Co., Ltd.</v>
      </c>
    </row>
    <row r="111" spans="1:28" s="140" customFormat="1" ht="102">
      <c r="A111" s="167" t="s">
        <v>1251</v>
      </c>
      <c r="B111" s="168" t="s">
        <v>132</v>
      </c>
      <c r="C111" s="169" t="s">
        <v>1252</v>
      </c>
      <c r="D111" s="170" t="s">
        <v>1252</v>
      </c>
      <c r="E111" s="168" t="s">
        <v>192</v>
      </c>
      <c r="F111" s="168" t="s">
        <v>1251</v>
      </c>
      <c r="G111" s="168" t="s">
        <v>142</v>
      </c>
      <c r="H111" s="171" t="s">
        <v>114</v>
      </c>
      <c r="I111" s="172" t="s">
        <v>1253</v>
      </c>
      <c r="J111" s="172" t="s">
        <v>709</v>
      </c>
      <c r="K111" s="173" t="s">
        <v>1254</v>
      </c>
      <c r="L111" s="173" t="s">
        <v>1255</v>
      </c>
      <c r="M111" s="173" t="s">
        <v>915</v>
      </c>
      <c r="N111" s="173" t="s">
        <v>1256</v>
      </c>
      <c r="O111" s="173" t="s">
        <v>1257</v>
      </c>
      <c r="P111" s="174" t="s">
        <v>117</v>
      </c>
      <c r="Q111" s="175" t="s">
        <v>1258</v>
      </c>
      <c r="R111" s="168" t="str">
        <f ca="1">IF(ISERROR($V111),"",OFFSET('Smelter Look-up'!$C$4,$V111-4,0)&amp;"")</f>
        <v/>
      </c>
      <c r="S111" s="167" t="str">
        <f t="shared" ca="1" si="15"/>
        <v>CN</v>
      </c>
      <c r="T111" s="167" t="str">
        <f ca="1">IF(B111="","",IF(ISERROR(MATCH($J111,SorP!$B$1:$B$6230,0)),"",INDIRECT("'SorP'!$A$"&amp;MATCH($J111,SorP!$B$1:$B$6230,0))))</f>
        <v>CN-HN</v>
      </c>
      <c r="U111" s="176"/>
      <c r="V111" s="177" t="e">
        <f>IF(C111="",NA(),IF(OR(C111="Smelter not listed",C111="Smelter not yet identified"),MATCH($B111&amp;$D111,'Smelter Look-up'!$J:$J,0),MATCH($B111&amp;$C111,'Smelter Look-up'!$J:$J,0)))</f>
        <v>#N/A</v>
      </c>
      <c r="X111" s="140">
        <f t="shared" si="16"/>
        <v>0</v>
      </c>
      <c r="AB111" s="178" t="str">
        <f t="shared" si="17"/>
        <v>TungstenHunan Litian Tungsten Industry Co., Ltd.</v>
      </c>
    </row>
    <row r="112" spans="1:28" s="140" customFormat="1" ht="409.5">
      <c r="A112" s="167" t="s">
        <v>1259</v>
      </c>
      <c r="B112" s="168" t="s">
        <v>132</v>
      </c>
      <c r="C112" s="169" t="s">
        <v>1260</v>
      </c>
      <c r="D112" s="170" t="s">
        <v>1260</v>
      </c>
      <c r="E112" s="168" t="s">
        <v>141</v>
      </c>
      <c r="F112" s="168" t="s">
        <v>1259</v>
      </c>
      <c r="G112" s="168" t="s">
        <v>142</v>
      </c>
      <c r="H112" s="171" t="s">
        <v>1261</v>
      </c>
      <c r="I112" s="172" t="s">
        <v>1262</v>
      </c>
      <c r="J112" s="172" t="s">
        <v>1263</v>
      </c>
      <c r="K112" s="173" t="s">
        <v>1264</v>
      </c>
      <c r="L112" s="173" t="s">
        <v>1265</v>
      </c>
      <c r="M112" s="173" t="s">
        <v>1266</v>
      </c>
      <c r="N112" s="173" t="s">
        <v>1267</v>
      </c>
      <c r="O112" s="173" t="s">
        <v>1268</v>
      </c>
      <c r="P112" s="174" t="s">
        <v>715</v>
      </c>
      <c r="Q112" s="175" t="s">
        <v>1269</v>
      </c>
      <c r="R112" s="168" t="str">
        <f ca="1">IF(ISERROR($V112),"",OFFSET('Smelter Look-up'!$C$4,$V112-4,0)&amp;"")</f>
        <v>Kennametal Huntsville</v>
      </c>
      <c r="S112" s="167" t="str">
        <f t="shared" ca="1" si="15"/>
        <v>US</v>
      </c>
      <c r="T112" s="167" t="str">
        <f ca="1">IF(B112="","",IF(ISERROR(MATCH($J112,SorP!$B$1:$B$6230,0)),"",INDIRECT("'SorP'!$A$"&amp;MATCH($J112,SorP!$B$1:$B$6230,0))))</f>
        <v>US-AL</v>
      </c>
      <c r="U112" s="176"/>
      <c r="V112" s="177">
        <f>IF(C112="",NA(),IF(OR(C112="Smelter not listed",C112="Smelter not yet identified"),MATCH($B112&amp;$D112,'Smelter Look-up'!$J:$J,0),MATCH($B112&amp;$C112,'Smelter Look-up'!$J:$J,0)))</f>
        <v>604</v>
      </c>
      <c r="X112" s="140">
        <f t="shared" si="16"/>
        <v>0</v>
      </c>
      <c r="AB112" s="178" t="str">
        <f t="shared" si="17"/>
        <v>TungstenKennametal Huntsville</v>
      </c>
    </row>
    <row r="113" spans="1:28" s="140" customFormat="1" ht="267.75">
      <c r="A113" s="167" t="s">
        <v>1270</v>
      </c>
      <c r="B113" s="168" t="s">
        <v>132</v>
      </c>
      <c r="C113" s="169" t="s">
        <v>1271</v>
      </c>
      <c r="D113" s="170" t="s">
        <v>1271</v>
      </c>
      <c r="E113" s="168" t="s">
        <v>256</v>
      </c>
      <c r="F113" s="168" t="s">
        <v>1270</v>
      </c>
      <c r="G113" s="168" t="s">
        <v>142</v>
      </c>
      <c r="H113" s="171" t="s">
        <v>1272</v>
      </c>
      <c r="I113" s="172" t="s">
        <v>1273</v>
      </c>
      <c r="J113" s="172" t="s">
        <v>258</v>
      </c>
      <c r="K113" s="173" t="s">
        <v>1274</v>
      </c>
      <c r="L113" s="173" t="s">
        <v>1275</v>
      </c>
      <c r="M113" s="173" t="s">
        <v>1276</v>
      </c>
      <c r="N113" s="173" t="s">
        <v>1277</v>
      </c>
      <c r="O113" s="173" t="s">
        <v>1278</v>
      </c>
      <c r="P113" s="174" t="s">
        <v>1279</v>
      </c>
      <c r="Q113" s="175" t="s">
        <v>1280</v>
      </c>
      <c r="R113" s="168" t="str">
        <f ca="1">IF(ISERROR($V113),"",OFFSET('Smelter Look-up'!$C$4,$V113-4,0)&amp;"")</f>
        <v>KGETS Co., Ltd.</v>
      </c>
      <c r="S113" s="167" t="str">
        <f t="shared" ca="1" si="15"/>
        <v>KR</v>
      </c>
      <c r="T113" s="167" t="str">
        <f ca="1">IF(B113="","",IF(ISERROR(MATCH($J113,SorP!$B$1:$B$6230,0)),"",INDIRECT("'SorP'!$A$"&amp;MATCH($J113,SorP!$B$1:$B$6230,0))))</f>
        <v>KR-41</v>
      </c>
      <c r="U113" s="176"/>
      <c r="V113" s="177">
        <f>IF(C113="",NA(),IF(OR(C113="Smelter not listed",C113="Smelter not yet identified"),MATCH($B113&amp;$D113,'Smelter Look-up'!$J:$J,0),MATCH($B113&amp;$C113,'Smelter Look-up'!$J:$J,0)))</f>
        <v>605</v>
      </c>
      <c r="X113" s="140">
        <f t="shared" si="16"/>
        <v>0</v>
      </c>
      <c r="AB113" s="178" t="str">
        <f t="shared" si="17"/>
        <v>TungstenKGETS Co., Ltd.</v>
      </c>
    </row>
    <row r="114" spans="1:28" s="140" customFormat="1" ht="409.5">
      <c r="A114" s="167" t="s">
        <v>1281</v>
      </c>
      <c r="B114" s="168" t="s">
        <v>131</v>
      </c>
      <c r="C114" s="169" t="s">
        <v>1065</v>
      </c>
      <c r="D114" s="170" t="s">
        <v>1065</v>
      </c>
      <c r="E114" s="168" t="s">
        <v>253</v>
      </c>
      <c r="F114" s="168" t="s">
        <v>1281</v>
      </c>
      <c r="G114" s="168" t="s">
        <v>142</v>
      </c>
      <c r="H114" s="171" t="s">
        <v>1282</v>
      </c>
      <c r="I114" s="172" t="s">
        <v>1056</v>
      </c>
      <c r="J114" s="172" t="s">
        <v>833</v>
      </c>
      <c r="K114" s="173" t="s">
        <v>1283</v>
      </c>
      <c r="L114" s="173" t="s">
        <v>1284</v>
      </c>
      <c r="M114" s="173" t="s">
        <v>1285</v>
      </c>
      <c r="N114" s="173" t="s">
        <v>1286</v>
      </c>
      <c r="O114" s="173" t="s">
        <v>1287</v>
      </c>
      <c r="P114" s="174" t="s">
        <v>151</v>
      </c>
      <c r="Q114" s="175" t="s">
        <v>1288</v>
      </c>
      <c r="R114" s="168" t="str">
        <f ca="1">IF(ISERROR($V114),"",OFFSET('Smelter Look-up'!$C$4,$V114-4,0)&amp;"")</f>
        <v>PT ATD Makmur Mandiri Jaya</v>
      </c>
      <c r="S114" s="167" t="str">
        <f t="shared" ca="1" si="15"/>
        <v>ID</v>
      </c>
      <c r="T114" s="167" t="str">
        <f ca="1">IF(B114="","",IF(ISERROR(MATCH($J114,SorP!$B$1:$B$6230,0)),"",INDIRECT("'SorP'!$A$"&amp;MATCH($J114,SorP!$B$1:$B$6230,0))))</f>
        <v>ID-BB</v>
      </c>
      <c r="U114" s="176"/>
      <c r="V114" s="177">
        <f>IF(C114="",NA(),IF(OR(C114="Smelter not listed",C114="Smelter not yet identified"),MATCH($B114&amp;$D114,'Smelter Look-up'!$J:$J,0),MATCH($B114&amp;$C114,'Smelter Look-up'!$J:$J,0)))</f>
        <v>485</v>
      </c>
      <c r="X114" s="140">
        <f t="shared" si="16"/>
        <v>0</v>
      </c>
      <c r="AB114" s="178" t="str">
        <f t="shared" si="17"/>
        <v>TinPT ATD Makmur Mandiri Jaya</v>
      </c>
    </row>
    <row r="115" spans="1:28" s="140" customFormat="1" ht="409.5">
      <c r="A115" s="167" t="s">
        <v>1294</v>
      </c>
      <c r="B115" s="168" t="s">
        <v>131</v>
      </c>
      <c r="C115" s="169" t="s">
        <v>1295</v>
      </c>
      <c r="D115" s="170" t="s">
        <v>1295</v>
      </c>
      <c r="E115" s="168" t="s">
        <v>253</v>
      </c>
      <c r="F115" s="168" t="s">
        <v>1294</v>
      </c>
      <c r="G115" s="168" t="s">
        <v>142</v>
      </c>
      <c r="H115" s="171" t="s">
        <v>1296</v>
      </c>
      <c r="I115" s="172" t="s">
        <v>1297</v>
      </c>
      <c r="J115" s="172" t="s">
        <v>833</v>
      </c>
      <c r="K115" s="173" t="s">
        <v>1298</v>
      </c>
      <c r="L115" s="173" t="s">
        <v>1299</v>
      </c>
      <c r="M115" s="173" t="s">
        <v>1300</v>
      </c>
      <c r="N115" s="173" t="s">
        <v>1301</v>
      </c>
      <c r="O115" s="173" t="s">
        <v>1302</v>
      </c>
      <c r="P115" s="174" t="s">
        <v>1303</v>
      </c>
      <c r="Q115" s="175" t="s">
        <v>1304</v>
      </c>
      <c r="R115" s="168" t="str">
        <f ca="1">IF(ISERROR($V115),"",OFFSET('Smelter Look-up'!$C$4,$V115-4,0)&amp;"")</f>
        <v>PT Bangka Serumpun</v>
      </c>
      <c r="S115" s="167" t="str">
        <f t="shared" ca="1" si="15"/>
        <v>ID</v>
      </c>
      <c r="T115" s="167" t="str">
        <f ca="1">IF(B115="","",IF(ISERROR(MATCH($J115,SorP!$B$1:$B$6230,0)),"",INDIRECT("'SorP'!$A$"&amp;MATCH($J115,SorP!$B$1:$B$6230,0))))</f>
        <v>ID-BB</v>
      </c>
      <c r="U115" s="176"/>
      <c r="V115" s="177">
        <f>IF(C115="",NA(),IF(OR(C115="Smelter not listed",C115="Smelter not yet identified"),MATCH($B115&amp;$D115,'Smelter Look-up'!$J:$J,0),MATCH($B115&amp;$C115,'Smelter Look-up'!$J:$J,0)))</f>
        <v>488</v>
      </c>
      <c r="X115" s="140">
        <f t="shared" si="16"/>
        <v>0</v>
      </c>
      <c r="AB115" s="178" t="str">
        <f t="shared" si="17"/>
        <v>TinPT Bangka Serumpun</v>
      </c>
    </row>
    <row r="116" spans="1:28" s="140" customFormat="1" ht="76.5">
      <c r="A116" s="167" t="s">
        <v>1306</v>
      </c>
      <c r="B116" s="168" t="s">
        <v>131</v>
      </c>
      <c r="C116" s="169" t="s">
        <v>1305</v>
      </c>
      <c r="D116" s="170" t="s">
        <v>1305</v>
      </c>
      <c r="E116" s="168" t="s">
        <v>253</v>
      </c>
      <c r="F116" s="168" t="s">
        <v>1306</v>
      </c>
      <c r="G116" s="168" t="s">
        <v>169</v>
      </c>
      <c r="H116" s="171" t="s">
        <v>114</v>
      </c>
      <c r="I116" s="172"/>
      <c r="J116" s="172" t="s">
        <v>114</v>
      </c>
      <c r="K116" s="173"/>
      <c r="L116" s="173"/>
      <c r="M116" s="173"/>
      <c r="N116" s="173"/>
      <c r="O116" s="173"/>
      <c r="P116" s="174"/>
      <c r="Q116" s="175"/>
      <c r="R116" s="168" t="str">
        <f ca="1">IF(ISERROR($V116),"",OFFSET('Smelter Look-up'!$C$4,$V116-4,0)&amp;"")</f>
        <v/>
      </c>
      <c r="S116" s="167" t="str">
        <f t="shared" ca="1" si="15"/>
        <v>ID</v>
      </c>
      <c r="T116" s="167" t="str">
        <f ca="1">IF(B116="","",IF(ISERROR(MATCH($J116,SorP!$B$1:$B$6230,0)),"",INDIRECT("'SorP'!$A$"&amp;MATCH($J116,SorP!$B$1:$B$6230,0))))</f>
        <v/>
      </c>
      <c r="U116" s="176"/>
      <c r="V116" s="177" t="e">
        <f>IF(C116="",NA(),IF(OR(C116="Smelter not listed",C116="Smelter not yet identified"),MATCH($B116&amp;$D116,'Smelter Look-up'!$J:$J,0),MATCH($B116&amp;$C116,'Smelter Look-up'!$J:$J,0)))</f>
        <v>#N/A</v>
      </c>
      <c r="X116" s="140">
        <f t="shared" si="16"/>
        <v>0</v>
      </c>
      <c r="AB116" s="178" t="str">
        <f t="shared" si="17"/>
        <v>TinPT Bangka Timah Utama Sejahtera</v>
      </c>
    </row>
    <row r="117" spans="1:28" s="140" customFormat="1" ht="409.5">
      <c r="A117" s="167" t="s">
        <v>1311</v>
      </c>
      <c r="B117" s="168" t="s">
        <v>133</v>
      </c>
      <c r="C117" s="169" t="s">
        <v>1312</v>
      </c>
      <c r="D117" s="170" t="s">
        <v>1313</v>
      </c>
      <c r="E117" s="168" t="s">
        <v>1314</v>
      </c>
      <c r="F117" s="168" t="s">
        <v>1311</v>
      </c>
      <c r="G117" s="168" t="s">
        <v>142</v>
      </c>
      <c r="H117" s="171" t="s">
        <v>1315</v>
      </c>
      <c r="I117" s="172" t="s">
        <v>1316</v>
      </c>
      <c r="J117" s="172" t="s">
        <v>1317</v>
      </c>
      <c r="K117" s="173" t="s">
        <v>1318</v>
      </c>
      <c r="L117" s="173" t="s">
        <v>1319</v>
      </c>
      <c r="M117" s="173" t="s">
        <v>1320</v>
      </c>
      <c r="N117" s="173" t="s">
        <v>1321</v>
      </c>
      <c r="O117" s="173" t="s">
        <v>1322</v>
      </c>
      <c r="P117" s="174" t="s">
        <v>151</v>
      </c>
      <c r="Q117" s="175" t="s">
        <v>1323</v>
      </c>
      <c r="R117" s="168" t="str">
        <f ca="1">IF(ISERROR($V117),"",OFFSET('Smelter Look-up'!$C$4,$V117-4,0)&amp;"")</f>
        <v>Bangko Sentral ng Pilipinas (Central Bank of the Philippines)</v>
      </c>
      <c r="S117" s="167" t="str">
        <f t="shared" ca="1" si="15"/>
        <v>PH</v>
      </c>
      <c r="T117" s="167" t="str">
        <f ca="1">IF(B117="","",IF(ISERROR(MATCH($J117,SorP!$B$1:$B$6230,0)),"",INDIRECT("'SorP'!$A$"&amp;MATCH($J117,SorP!$B$1:$B$6230,0))))</f>
        <v>PH-RIZ</v>
      </c>
      <c r="U117" s="176"/>
      <c r="V117" s="177">
        <f>IF(C117="",NA(),IF(OR(C117="Smelter not listed",C117="Smelter not yet identified"),MATCH($B117&amp;$D117,'Smelter Look-up'!$J:$J,0),MATCH($B117&amp;$C117,'Smelter Look-up'!$J:$J,0)))</f>
        <v>51</v>
      </c>
      <c r="X117" s="140">
        <f t="shared" si="16"/>
        <v>0</v>
      </c>
      <c r="AB117" s="178" t="str">
        <f t="shared" si="17"/>
        <v>GoldCentral Bank of the Philippines Gold Refinery &amp; Mint</v>
      </c>
    </row>
    <row r="118" spans="1:28" s="140" customFormat="1" ht="408">
      <c r="A118" s="167" t="s">
        <v>1324</v>
      </c>
      <c r="B118" s="168" t="s">
        <v>133</v>
      </c>
      <c r="C118" s="169" t="s">
        <v>1325</v>
      </c>
      <c r="D118" s="170" t="s">
        <v>1326</v>
      </c>
      <c r="E118" s="168" t="s">
        <v>443</v>
      </c>
      <c r="F118" s="168" t="s">
        <v>1324</v>
      </c>
      <c r="G118" s="168" t="s">
        <v>142</v>
      </c>
      <c r="H118" s="171" t="s">
        <v>1327</v>
      </c>
      <c r="I118" s="172" t="s">
        <v>1328</v>
      </c>
      <c r="J118" s="172" t="s">
        <v>1329</v>
      </c>
      <c r="K118" s="173" t="s">
        <v>1330</v>
      </c>
      <c r="L118" s="173" t="s">
        <v>1331</v>
      </c>
      <c r="M118" s="173" t="s">
        <v>1332</v>
      </c>
      <c r="N118" s="173" t="s">
        <v>1333</v>
      </c>
      <c r="O118" s="173" t="s">
        <v>1334</v>
      </c>
      <c r="P118" s="174" t="s">
        <v>164</v>
      </c>
      <c r="Q118" s="175" t="s">
        <v>1335</v>
      </c>
      <c r="R118" s="168" t="str">
        <f ca="1">IF(ISERROR($V118),"",OFFSET('Smelter Look-up'!$C$4,$V118-4,0)&amp;"")</f>
        <v/>
      </c>
      <c r="S118" s="167" t="str">
        <f t="shared" ca="1" si="15"/>
        <v>CH</v>
      </c>
      <c r="T118" s="167" t="str">
        <f ca="1">IF(B118="","",IF(ISERROR(MATCH($J118,SorP!$B$1:$B$6230,0)),"",INDIRECT("'SorP'!$A$"&amp;MATCH($J118,SorP!$B$1:$B$6230,0))))</f>
        <v>CH-BE</v>
      </c>
      <c r="U118" s="176"/>
      <c r="V118" s="177" t="e">
        <f>IF(C118="",NA(),IF(OR(C118="Smelter not listed",C118="Smelter not yet identified"),MATCH($B118&amp;$D118,'Smelter Look-up'!$J:$J,0),MATCH($B118&amp;$C118,'Smelter Look-up'!$J:$J,0)))</f>
        <v>#N/A</v>
      </c>
      <c r="X118" s="140">
        <f t="shared" si="16"/>
        <v>0</v>
      </c>
      <c r="AB118" s="178" t="str">
        <f t="shared" si="17"/>
        <v>GoldCendres + Métaux SA</v>
      </c>
    </row>
    <row r="119" spans="1:28" s="140" customFormat="1" ht="255">
      <c r="A119" s="167" t="s">
        <v>1336</v>
      </c>
      <c r="B119" s="168" t="s">
        <v>133</v>
      </c>
      <c r="C119" s="169" t="s">
        <v>1337</v>
      </c>
      <c r="D119" s="170" t="s">
        <v>1337</v>
      </c>
      <c r="E119" s="168" t="s">
        <v>226</v>
      </c>
      <c r="F119" s="168" t="s">
        <v>1336</v>
      </c>
      <c r="G119" s="168" t="s">
        <v>142</v>
      </c>
      <c r="H119" s="171" t="s">
        <v>114</v>
      </c>
      <c r="I119" s="172" t="s">
        <v>1338</v>
      </c>
      <c r="J119" s="172" t="s">
        <v>1339</v>
      </c>
      <c r="K119" s="173" t="s">
        <v>1340</v>
      </c>
      <c r="L119" s="173" t="s">
        <v>1341</v>
      </c>
      <c r="M119" s="173"/>
      <c r="N119" s="173" t="s">
        <v>229</v>
      </c>
      <c r="O119" s="173" t="s">
        <v>1342</v>
      </c>
      <c r="P119" s="174" t="s">
        <v>175</v>
      </c>
      <c r="Q119" s="175" t="s">
        <v>1343</v>
      </c>
      <c r="R119" s="168" t="str">
        <f ca="1">IF(ISERROR($V119),"",OFFSET('Smelter Look-up'!$C$4,$V119-4,0)&amp;"")</f>
        <v>CGR Metalloys Pvt Ltd.</v>
      </c>
      <c r="S119" s="167" t="str">
        <f t="shared" ca="1" si="15"/>
        <v>IN</v>
      </c>
      <c r="T119" s="167" t="str">
        <f ca="1">IF(B119="","",IF(ISERROR(MATCH($J119,SorP!$B$1:$B$6230,0)),"",INDIRECT("'SorP'!$A$"&amp;MATCH($J119,SorP!$B$1:$B$6230,0))))</f>
        <v>IN-KL</v>
      </c>
      <c r="U119" s="176"/>
      <c r="V119" s="177">
        <f>IF(C119="",NA(),IF(OR(C119="Smelter not listed",C119="Smelter not yet identified"),MATCH($B119&amp;$D119,'Smelter Look-up'!$J:$J,0),MATCH($B119&amp;$C119,'Smelter Look-up'!$J:$J,0)))</f>
        <v>52</v>
      </c>
      <c r="X119" s="140">
        <f t="shared" si="16"/>
        <v>0</v>
      </c>
      <c r="AB119" s="178" t="str">
        <f t="shared" si="17"/>
        <v>GoldCGR Metalloys Pvt Ltd.</v>
      </c>
    </row>
    <row r="120" spans="1:28" s="140" customFormat="1" ht="38.25">
      <c r="A120" s="167" t="s">
        <v>1349</v>
      </c>
      <c r="B120" s="168" t="s">
        <v>131</v>
      </c>
      <c r="C120" s="169" t="s">
        <v>1227</v>
      </c>
      <c r="D120" s="170" t="s">
        <v>1227</v>
      </c>
      <c r="E120" s="168" t="s">
        <v>253</v>
      </c>
      <c r="F120" s="168" t="s">
        <v>1349</v>
      </c>
      <c r="G120" s="168" t="s">
        <v>114</v>
      </c>
      <c r="H120" s="171" t="s">
        <v>114</v>
      </c>
      <c r="I120" s="172"/>
      <c r="J120" s="172" t="s">
        <v>114</v>
      </c>
      <c r="K120" s="173"/>
      <c r="L120" s="173"/>
      <c r="M120" s="173"/>
      <c r="N120" s="173"/>
      <c r="O120" s="173"/>
      <c r="P120" s="174"/>
      <c r="Q120" s="175"/>
      <c r="R120" s="168" t="str">
        <f ca="1">IF(ISERROR($V120),"",OFFSET('Smelter Look-up'!$C$4,$V120-4,0)&amp;"")</f>
        <v/>
      </c>
      <c r="S120" s="167" t="str">
        <f t="shared" ca="1" si="15"/>
        <v>ID</v>
      </c>
      <c r="T120" s="167" t="str">
        <f ca="1">IF(B120="","",IF(ISERROR(MATCH($J120,SorP!$B$1:$B$6230,0)),"",INDIRECT("'SorP'!$A$"&amp;MATCH($J120,SorP!$B$1:$B$6230,0))))</f>
        <v/>
      </c>
      <c r="U120" s="176"/>
      <c r="V120" s="177" t="e">
        <f>IF(C120="",NA(),IF(OR(C120="Smelter not listed",C120="Smelter not yet identified"),MATCH($B120&amp;$D120,'Smelter Look-up'!$J:$J,0),MATCH($B120&amp;$C120,'Smelter Look-up'!$J:$J,0)))</f>
        <v>#N/A</v>
      </c>
      <c r="X120" s="140">
        <f t="shared" si="16"/>
        <v>0</v>
      </c>
      <c r="AB120" s="178" t="str">
        <f t="shared" si="17"/>
        <v>TinCV Makmur Jaya</v>
      </c>
    </row>
    <row r="121" spans="1:28" s="140" customFormat="1" ht="409.5">
      <c r="A121" s="167" t="s">
        <v>1355</v>
      </c>
      <c r="B121" s="168" t="s">
        <v>133</v>
      </c>
      <c r="C121" s="169" t="s">
        <v>1356</v>
      </c>
      <c r="D121" s="170" t="s">
        <v>1356</v>
      </c>
      <c r="E121" s="168" t="s">
        <v>141</v>
      </c>
      <c r="F121" s="168" t="s">
        <v>1355</v>
      </c>
      <c r="G121" s="168" t="s">
        <v>142</v>
      </c>
      <c r="H121" s="171" t="s">
        <v>1357</v>
      </c>
      <c r="I121" s="172" t="s">
        <v>1358</v>
      </c>
      <c r="J121" s="172" t="s">
        <v>1359</v>
      </c>
      <c r="K121" s="173" t="s">
        <v>1360</v>
      </c>
      <c r="L121" s="173" t="s">
        <v>1361</v>
      </c>
      <c r="M121" s="173" t="s">
        <v>1362</v>
      </c>
      <c r="N121" s="173" t="s">
        <v>1363</v>
      </c>
      <c r="O121" s="173" t="s">
        <v>1364</v>
      </c>
      <c r="P121" s="174" t="s">
        <v>164</v>
      </c>
      <c r="Q121" s="175" t="s">
        <v>1365</v>
      </c>
      <c r="R121" s="168" t="str">
        <f ca="1">IF(ISERROR($V121),"",OFFSET('Smelter Look-up'!$C$4,$V121-4,0)&amp;"")</f>
        <v>Kennecott Utah Copper LLC</v>
      </c>
      <c r="S121" s="167" t="str">
        <f t="shared" ca="1" si="15"/>
        <v>US</v>
      </c>
      <c r="T121" s="167" t="str">
        <f ca="1">IF(B121="","",IF(ISERROR(MATCH($J121,SorP!$B$1:$B$6230,0)),"",INDIRECT("'SorP'!$A$"&amp;MATCH($J121,SorP!$B$1:$B$6230,0))))</f>
        <v>US-UT</v>
      </c>
      <c r="U121" s="176"/>
      <c r="V121" s="177">
        <f>IF(C121="",NA(),IF(OR(C121="Smelter not listed",C121="Smelter not yet identified"),MATCH($B121&amp;$D121,'Smelter Look-up'!$J:$J,0),MATCH($B121&amp;$C121,'Smelter Look-up'!$J:$J,0)))</f>
        <v>138</v>
      </c>
      <c r="X121" s="140">
        <f t="shared" si="16"/>
        <v>0</v>
      </c>
      <c r="AB121" s="178" t="str">
        <f t="shared" si="17"/>
        <v>GoldKennecott Utah Copper LLC</v>
      </c>
    </row>
    <row r="122" spans="1:28" s="140" customFormat="1" ht="409.5">
      <c r="A122" s="167" t="s">
        <v>1366</v>
      </c>
      <c r="B122" s="168" t="s">
        <v>133</v>
      </c>
      <c r="C122" s="169" t="s">
        <v>1367</v>
      </c>
      <c r="D122" s="170" t="s">
        <v>1368</v>
      </c>
      <c r="E122" s="168" t="s">
        <v>1369</v>
      </c>
      <c r="F122" s="168" t="s">
        <v>1366</v>
      </c>
      <c r="G122" s="168" t="s">
        <v>142</v>
      </c>
      <c r="H122" s="171" t="s">
        <v>114</v>
      </c>
      <c r="I122" s="172" t="s">
        <v>1370</v>
      </c>
      <c r="J122" s="172" t="s">
        <v>1371</v>
      </c>
      <c r="K122" s="173" t="s">
        <v>1372</v>
      </c>
      <c r="L122" s="173" t="s">
        <v>1373</v>
      </c>
      <c r="M122" s="173" t="s">
        <v>1374</v>
      </c>
      <c r="N122" s="173" t="s">
        <v>1375</v>
      </c>
      <c r="O122" s="173" t="s">
        <v>1376</v>
      </c>
      <c r="P122" s="174" t="s">
        <v>151</v>
      </c>
      <c r="Q122" s="175" t="s">
        <v>1377</v>
      </c>
      <c r="R122" s="168" t="str">
        <f ca="1">IF(ISERROR($V122),"",OFFSET('Smelter Look-up'!$C$4,$V122-4,0)&amp;"")</f>
        <v>KGHM Polska Miedz Spolka Akcyjna</v>
      </c>
      <c r="S122" s="167" t="str">
        <f t="shared" ca="1" si="15"/>
        <v>PL</v>
      </c>
      <c r="T122" s="167" t="str">
        <f ca="1">IF(B122="","",IF(ISERROR(MATCH($J122,SorP!$B$1:$B$6230,0)),"",INDIRECT("'SorP'!$A$"&amp;MATCH($J122,SorP!$B$1:$B$6230,0))))</f>
        <v>PL-02</v>
      </c>
      <c r="U122" s="176"/>
      <c r="V122" s="177">
        <f>IF(C122="",NA(),IF(OR(C122="Smelter not listed",C122="Smelter not yet identified"),MATCH($B122&amp;$D122,'Smelter Look-up'!$J:$J,0),MATCH($B122&amp;$C122,'Smelter Look-up'!$J:$J,0)))</f>
        <v>141</v>
      </c>
      <c r="X122" s="140">
        <f t="shared" si="16"/>
        <v>0</v>
      </c>
      <c r="AB122" s="178" t="str">
        <f t="shared" si="17"/>
        <v>GoldKGHM Polska Miedź Spółka Akcyjna</v>
      </c>
    </row>
    <row r="123" spans="1:28" s="140" customFormat="1" ht="409.5">
      <c r="A123" s="167" t="s">
        <v>1378</v>
      </c>
      <c r="B123" s="168" t="s">
        <v>131</v>
      </c>
      <c r="C123" s="169" t="s">
        <v>1379</v>
      </c>
      <c r="D123" s="170" t="s">
        <v>1379</v>
      </c>
      <c r="E123" s="168" t="s">
        <v>192</v>
      </c>
      <c r="F123" s="168" t="s">
        <v>1378</v>
      </c>
      <c r="G123" s="168" t="s">
        <v>142</v>
      </c>
      <c r="H123" s="171" t="s">
        <v>1380</v>
      </c>
      <c r="I123" s="172" t="s">
        <v>1147</v>
      </c>
      <c r="J123" s="172" t="s">
        <v>1148</v>
      </c>
      <c r="K123" s="173" t="s">
        <v>1381</v>
      </c>
      <c r="L123" s="173" t="s">
        <v>1382</v>
      </c>
      <c r="M123" s="173" t="s">
        <v>1383</v>
      </c>
      <c r="N123" s="173" t="s">
        <v>1384</v>
      </c>
      <c r="O123" s="173" t="s">
        <v>1385</v>
      </c>
      <c r="P123" s="174" t="s">
        <v>151</v>
      </c>
      <c r="Q123" s="175" t="s">
        <v>1386</v>
      </c>
      <c r="R123" s="168" t="str">
        <f ca="1">IF(ISERROR($V123),"",OFFSET('Smelter Look-up'!$C$4,$V123-4,0)&amp;"")</f>
        <v>Gejiu Zili Mining And Metallurgy Co., Ltd.</v>
      </c>
      <c r="S123" s="167" t="str">
        <f t="shared" ca="1" si="15"/>
        <v>CN</v>
      </c>
      <c r="T123" s="167" t="str">
        <f ca="1">IF(B123="","",IF(ISERROR(MATCH($J123,SorP!$B$1:$B$6230,0)),"",INDIRECT("'SorP'!$A$"&amp;MATCH($J123,SorP!$B$1:$B$6230,0))))</f>
        <v>CN-YN</v>
      </c>
      <c r="U123" s="176"/>
      <c r="V123" s="177">
        <f>IF(C123="",NA(),IF(OR(C123="Smelter not listed",C123="Smelter not yet identified"),MATCH($B123&amp;$D123,'Smelter Look-up'!$J:$J,0),MATCH($B123&amp;$C123,'Smelter Look-up'!$J:$J,0)))</f>
        <v>436</v>
      </c>
      <c r="X123" s="140">
        <f t="shared" si="16"/>
        <v>0</v>
      </c>
      <c r="AB123" s="178" t="str">
        <f t="shared" si="17"/>
        <v>TinGejiu Zili Mining And Metallurgy Co., Ltd.</v>
      </c>
    </row>
    <row r="124" spans="1:28" s="140" customFormat="1" ht="409.5">
      <c r="A124" s="167" t="s">
        <v>1387</v>
      </c>
      <c r="B124" s="168" t="s">
        <v>131</v>
      </c>
      <c r="C124" s="169" t="s">
        <v>380</v>
      </c>
      <c r="D124" s="170" t="s">
        <v>380</v>
      </c>
      <c r="E124" s="168" t="s">
        <v>192</v>
      </c>
      <c r="F124" s="168" t="s">
        <v>1387</v>
      </c>
      <c r="G124" s="168" t="s">
        <v>142</v>
      </c>
      <c r="H124" s="171" t="s">
        <v>1388</v>
      </c>
      <c r="I124" s="172" t="s">
        <v>381</v>
      </c>
      <c r="J124" s="172" t="s">
        <v>382</v>
      </c>
      <c r="K124" s="173" t="s">
        <v>1389</v>
      </c>
      <c r="L124" s="173" t="s">
        <v>1390</v>
      </c>
      <c r="M124" s="173" t="s">
        <v>1391</v>
      </c>
      <c r="N124" s="173" t="s">
        <v>1392</v>
      </c>
      <c r="O124" s="173" t="s">
        <v>1393</v>
      </c>
      <c r="P124" s="174" t="s">
        <v>164</v>
      </c>
      <c r="Q124" s="175" t="s">
        <v>1394</v>
      </c>
      <c r="R124" s="168" t="str">
        <f ca="1">IF(ISERROR($V124),"",OFFSET('Smelter Look-up'!$C$4,$V124-4,0)&amp;"")</f>
        <v>Guangdong Hanhe Non-Ferrous Metal Co., Ltd.</v>
      </c>
      <c r="S124" s="167" t="str">
        <f t="shared" ca="1" si="15"/>
        <v>CN</v>
      </c>
      <c r="T124" s="167" t="str">
        <f ca="1">IF(B124="","",IF(ISERROR(MATCH($J124,SorP!$B$1:$B$6230,0)),"",INDIRECT("'SorP'!$A$"&amp;MATCH($J124,SorP!$B$1:$B$6230,0))))</f>
        <v>CN-GD</v>
      </c>
      <c r="U124" s="176"/>
      <c r="V124" s="177">
        <f>IF(C124="",NA(),IF(OR(C124="Smelter not listed",C124="Smelter not yet identified"),MATCH($B124&amp;$D124,'Smelter Look-up'!$J:$J,0),MATCH($B124&amp;$C124,'Smelter Look-up'!$J:$J,0)))</f>
        <v>439</v>
      </c>
      <c r="X124" s="140">
        <f t="shared" si="16"/>
        <v>0</v>
      </c>
      <c r="AB124" s="178" t="str">
        <f t="shared" si="17"/>
        <v>TinGuangdong Hanhe Non-Ferrous Metal Co., Ltd.</v>
      </c>
    </row>
    <row r="125" spans="1:28" s="140" customFormat="1" ht="127.5">
      <c r="A125" s="167" t="s">
        <v>1395</v>
      </c>
      <c r="B125" s="168" t="s">
        <v>132</v>
      </c>
      <c r="C125" s="169" t="s">
        <v>1396</v>
      </c>
      <c r="D125" s="170" t="s">
        <v>1396</v>
      </c>
      <c r="E125" s="168" t="s">
        <v>192</v>
      </c>
      <c r="F125" s="168" t="s">
        <v>1395</v>
      </c>
      <c r="G125" s="168" t="s">
        <v>114</v>
      </c>
      <c r="H125" s="171" t="s">
        <v>114</v>
      </c>
      <c r="I125" s="172" t="s">
        <v>114</v>
      </c>
      <c r="J125" s="172" t="s">
        <v>114</v>
      </c>
      <c r="K125" s="173"/>
      <c r="L125" s="173"/>
      <c r="M125" s="173"/>
      <c r="N125" s="173"/>
      <c r="O125" s="173"/>
      <c r="P125" s="174"/>
      <c r="Q125" s="175"/>
      <c r="R125" s="168" t="str">
        <f ca="1">IF(ISERROR($V125),"",OFFSET('Smelter Look-up'!$C$4,$V125-4,0)&amp;"")</f>
        <v/>
      </c>
      <c r="S125" s="167" t="str">
        <f t="shared" ca="1" si="15"/>
        <v>CN</v>
      </c>
      <c r="T125" s="167" t="str">
        <f ca="1">IF(B125="","",IF(ISERROR(MATCH($J125,SorP!$B$1:$B$6230,0)),"",INDIRECT("'SorP'!$A$"&amp;MATCH($J125,SorP!$B$1:$B$6230,0))))</f>
        <v/>
      </c>
      <c r="U125" s="176"/>
      <c r="V125" s="177" t="e">
        <f>IF(C125="",NA(),IF(OR(C125="Smelter not listed",C125="Smelter not yet identified"),MATCH($B125&amp;$D125,'Smelter Look-up'!$J:$J,0),MATCH($B125&amp;$C125,'Smelter Look-up'!$J:$J,0)))</f>
        <v>#N/A</v>
      </c>
      <c r="X125" s="140">
        <f t="shared" si="16"/>
        <v>0</v>
      </c>
      <c r="AB125" s="178" t="str">
        <f t="shared" si="17"/>
        <v>TungstenHunan Chuangda Vanadium Tungsten Co., Ltd. Yanglin</v>
      </c>
    </row>
    <row r="126" spans="1:28" s="140" customFormat="1" ht="140.25">
      <c r="A126" s="167" t="s">
        <v>1400</v>
      </c>
      <c r="B126" s="168" t="s">
        <v>132</v>
      </c>
      <c r="C126" s="169" t="s">
        <v>1401</v>
      </c>
      <c r="D126" s="170" t="s">
        <v>1401</v>
      </c>
      <c r="E126" s="168" t="s">
        <v>459</v>
      </c>
      <c r="F126" s="168" t="s">
        <v>1400</v>
      </c>
      <c r="G126" s="168" t="s">
        <v>142</v>
      </c>
      <c r="H126" s="171" t="s">
        <v>1402</v>
      </c>
      <c r="I126" s="172" t="s">
        <v>1403</v>
      </c>
      <c r="J126" s="172" t="s">
        <v>1404</v>
      </c>
      <c r="K126" s="173" t="s">
        <v>1405</v>
      </c>
      <c r="L126" s="173" t="s">
        <v>1406</v>
      </c>
      <c r="M126" s="173" t="s">
        <v>1407</v>
      </c>
      <c r="N126" s="173" t="s">
        <v>1408</v>
      </c>
      <c r="O126" s="173" t="s">
        <v>1409</v>
      </c>
      <c r="P126" s="174" t="s">
        <v>715</v>
      </c>
      <c r="Q126" s="175" t="s">
        <v>1410</v>
      </c>
      <c r="R126" s="168" t="str">
        <f ca="1">IF(ISERROR($V126),"",OFFSET('Smelter Look-up'!$C$4,$V126-4,0)&amp;"")</f>
        <v>JSC "Kirovgrad Hard Alloys Plant"</v>
      </c>
      <c r="S126" s="167" t="str">
        <f t="shared" ref="S126:S149" ca="1" si="18">IF(B126="","",IF(ISERROR(MATCH($E126,CL,0)),"Unknown",INDIRECT("'C'!$A$"&amp;MATCH($E126,CL,0)+1)))</f>
        <v>RU</v>
      </c>
      <c r="T126" s="167" t="str">
        <f ca="1">IF(B126="","",IF(ISERROR(MATCH($J126,SorP!$B$1:$B$6230,0)),"",INDIRECT("'SorP'!$A$"&amp;MATCH($J126,SorP!$B$1:$B$6230,0))))</f>
        <v>RU-SVE</v>
      </c>
      <c r="U126" s="176"/>
      <c r="V126" s="177">
        <f>IF(C126="",NA(),IF(OR(C126="Smelter not listed",C126="Smelter not yet identified"),MATCH($B126&amp;$D126,'Smelter Look-up'!$J:$J,0),MATCH($B126&amp;$C126,'Smelter Look-up'!$J:$J,0)))</f>
        <v>602</v>
      </c>
      <c r="X126" s="140">
        <f t="shared" ref="X126:X149" si="19">IF(AND(C126="Smelter not listed",OR(LEN(D126)=0,LEN(E126)=0)),1,0)</f>
        <v>0</v>
      </c>
      <c r="AB126" s="178" t="str">
        <f t="shared" ref="AB126:AB149" si="20">B126&amp;C126</f>
        <v>TungstenJSC "Kirovgrad Hard Alloys Plant"</v>
      </c>
    </row>
    <row r="127" spans="1:28" s="140" customFormat="1" ht="89.25">
      <c r="A127" s="167" t="s">
        <v>1411</v>
      </c>
      <c r="B127" s="168" t="s">
        <v>132</v>
      </c>
      <c r="C127" s="169" t="s">
        <v>1352</v>
      </c>
      <c r="D127" s="170" t="s">
        <v>1352</v>
      </c>
      <c r="E127" s="168" t="s">
        <v>141</v>
      </c>
      <c r="F127" s="168" t="s">
        <v>1411</v>
      </c>
      <c r="G127" s="168" t="s">
        <v>114</v>
      </c>
      <c r="H127" s="171" t="s">
        <v>114</v>
      </c>
      <c r="I127" s="172" t="s">
        <v>114</v>
      </c>
      <c r="J127" s="172" t="s">
        <v>114</v>
      </c>
      <c r="K127" s="173"/>
      <c r="L127" s="173"/>
      <c r="M127" s="173"/>
      <c r="N127" s="173"/>
      <c r="O127" s="173"/>
      <c r="P127" s="174"/>
      <c r="Q127" s="175"/>
      <c r="R127" s="168" t="str">
        <f ca="1">IF(ISERROR($V127),"",OFFSET('Smelter Look-up'!$C$4,$V127-4,0)&amp;"")</f>
        <v/>
      </c>
      <c r="S127" s="167" t="str">
        <f t="shared" ca="1" si="18"/>
        <v>US</v>
      </c>
      <c r="T127" s="167" t="str">
        <f ca="1">IF(B127="","",IF(ISERROR(MATCH($J127,SorP!$B$1:$B$6230,0)),"",INDIRECT("'SorP'!$A$"&amp;MATCH($J127,SorP!$B$1:$B$6230,0))))</f>
        <v/>
      </c>
      <c r="U127" s="176"/>
      <c r="V127" s="177" t="e">
        <f>IF(C127="",NA(),IF(OR(C127="Smelter not listed",C127="Smelter not yet identified"),MATCH($B127&amp;$D127,'Smelter Look-up'!$J:$J,0),MATCH($B127&amp;$C127,'Smelter Look-up'!$J:$J,0)))</f>
        <v>#N/A</v>
      </c>
      <c r="X127" s="140">
        <f t="shared" si="19"/>
        <v>0</v>
      </c>
      <c r="AB127" s="178" t="str">
        <f t="shared" si="20"/>
        <v>TungstenJX Nippon Mining &amp; Metals Co., Ltd.</v>
      </c>
    </row>
    <row r="128" spans="1:28" s="140" customFormat="1" ht="76.5">
      <c r="A128" s="167" t="s">
        <v>1412</v>
      </c>
      <c r="B128" s="168" t="s">
        <v>132</v>
      </c>
      <c r="C128" s="169" t="s">
        <v>1413</v>
      </c>
      <c r="D128" s="170" t="s">
        <v>1413</v>
      </c>
      <c r="E128" s="168" t="s">
        <v>1047</v>
      </c>
      <c r="F128" s="168" t="s">
        <v>1412</v>
      </c>
      <c r="G128" s="168" t="s">
        <v>114</v>
      </c>
      <c r="H128" s="171" t="s">
        <v>114</v>
      </c>
      <c r="I128" s="172" t="s">
        <v>114</v>
      </c>
      <c r="J128" s="172" t="s">
        <v>114</v>
      </c>
      <c r="K128" s="173"/>
      <c r="L128" s="173"/>
      <c r="M128" s="173"/>
      <c r="N128" s="173"/>
      <c r="O128" s="173"/>
      <c r="P128" s="174"/>
      <c r="Q128" s="175"/>
      <c r="R128" s="168" t="str">
        <f ca="1">IF(ISERROR($V128),"",OFFSET('Smelter Look-up'!$C$4,$V128-4,0)&amp;"")</f>
        <v/>
      </c>
      <c r="S128" s="167" t="str">
        <f t="shared" ca="1" si="18"/>
        <v>TH</v>
      </c>
      <c r="T128" s="167" t="str">
        <f ca="1">IF(B128="","",IF(ISERROR(MATCH($J128,SorP!$B$1:$B$6230,0)),"",INDIRECT("'SorP'!$A$"&amp;MATCH($J128,SorP!$B$1:$B$6230,0))))</f>
        <v/>
      </c>
      <c r="U128" s="176"/>
      <c r="V128" s="177" t="e">
        <f>IF(C128="",NA(),IF(OR(C128="Smelter not listed",C128="Smelter not yet identified"),MATCH($B128&amp;$D128,'Smelter Look-up'!$J:$J,0),MATCH($B128&amp;$C128,'Smelter Look-up'!$J:$J,0)))</f>
        <v>#N/A</v>
      </c>
      <c r="X128" s="140">
        <f t="shared" si="19"/>
        <v>0</v>
      </c>
      <c r="AB128" s="178" t="str">
        <f t="shared" si="20"/>
        <v>TungstenKanto Denka Kogyo Co., Ltd.</v>
      </c>
    </row>
    <row r="129" spans="1:28" s="140" customFormat="1" ht="76.5">
      <c r="A129" s="167" t="s">
        <v>1423</v>
      </c>
      <c r="B129" s="168" t="s">
        <v>132</v>
      </c>
      <c r="C129" s="169" t="s">
        <v>1424</v>
      </c>
      <c r="D129" s="170" t="s">
        <v>1424</v>
      </c>
      <c r="E129" s="168" t="s">
        <v>253</v>
      </c>
      <c r="F129" s="168" t="s">
        <v>1423</v>
      </c>
      <c r="G129" s="168" t="s">
        <v>114</v>
      </c>
      <c r="H129" s="171" t="s">
        <v>114</v>
      </c>
      <c r="I129" s="172" t="s">
        <v>114</v>
      </c>
      <c r="J129" s="172" t="s">
        <v>114</v>
      </c>
      <c r="K129" s="173"/>
      <c r="L129" s="173"/>
      <c r="M129" s="173"/>
      <c r="N129" s="173"/>
      <c r="O129" s="173"/>
      <c r="P129" s="174"/>
      <c r="Q129" s="175"/>
      <c r="R129" s="168" t="str">
        <f ca="1">IF(ISERROR($V129),"",OFFSET('Smelter Look-up'!$C$4,$V129-4,0)&amp;"")</f>
        <v/>
      </c>
      <c r="S129" s="167" t="str">
        <f t="shared" ca="1" si="18"/>
        <v>ID</v>
      </c>
      <c r="T129" s="167" t="str">
        <f ca="1">IF(B129="","",IF(ISERROR(MATCH($J129,SorP!$B$1:$B$6230,0)),"",INDIRECT("'SorP'!$A$"&amp;MATCH($J129,SorP!$B$1:$B$6230,0))))</f>
        <v/>
      </c>
      <c r="U129" s="176"/>
      <c r="V129" s="177" t="e">
        <f>IF(C129="",NA(),IF(OR(C129="Smelter not listed",C129="Smelter not yet identified"),MATCH($B129&amp;$D129,'Smelter Look-up'!$J:$J,0),MATCH($B129&amp;$C129,'Smelter Look-up'!$J:$J,0)))</f>
        <v>#N/A</v>
      </c>
      <c r="X129" s="140">
        <f t="shared" si="19"/>
        <v>0</v>
      </c>
      <c r="AB129" s="178" t="str">
        <f t="shared" si="20"/>
        <v>TungstenMidwest Tungsten Wire Co.</v>
      </c>
    </row>
    <row r="130" spans="1:28" s="140" customFormat="1" ht="89.25">
      <c r="A130" s="167" t="s">
        <v>1425</v>
      </c>
      <c r="B130" s="168" t="s">
        <v>132</v>
      </c>
      <c r="C130" s="169" t="s">
        <v>1426</v>
      </c>
      <c r="D130" s="170" t="s">
        <v>1426</v>
      </c>
      <c r="E130" s="168" t="s">
        <v>253</v>
      </c>
      <c r="F130" s="168" t="s">
        <v>1425</v>
      </c>
      <c r="G130" s="168" t="s">
        <v>114</v>
      </c>
      <c r="H130" s="171" t="s">
        <v>114</v>
      </c>
      <c r="I130" s="172" t="s">
        <v>114</v>
      </c>
      <c r="J130" s="172" t="s">
        <v>114</v>
      </c>
      <c r="K130" s="173"/>
      <c r="L130" s="173"/>
      <c r="M130" s="173"/>
      <c r="N130" s="173"/>
      <c r="O130" s="173"/>
      <c r="P130" s="174"/>
      <c r="Q130" s="175"/>
      <c r="R130" s="168" t="str">
        <f ca="1">IF(ISERROR($V130),"",OFFSET('Smelter Look-up'!$C$4,$V130-4,0)&amp;"")</f>
        <v/>
      </c>
      <c r="S130" s="167" t="str">
        <f t="shared" ca="1" si="18"/>
        <v>ID</v>
      </c>
      <c r="T130" s="167" t="str">
        <f ca="1">IF(B130="","",IF(ISERROR(MATCH($J130,SorP!$B$1:$B$6230,0)),"",INDIRECT("'SorP'!$A$"&amp;MATCH($J130,SorP!$B$1:$B$6230,0))))</f>
        <v/>
      </c>
      <c r="U130" s="176"/>
      <c r="V130" s="177" t="e">
        <f>IF(C130="",NA(),IF(OR(C130="Smelter not listed",C130="Smelter not yet identified"),MATCH($B130&amp;$D130,'Smelter Look-up'!$J:$J,0),MATCH($B130&amp;$C130,'Smelter Look-up'!$J:$J,0)))</f>
        <v>#N/A</v>
      </c>
      <c r="X130" s="140">
        <f t="shared" si="19"/>
        <v>0</v>
      </c>
      <c r="AB130" s="178" t="str">
        <f t="shared" si="20"/>
        <v>TungstenMitsubishi Materials Corporation</v>
      </c>
    </row>
    <row r="131" spans="1:28" s="140" customFormat="1" ht="114.75">
      <c r="A131" s="167" t="s">
        <v>1427</v>
      </c>
      <c r="B131" s="168" t="s">
        <v>132</v>
      </c>
      <c r="C131" s="169" t="s">
        <v>1428</v>
      </c>
      <c r="D131" s="170" t="s">
        <v>1428</v>
      </c>
      <c r="E131" s="168" t="s">
        <v>433</v>
      </c>
      <c r="F131" s="168" t="s">
        <v>1427</v>
      </c>
      <c r="G131" s="168" t="s">
        <v>142</v>
      </c>
      <c r="H131" s="171" t="s">
        <v>1429</v>
      </c>
      <c r="I131" s="172" t="s">
        <v>1430</v>
      </c>
      <c r="J131" s="172" t="s">
        <v>1431</v>
      </c>
      <c r="K131" s="173" t="s">
        <v>1432</v>
      </c>
      <c r="L131" s="173" t="s">
        <v>1433</v>
      </c>
      <c r="M131" s="173" t="s">
        <v>1434</v>
      </c>
      <c r="N131" s="173" t="s">
        <v>1435</v>
      </c>
      <c r="O131" s="173" t="s">
        <v>1436</v>
      </c>
      <c r="P131" s="174" t="s">
        <v>715</v>
      </c>
      <c r="Q131" s="175" t="s">
        <v>1437</v>
      </c>
      <c r="R131" s="168" t="str">
        <f ca="1">IF(ISERROR($V131),"",OFFSET('Smelter Look-up'!$C$4,$V131-4,0)&amp;"")</f>
        <v>Cronimet Brasil Ltda</v>
      </c>
      <c r="S131" s="167" t="str">
        <f t="shared" ca="1" si="18"/>
        <v>BR</v>
      </c>
      <c r="T131" s="167" t="str">
        <f ca="1">IF(B131="","",IF(ISERROR(MATCH($J131,SorP!$B$1:$B$6230,0)),"",INDIRECT("'SorP'!$A$"&amp;MATCH($J131,SorP!$B$1:$B$6230,0))))</f>
        <v>BR-SC</v>
      </c>
      <c r="U131" s="176"/>
      <c r="V131" s="177">
        <f>IF(C131="",NA(),IF(OR(C131="Smelter not listed",C131="Smelter not yet identified"),MATCH($B131&amp;$D131,'Smelter Look-up'!$J:$J,0),MATCH($B131&amp;$C131,'Smelter Look-up'!$J:$J,0)))</f>
        <v>572</v>
      </c>
      <c r="X131" s="140">
        <f t="shared" si="19"/>
        <v>0</v>
      </c>
      <c r="AB131" s="178" t="str">
        <f t="shared" si="20"/>
        <v>TungstenCronimet Brasil Ltda</v>
      </c>
    </row>
    <row r="132" spans="1:28" s="140" customFormat="1" ht="51">
      <c r="A132" s="167" t="s">
        <v>1438</v>
      </c>
      <c r="B132" s="168" t="s">
        <v>132</v>
      </c>
      <c r="C132" s="169" t="s">
        <v>1439</v>
      </c>
      <c r="D132" s="170" t="s">
        <v>1439</v>
      </c>
      <c r="E132" s="168" t="s">
        <v>253</v>
      </c>
      <c r="F132" s="168" t="s">
        <v>1438</v>
      </c>
      <c r="G132" s="168" t="s">
        <v>114</v>
      </c>
      <c r="H132" s="171" t="s">
        <v>114</v>
      </c>
      <c r="I132" s="172" t="s">
        <v>114</v>
      </c>
      <c r="J132" s="172" t="s">
        <v>114</v>
      </c>
      <c r="K132" s="173"/>
      <c r="L132" s="173"/>
      <c r="M132" s="173"/>
      <c r="N132" s="173"/>
      <c r="O132" s="173"/>
      <c r="P132" s="174"/>
      <c r="Q132" s="175"/>
      <c r="R132" s="168" t="str">
        <f ca="1">IF(ISERROR($V132),"",OFFSET('Smelter Look-up'!$C$4,$V132-4,0)&amp;"")</f>
        <v/>
      </c>
      <c r="S132" s="167" t="str">
        <f t="shared" ca="1" si="18"/>
        <v>ID</v>
      </c>
      <c r="T132" s="167" t="str">
        <f ca="1">IF(B132="","",IF(ISERROR(MATCH($J132,SorP!$B$1:$B$6230,0)),"",INDIRECT("'SorP'!$A$"&amp;MATCH($J132,SorP!$B$1:$B$6230,0))))</f>
        <v/>
      </c>
      <c r="U132" s="176"/>
      <c r="V132" s="177" t="e">
        <f>IF(C132="",NA(),IF(OR(C132="Smelter not listed",C132="Smelter not yet identified"),MATCH($B132&amp;$D132,'Smelter Look-up'!$J:$J,0),MATCH($B132&amp;$C132,'Smelter Look-up'!$J:$J,0)))</f>
        <v>#N/A</v>
      </c>
      <c r="X132" s="140">
        <f t="shared" si="19"/>
        <v>0</v>
      </c>
      <c r="AB132" s="178" t="str">
        <f t="shared" si="20"/>
        <v>TungstenCWB Materials</v>
      </c>
    </row>
    <row r="133" spans="1:28" s="140" customFormat="1" ht="63.75">
      <c r="A133" s="167" t="s">
        <v>1442</v>
      </c>
      <c r="B133" s="168" t="s">
        <v>132</v>
      </c>
      <c r="C133" s="169" t="s">
        <v>1443</v>
      </c>
      <c r="D133" s="170" t="s">
        <v>1443</v>
      </c>
      <c r="E133" s="168" t="s">
        <v>253</v>
      </c>
      <c r="F133" s="168" t="s">
        <v>1442</v>
      </c>
      <c r="G133" s="168" t="s">
        <v>114</v>
      </c>
      <c r="H133" s="171" t="s">
        <v>114</v>
      </c>
      <c r="I133" s="172" t="s">
        <v>114</v>
      </c>
      <c r="J133" s="172" t="s">
        <v>114</v>
      </c>
      <c r="K133" s="173"/>
      <c r="L133" s="173"/>
      <c r="M133" s="173"/>
      <c r="N133" s="173"/>
      <c r="O133" s="173"/>
      <c r="P133" s="174"/>
      <c r="Q133" s="175"/>
      <c r="R133" s="168" t="str">
        <f ca="1">IF(ISERROR($V133),"",OFFSET('Smelter Look-up'!$C$4,$V133-4,0)&amp;"")</f>
        <v/>
      </c>
      <c r="S133" s="167" t="str">
        <f t="shared" ca="1" si="18"/>
        <v>ID</v>
      </c>
      <c r="T133" s="167" t="str">
        <f ca="1">IF(B133="","",IF(ISERROR(MATCH($J133,SorP!$B$1:$B$6230,0)),"",INDIRECT("'SorP'!$A$"&amp;MATCH($J133,SorP!$B$1:$B$6230,0))))</f>
        <v/>
      </c>
      <c r="U133" s="176"/>
      <c r="V133" s="177" t="e">
        <f>IF(C133="",NA(),IF(OR(C133="Smelter not listed",C133="Smelter not yet identified"),MATCH($B133&amp;$D133,'Smelter Look-up'!$J:$J,0),MATCH($B133&amp;$C133,'Smelter Look-up'!$J:$J,0)))</f>
        <v>#N/A</v>
      </c>
      <c r="X133" s="140">
        <f t="shared" si="19"/>
        <v>0</v>
      </c>
      <c r="AB133" s="178" t="str">
        <f t="shared" si="20"/>
        <v>TungstenElectroloy Metal Pte</v>
      </c>
    </row>
    <row r="134" spans="1:28" s="140" customFormat="1" ht="63.75">
      <c r="A134" s="167" t="s">
        <v>1444</v>
      </c>
      <c r="B134" s="168" t="s">
        <v>132</v>
      </c>
      <c r="C134" s="169" t="s">
        <v>1445</v>
      </c>
      <c r="D134" s="170" t="s">
        <v>1445</v>
      </c>
      <c r="E134" s="168" t="s">
        <v>253</v>
      </c>
      <c r="F134" s="168" t="s">
        <v>1444</v>
      </c>
      <c r="G134" s="168" t="s">
        <v>114</v>
      </c>
      <c r="H134" s="171" t="s">
        <v>114</v>
      </c>
      <c r="I134" s="172" t="s">
        <v>114</v>
      </c>
      <c r="J134" s="172" t="s">
        <v>114</v>
      </c>
      <c r="K134" s="173"/>
      <c r="L134" s="173"/>
      <c r="M134" s="173"/>
      <c r="N134" s="173"/>
      <c r="O134" s="173"/>
      <c r="P134" s="174"/>
      <c r="Q134" s="175"/>
      <c r="R134" s="168" t="str">
        <f ca="1">IF(ISERROR($V134),"",OFFSET('Smelter Look-up'!$C$4,$V134-4,0)&amp;"")</f>
        <v/>
      </c>
      <c r="S134" s="167" t="str">
        <f t="shared" ca="1" si="18"/>
        <v>ID</v>
      </c>
      <c r="T134" s="167" t="str">
        <f ca="1">IF(B134="","",IF(ISERROR(MATCH($J134,SorP!$B$1:$B$6230,0)),"",INDIRECT("'SorP'!$A$"&amp;MATCH($J134,SorP!$B$1:$B$6230,0))))</f>
        <v/>
      </c>
      <c r="U134" s="176"/>
      <c r="V134" s="177" t="e">
        <f>IF(C134="",NA(),IF(OR(C134="Smelter not listed",C134="Smelter not yet identified"),MATCH($B134&amp;$D134,'Smelter Look-up'!$J:$J,0),MATCH($B134&amp;$C134,'Smelter Look-up'!$J:$J,0)))</f>
        <v>#N/A</v>
      </c>
      <c r="X134" s="140">
        <f t="shared" si="19"/>
        <v>0</v>
      </c>
      <c r="AB134" s="178" t="str">
        <f t="shared" si="20"/>
        <v>TungstenFort Wayne Wire Die, Inc.</v>
      </c>
    </row>
    <row r="135" spans="1:28" s="140" customFormat="1" ht="409.5">
      <c r="A135" s="167" t="s">
        <v>1446</v>
      </c>
      <c r="B135" s="168" t="s">
        <v>132</v>
      </c>
      <c r="C135" s="169" t="s">
        <v>1447</v>
      </c>
      <c r="D135" s="170" t="s">
        <v>1447</v>
      </c>
      <c r="E135" s="168" t="s">
        <v>192</v>
      </c>
      <c r="F135" s="168" t="s">
        <v>1446</v>
      </c>
      <c r="G135" s="168" t="s">
        <v>142</v>
      </c>
      <c r="H135" s="171" t="s">
        <v>1448</v>
      </c>
      <c r="I135" s="172" t="s">
        <v>957</v>
      </c>
      <c r="J135" s="172" t="s">
        <v>958</v>
      </c>
      <c r="K135" s="173" t="s">
        <v>1449</v>
      </c>
      <c r="L135" s="173" t="s">
        <v>1450</v>
      </c>
      <c r="M135" s="173" t="s">
        <v>1451</v>
      </c>
      <c r="N135" s="173" t="s">
        <v>1452</v>
      </c>
      <c r="O135" s="173" t="s">
        <v>1453</v>
      </c>
      <c r="P135" s="174" t="s">
        <v>715</v>
      </c>
      <c r="Q135" s="175" t="s">
        <v>1454</v>
      </c>
      <c r="R135" s="168" t="str">
        <f ca="1">IF(ISERROR($V135),"",OFFSET('Smelter Look-up'!$C$4,$V135-4,0)&amp;"")</f>
        <v>Fujian Ganmin RareMetal Co., Ltd.</v>
      </c>
      <c r="S135" s="167" t="str">
        <f t="shared" ca="1" si="18"/>
        <v>CN</v>
      </c>
      <c r="T135" s="167" t="str">
        <f ca="1">IF(B135="","",IF(ISERROR(MATCH($J135,SorP!$B$1:$B$6230,0)),"",INDIRECT("'SorP'!$A$"&amp;MATCH($J135,SorP!$B$1:$B$6230,0))))</f>
        <v>CN-FJ</v>
      </c>
      <c r="U135" s="176"/>
      <c r="V135" s="177">
        <f>IF(C135="",NA(),IF(OR(C135="Smelter not listed",C135="Smelter not yet identified"),MATCH($B135&amp;$D135,'Smelter Look-up'!$J:$J,0),MATCH($B135&amp;$C135,'Smelter Look-up'!$J:$J,0)))</f>
        <v>573</v>
      </c>
      <c r="X135" s="140">
        <f t="shared" si="19"/>
        <v>0</v>
      </c>
      <c r="AB135" s="178" t="str">
        <f t="shared" si="20"/>
        <v>TungstenFujian Ganmin RareMetal Co., Ltd.</v>
      </c>
    </row>
    <row r="136" spans="1:28" s="140" customFormat="1" ht="280.5">
      <c r="A136" s="167" t="s">
        <v>1456</v>
      </c>
      <c r="B136" s="168" t="s">
        <v>131</v>
      </c>
      <c r="C136" s="169" t="s">
        <v>1457</v>
      </c>
      <c r="D136" s="170" t="s">
        <v>1457</v>
      </c>
      <c r="E136" s="168" t="s">
        <v>1458</v>
      </c>
      <c r="F136" s="168" t="s">
        <v>1456</v>
      </c>
      <c r="G136" s="168" t="s">
        <v>142</v>
      </c>
      <c r="H136" s="171" t="s">
        <v>1459</v>
      </c>
      <c r="I136" s="172" t="s">
        <v>1460</v>
      </c>
      <c r="J136" s="172" t="s">
        <v>1460</v>
      </c>
      <c r="K136" s="173" t="s">
        <v>1461</v>
      </c>
      <c r="L136" s="173" t="s">
        <v>1462</v>
      </c>
      <c r="M136" s="173"/>
      <c r="N136" s="173" t="s">
        <v>220</v>
      </c>
      <c r="O136" s="173" t="s">
        <v>1463</v>
      </c>
      <c r="P136" s="174" t="s">
        <v>175</v>
      </c>
      <c r="Q136" s="175" t="s">
        <v>196</v>
      </c>
      <c r="R136" s="168" t="str">
        <f ca="1">IF(ISERROR($V136),"",OFFSET('Smelter Look-up'!$C$4,$V136-4,0)&amp;"")</f>
        <v>Pongpipat Company Limited</v>
      </c>
      <c r="S136" s="167" t="str">
        <f t="shared" ca="1" si="18"/>
        <v>MM</v>
      </c>
      <c r="T136" s="167" t="str">
        <f ca="1">IF(B136="","",IF(ISERROR(MATCH($J136,SorP!$B$1:$B$6230,0)),"",INDIRECT("'SorP'!$A$"&amp;MATCH($J136,SorP!$B$1:$B$6230,0))))</f>
        <v>MM-06</v>
      </c>
      <c r="U136" s="176"/>
      <c r="V136" s="177">
        <f>IF(C136="",NA(),IF(OR(C136="Smelter not listed",C136="Smelter not yet identified"),MATCH($B136&amp;$D136,'Smelter Look-up'!$J:$J,0),MATCH($B136&amp;$C136,'Smelter Look-up'!$J:$J,0)))</f>
        <v>481</v>
      </c>
      <c r="X136" s="140">
        <f t="shared" si="19"/>
        <v>0</v>
      </c>
      <c r="AB136" s="178" t="str">
        <f t="shared" si="20"/>
        <v>TinPongpipat Company Limited</v>
      </c>
    </row>
    <row r="137" spans="1:28" s="140" customFormat="1" ht="216.75">
      <c r="A137" s="167" t="s">
        <v>1464</v>
      </c>
      <c r="B137" s="168" t="s">
        <v>131</v>
      </c>
      <c r="C137" s="169" t="s">
        <v>1465</v>
      </c>
      <c r="D137" s="170" t="s">
        <v>1465</v>
      </c>
      <c r="E137" s="168" t="s">
        <v>226</v>
      </c>
      <c r="F137" s="168" t="s">
        <v>1464</v>
      </c>
      <c r="G137" s="168" t="s">
        <v>142</v>
      </c>
      <c r="H137" s="171" t="s">
        <v>1466</v>
      </c>
      <c r="I137" s="172" t="s">
        <v>1467</v>
      </c>
      <c r="J137" s="172" t="s">
        <v>1468</v>
      </c>
      <c r="K137" s="173" t="s">
        <v>1469</v>
      </c>
      <c r="L137" s="173" t="s">
        <v>1470</v>
      </c>
      <c r="M137" s="173"/>
      <c r="N137" s="173" t="s">
        <v>220</v>
      </c>
      <c r="O137" s="173" t="s">
        <v>1471</v>
      </c>
      <c r="P137" s="174" t="s">
        <v>175</v>
      </c>
      <c r="Q137" s="175" t="s">
        <v>1343</v>
      </c>
      <c r="R137" s="168" t="str">
        <f ca="1">IF(ISERROR($V137),"",OFFSET('Smelter Look-up'!$C$4,$V137-4,0)&amp;"")</f>
        <v>Precious Minerals and Smelting Limited</v>
      </c>
      <c r="S137" s="167" t="str">
        <f t="shared" ca="1" si="18"/>
        <v>IN</v>
      </c>
      <c r="T137" s="167" t="str">
        <f ca="1">IF(B137="","",IF(ISERROR(MATCH($J137,SorP!$B$1:$B$6230,0)),"",INDIRECT("'SorP'!$A$"&amp;MATCH($J137,SorP!$B$1:$B$6230,0))))</f>
        <v>IN-CT</v>
      </c>
      <c r="U137" s="176"/>
      <c r="V137" s="177">
        <f>IF(C137="",NA(),IF(OR(C137="Smelter not listed",C137="Smelter not yet identified"),MATCH($B137&amp;$D137,'Smelter Look-up'!$J:$J,0),MATCH($B137&amp;$C137,'Smelter Look-up'!$J:$J,0)))</f>
        <v>482</v>
      </c>
      <c r="X137" s="140">
        <f t="shared" si="19"/>
        <v>0</v>
      </c>
      <c r="AB137" s="178" t="str">
        <f t="shared" si="20"/>
        <v>TinPrecious Minerals and Smelting Limited</v>
      </c>
    </row>
    <row r="138" spans="1:28" s="140" customFormat="1" ht="51">
      <c r="A138" s="167" t="s">
        <v>1473</v>
      </c>
      <c r="B138" s="168" t="s">
        <v>131</v>
      </c>
      <c r="C138" s="169" t="s">
        <v>1472</v>
      </c>
      <c r="D138" s="170" t="s">
        <v>1472</v>
      </c>
      <c r="E138" s="168" t="s">
        <v>253</v>
      </c>
      <c r="F138" s="168" t="s">
        <v>1473</v>
      </c>
      <c r="G138" s="168" t="s">
        <v>169</v>
      </c>
      <c r="H138" s="171" t="s">
        <v>114</v>
      </c>
      <c r="I138" s="172" t="s">
        <v>114</v>
      </c>
      <c r="J138" s="172" t="s">
        <v>114</v>
      </c>
      <c r="K138" s="173"/>
      <c r="L138" s="173"/>
      <c r="M138" s="173"/>
      <c r="N138" s="173"/>
      <c r="O138" s="173"/>
      <c r="P138" s="174"/>
      <c r="Q138" s="175"/>
      <c r="R138" s="168" t="str">
        <f ca="1">IF(ISERROR($V138),"",OFFSET('Smelter Look-up'!$C$4,$V138-4,0)&amp;"")</f>
        <v/>
      </c>
      <c r="S138" s="167" t="str">
        <f t="shared" ca="1" si="18"/>
        <v>ID</v>
      </c>
      <c r="T138" s="167" t="str">
        <f ca="1">IF(B138="","",IF(ISERROR(MATCH($J138,SorP!$B$1:$B$6230,0)),"",INDIRECT("'SorP'!$A$"&amp;MATCH($J138,SorP!$B$1:$B$6230,0))))</f>
        <v/>
      </c>
      <c r="U138" s="176"/>
      <c r="V138" s="177" t="e">
        <f>IF(C138="",NA(),IF(OR(C138="Smelter not listed",C138="Smelter not yet identified"),MATCH($B138&amp;$D138,'Smelter Look-up'!$J:$J,0),MATCH($B138&amp;$C138,'Smelter Look-up'!$J:$J,0)))</f>
        <v>#N/A</v>
      </c>
      <c r="X138" s="140">
        <f t="shared" si="19"/>
        <v>0</v>
      </c>
      <c r="AB138" s="178" t="str">
        <f t="shared" si="20"/>
        <v>TinPT Alam Lestari Kencana</v>
      </c>
    </row>
    <row r="139" spans="1:28" s="140" customFormat="1" ht="409.5">
      <c r="A139" s="167" t="s">
        <v>989</v>
      </c>
      <c r="B139" s="168" t="s">
        <v>132</v>
      </c>
      <c r="C139" s="169" t="s">
        <v>1478</v>
      </c>
      <c r="D139" s="170" t="s">
        <v>1478</v>
      </c>
      <c r="E139" s="168" t="s">
        <v>192</v>
      </c>
      <c r="F139" s="168" t="s">
        <v>989</v>
      </c>
      <c r="G139" s="168" t="s">
        <v>142</v>
      </c>
      <c r="H139" s="171" t="s">
        <v>1479</v>
      </c>
      <c r="I139" s="172" t="s">
        <v>1480</v>
      </c>
      <c r="J139" s="172" t="s">
        <v>771</v>
      </c>
      <c r="K139" s="173" t="s">
        <v>1481</v>
      </c>
      <c r="L139" s="173" t="s">
        <v>1482</v>
      </c>
      <c r="M139" s="173" t="s">
        <v>1483</v>
      </c>
      <c r="N139" s="173" t="s">
        <v>1484</v>
      </c>
      <c r="O139" s="173" t="s">
        <v>1485</v>
      </c>
      <c r="P139" s="174" t="s">
        <v>715</v>
      </c>
      <c r="Q139" s="175" t="s">
        <v>1486</v>
      </c>
      <c r="R139" s="168" t="str">
        <f ca="1">IF(ISERROR($V139),"",OFFSET('Smelter Look-up'!$C$4,$V139-4,0)&amp;"")</f>
        <v>Jiangxi Tonggu Non-ferrous Metallurgical &amp; Chemical Co., Ltd.</v>
      </c>
      <c r="S139" s="167" t="str">
        <f t="shared" ca="1" si="18"/>
        <v>CN</v>
      </c>
      <c r="T139" s="167" t="str">
        <f ca="1">IF(B139="","",IF(ISERROR(MATCH($J139,SorP!$B$1:$B$6230,0)),"",INDIRECT("'SorP'!$A$"&amp;MATCH($J139,SorP!$B$1:$B$6230,0))))</f>
        <v>CN-JX</v>
      </c>
      <c r="U139" s="176"/>
      <c r="V139" s="177">
        <f>IF(C139="",NA(),IF(OR(C139="Smelter not listed",C139="Smelter not yet identified"),MATCH($B139&amp;$D139,'Smelter Look-up'!$J:$J,0),MATCH($B139&amp;$C139,'Smelter Look-up'!$J:$J,0)))</f>
        <v>596</v>
      </c>
      <c r="X139" s="140">
        <f t="shared" si="19"/>
        <v>0</v>
      </c>
      <c r="AB139" s="178" t="str">
        <f t="shared" si="20"/>
        <v>TungstenJiangxi Tonggu Non-ferrous Metallurgical &amp; Chemical Co., Ltd.</v>
      </c>
    </row>
    <row r="140" spans="1:28" s="140" customFormat="1" ht="409.5">
      <c r="A140" s="167" t="s">
        <v>1487</v>
      </c>
      <c r="B140" s="168" t="s">
        <v>132</v>
      </c>
      <c r="C140" s="169" t="s">
        <v>1488</v>
      </c>
      <c r="D140" s="170" t="s">
        <v>1488</v>
      </c>
      <c r="E140" s="168" t="s">
        <v>1125</v>
      </c>
      <c r="F140" s="168" t="s">
        <v>1487</v>
      </c>
      <c r="G140" s="168" t="s">
        <v>142</v>
      </c>
      <c r="H140" s="171" t="s">
        <v>114</v>
      </c>
      <c r="I140" s="172" t="s">
        <v>1489</v>
      </c>
      <c r="J140" s="172" t="s">
        <v>1490</v>
      </c>
      <c r="K140" s="173" t="s">
        <v>1491</v>
      </c>
      <c r="L140" s="173" t="s">
        <v>1492</v>
      </c>
      <c r="M140" s="173" t="s">
        <v>1455</v>
      </c>
      <c r="N140" s="173" t="s">
        <v>1493</v>
      </c>
      <c r="O140" s="173" t="s">
        <v>1494</v>
      </c>
      <c r="P140" s="174" t="s">
        <v>117</v>
      </c>
      <c r="Q140" s="175" t="s">
        <v>1495</v>
      </c>
      <c r="R140" s="168" t="str">
        <f ca="1">IF(ISERROR($V140),"",OFFSET('Smelter Look-up'!$C$4,$V140-4,0)&amp;"")</f>
        <v/>
      </c>
      <c r="S140" s="167" t="str">
        <f t="shared" ca="1" si="18"/>
        <v>VN</v>
      </c>
      <c r="T140" s="167" t="str">
        <f ca="1">IF(B140="","",IF(ISERROR(MATCH($J140,SorP!$B$1:$B$6230,0)),"",INDIRECT("'SorP'!$A$"&amp;MATCH($J140,SorP!$B$1:$B$6230,0))))</f>
        <v>VN-37</v>
      </c>
      <c r="U140" s="176"/>
      <c r="V140" s="177" t="e">
        <f>IF(C140="",NA(),IF(OR(C140="Smelter not listed",C140="Smelter not yet identified"),MATCH($B140&amp;$D140,'Smelter Look-up'!$J:$J,0),MATCH($B140&amp;$C140,'Smelter Look-up'!$J:$J,0)))</f>
        <v>#N/A</v>
      </c>
      <c r="X140" s="140">
        <f t="shared" si="19"/>
        <v>0</v>
      </c>
      <c r="AB140" s="178" t="str">
        <f t="shared" si="20"/>
        <v>TungstenTejing (Vietnam) Tungsten Co., Ltd.</v>
      </c>
    </row>
    <row r="141" spans="1:28" s="140" customFormat="1" ht="76.5">
      <c r="A141" s="167" t="s">
        <v>1496</v>
      </c>
      <c r="B141" s="168" t="s">
        <v>132</v>
      </c>
      <c r="C141" s="169" t="s">
        <v>1497</v>
      </c>
      <c r="D141" s="170" t="s">
        <v>1497</v>
      </c>
      <c r="E141" s="168" t="s">
        <v>155</v>
      </c>
      <c r="F141" s="168" t="s">
        <v>1496</v>
      </c>
      <c r="G141" s="168" t="s">
        <v>142</v>
      </c>
      <c r="H141" s="171" t="s">
        <v>114</v>
      </c>
      <c r="I141" s="172" t="s">
        <v>196</v>
      </c>
      <c r="J141" s="172" t="s">
        <v>196</v>
      </c>
      <c r="K141" s="173"/>
      <c r="L141" s="173"/>
      <c r="M141" s="173"/>
      <c r="N141" s="173" t="s">
        <v>121</v>
      </c>
      <c r="O141" s="173" t="s">
        <v>121</v>
      </c>
      <c r="P141" s="174" t="s">
        <v>121</v>
      </c>
      <c r="Q141" s="175"/>
      <c r="R141" s="168" t="str">
        <f ca="1">IF(ISERROR($V141),"",OFFSET('Smelter Look-up'!$C$4,$V141-4,0)&amp;"")</f>
        <v/>
      </c>
      <c r="S141" s="167" t="str">
        <f t="shared" ca="1" si="18"/>
        <v>JP</v>
      </c>
      <c r="T141" s="167" t="str">
        <f ca="1">IF(B141="","",IF(ISERROR(MATCH($J141,SorP!$B$1:$B$6230,0)),"",INDIRECT("'SorP'!$A$"&amp;MATCH($J141,SorP!$B$1:$B$6230,0))))</f>
        <v/>
      </c>
      <c r="U141" s="176"/>
      <c r="V141" s="177" t="e">
        <f>IF(C141="",NA(),IF(OR(C141="Smelter not listed",C141="Smelter not yet identified"),MATCH($B141&amp;$D141,'Smelter Look-up'!$J:$J,0),MATCH($B141&amp;$C141,'Smelter Look-up'!$J:$J,0)))</f>
        <v>#N/A</v>
      </c>
      <c r="X141" s="140">
        <f t="shared" si="19"/>
        <v>0</v>
      </c>
      <c r="AB141" s="178" t="str">
        <f t="shared" si="20"/>
        <v>TungstenToshiba Material Co., Ltd.</v>
      </c>
    </row>
    <row r="142" spans="1:28" s="140" customFormat="1" ht="409.5">
      <c r="A142" s="167" t="s">
        <v>1498</v>
      </c>
      <c r="B142" s="168" t="s">
        <v>132</v>
      </c>
      <c r="C142" s="169" t="s">
        <v>1499</v>
      </c>
      <c r="D142" s="170" t="s">
        <v>1500</v>
      </c>
      <c r="E142" s="168" t="s">
        <v>1501</v>
      </c>
      <c r="F142" s="168" t="s">
        <v>1498</v>
      </c>
      <c r="G142" s="168" t="s">
        <v>142</v>
      </c>
      <c r="H142" s="171" t="s">
        <v>1502</v>
      </c>
      <c r="I142" s="172" t="s">
        <v>1503</v>
      </c>
      <c r="J142" s="172" t="s">
        <v>1504</v>
      </c>
      <c r="K142" s="173" t="s">
        <v>1505</v>
      </c>
      <c r="L142" s="173" t="s">
        <v>1506</v>
      </c>
      <c r="M142" s="173" t="s">
        <v>1507</v>
      </c>
      <c r="N142" s="173" t="s">
        <v>1508</v>
      </c>
      <c r="O142" s="173" t="s">
        <v>1509</v>
      </c>
      <c r="P142" s="174" t="s">
        <v>715</v>
      </c>
      <c r="Q142" s="175" t="s">
        <v>1510</v>
      </c>
      <c r="R142" s="168" t="str">
        <f ca="1">IF(ISERROR($V142),"",OFFSET('Smelter Look-up'!$C$4,$V142-4,0)&amp;"")</f>
        <v>Wolfram Bergbau und Hutten AG</v>
      </c>
      <c r="S142" s="167" t="str">
        <f t="shared" ca="1" si="18"/>
        <v>AT</v>
      </c>
      <c r="T142" s="167" t="str">
        <f ca="1">IF(B142="","",IF(ISERROR(MATCH($J142,SorP!$B$1:$B$6230,0)),"",INDIRECT("'SorP'!$A$"&amp;MATCH($J142,SorP!$B$1:$B$6230,0))))</f>
        <v>AT-6</v>
      </c>
      <c r="U142" s="176"/>
      <c r="V142" s="177">
        <f>IF(C142="",NA(),IF(OR(C142="Smelter not listed",C142="Smelter not yet identified"),MATCH($B142&amp;$D142,'Smelter Look-up'!$J:$J,0),MATCH($B142&amp;$C142,'Smelter Look-up'!$J:$J,0)))</f>
        <v>623</v>
      </c>
      <c r="X142" s="140">
        <f t="shared" si="19"/>
        <v>0</v>
      </c>
      <c r="AB142" s="178" t="str">
        <f t="shared" si="20"/>
        <v>TungstenWolfram Bergbau und Hütten AG</v>
      </c>
    </row>
    <row r="143" spans="1:28" s="140" customFormat="1" ht="63.75">
      <c r="A143" s="167" t="s">
        <v>1511</v>
      </c>
      <c r="B143" s="168" t="s">
        <v>132</v>
      </c>
      <c r="C143" s="169" t="s">
        <v>1512</v>
      </c>
      <c r="D143" s="170" t="s">
        <v>1512</v>
      </c>
      <c r="E143" s="168" t="s">
        <v>459</v>
      </c>
      <c r="F143" s="168" t="s">
        <v>1511</v>
      </c>
      <c r="G143" s="168" t="s">
        <v>142</v>
      </c>
      <c r="H143" s="171" t="s">
        <v>114</v>
      </c>
      <c r="I143" s="172" t="s">
        <v>114</v>
      </c>
      <c r="J143" s="172" t="s">
        <v>114</v>
      </c>
      <c r="K143" s="173"/>
      <c r="L143" s="173"/>
      <c r="M143" s="173"/>
      <c r="N143" s="173" t="s">
        <v>121</v>
      </c>
      <c r="O143" s="173" t="s">
        <v>121</v>
      </c>
      <c r="P143" s="174" t="s">
        <v>121</v>
      </c>
      <c r="Q143" s="175"/>
      <c r="R143" s="168" t="str">
        <f ca="1">IF(ISERROR($V143),"",OFFSET('Smelter Look-up'!$C$4,$V143-4,0)&amp;"")</f>
        <v/>
      </c>
      <c r="S143" s="167" t="str">
        <f t="shared" ca="1" si="18"/>
        <v>RU</v>
      </c>
      <c r="T143" s="167" t="str">
        <f ca="1">IF(B143="","",IF(ISERROR(MATCH($J143,SorP!$B$1:$B$6230,0)),"",INDIRECT("'SorP'!$A$"&amp;MATCH($J143,SorP!$B$1:$B$6230,0))))</f>
        <v/>
      </c>
      <c r="U143" s="176"/>
      <c r="V143" s="177" t="e">
        <f>IF(C143="",NA(),IF(OR(C143="Smelter not listed",C143="Smelter not yet identified"),MATCH($B143&amp;$D143,'Smelter Look-up'!$J:$J,0),MATCH($B143&amp;$C143,'Smelter Look-up'!$J:$J,0)))</f>
        <v>#N/A</v>
      </c>
      <c r="X143" s="140">
        <f t="shared" si="19"/>
        <v>0</v>
      </c>
      <c r="AB143" s="178" t="str">
        <f t="shared" si="20"/>
        <v>TungstenWOLFRAM Company CJSC</v>
      </c>
    </row>
    <row r="144" spans="1:28" s="140" customFormat="1" ht="409.5">
      <c r="A144" s="167" t="s">
        <v>1513</v>
      </c>
      <c r="B144" s="168" t="s">
        <v>132</v>
      </c>
      <c r="C144" s="169" t="s">
        <v>1514</v>
      </c>
      <c r="D144" s="170" t="s">
        <v>1514</v>
      </c>
      <c r="E144" s="168" t="s">
        <v>192</v>
      </c>
      <c r="F144" s="168" t="s">
        <v>1513</v>
      </c>
      <c r="G144" s="168" t="s">
        <v>142</v>
      </c>
      <c r="H144" s="171" t="s">
        <v>1515</v>
      </c>
      <c r="I144" s="172" t="s">
        <v>985</v>
      </c>
      <c r="J144" s="172" t="s">
        <v>771</v>
      </c>
      <c r="K144" s="173" t="s">
        <v>1516</v>
      </c>
      <c r="L144" s="173" t="s">
        <v>1517</v>
      </c>
      <c r="M144" s="173" t="s">
        <v>1518</v>
      </c>
      <c r="N144" s="173" t="s">
        <v>1519</v>
      </c>
      <c r="O144" s="173" t="s">
        <v>1520</v>
      </c>
      <c r="P144" s="174" t="s">
        <v>715</v>
      </c>
      <c r="Q144" s="175" t="s">
        <v>1521</v>
      </c>
      <c r="R144" s="168" t="str">
        <f ca="1">IF(ISERROR($V144),"",OFFSET('Smelter Look-up'!$C$4,$V144-4,0)&amp;"")</f>
        <v>Xinfeng Huarui Tungsten &amp; Molybdenum New Material Co., Ltd.</v>
      </c>
      <c r="S144" s="167" t="str">
        <f t="shared" ca="1" si="18"/>
        <v>CN</v>
      </c>
      <c r="T144" s="167" t="str">
        <f ca="1">IF(B144="","",IF(ISERROR(MATCH($J144,SorP!$B$1:$B$6230,0)),"",INDIRECT("'SorP'!$A$"&amp;MATCH($J144,SorP!$B$1:$B$6230,0))))</f>
        <v>CN-JX</v>
      </c>
      <c r="U144" s="176"/>
      <c r="V144" s="177">
        <f>IF(C144="",NA(),IF(OR(C144="Smelter not listed",C144="Smelter not yet identified"),MATCH($B144&amp;$D144,'Smelter Look-up'!$J:$J,0),MATCH($B144&amp;$C144,'Smelter Look-up'!$J:$J,0)))</f>
        <v>627</v>
      </c>
      <c r="X144" s="140">
        <f t="shared" si="19"/>
        <v>0</v>
      </c>
      <c r="AB144" s="178" t="str">
        <f t="shared" si="20"/>
        <v>TungstenXinfeng Huarui Tungsten &amp; Molybdenum New Material Co., Ltd.</v>
      </c>
    </row>
    <row r="145" spans="1:28" s="140" customFormat="1" ht="89.25">
      <c r="A145" s="167" t="s">
        <v>1524</v>
      </c>
      <c r="B145" s="168" t="s">
        <v>132</v>
      </c>
      <c r="C145" s="169" t="s">
        <v>1525</v>
      </c>
      <c r="D145" s="170" t="s">
        <v>1525</v>
      </c>
      <c r="E145" s="168" t="s">
        <v>192</v>
      </c>
      <c r="F145" s="168" t="s">
        <v>1524</v>
      </c>
      <c r="G145" s="168" t="s">
        <v>142</v>
      </c>
      <c r="H145" s="171" t="s">
        <v>114</v>
      </c>
      <c r="I145" s="172" t="s">
        <v>1526</v>
      </c>
      <c r="J145" s="172" t="s">
        <v>771</v>
      </c>
      <c r="K145" s="173"/>
      <c r="L145" s="173"/>
      <c r="M145" s="173"/>
      <c r="N145" s="173" t="s">
        <v>121</v>
      </c>
      <c r="O145" s="173" t="s">
        <v>195</v>
      </c>
      <c r="P145" s="174" t="s">
        <v>121</v>
      </c>
      <c r="Q145" s="175" t="s">
        <v>196</v>
      </c>
      <c r="R145" s="168" t="str">
        <f ca="1">IF(ISERROR($V145),"",OFFSET('Smelter Look-up'!$C$4,$V145-4,0)&amp;"")</f>
        <v>YUDU ANSHENG TUNGSTEN CO., LTD.</v>
      </c>
      <c r="S145" s="167" t="str">
        <f t="shared" ca="1" si="18"/>
        <v>CN</v>
      </c>
      <c r="T145" s="167" t="str">
        <f ca="1">IF(B145="","",IF(ISERROR(MATCH($J145,SorP!$B$1:$B$6230,0)),"",INDIRECT("'SorP'!$A$"&amp;MATCH($J145,SorP!$B$1:$B$6230,0))))</f>
        <v>CN-JX</v>
      </c>
      <c r="U145" s="176"/>
      <c r="V145" s="177">
        <f>IF(C145="",NA(),IF(OR(C145="Smelter not listed",C145="Smelter not yet identified"),MATCH($B145&amp;$D145,'Smelter Look-up'!$J:$J,0),MATCH($B145&amp;$C145,'Smelter Look-up'!$J:$J,0)))</f>
        <v>628</v>
      </c>
      <c r="X145" s="140">
        <f t="shared" si="19"/>
        <v>0</v>
      </c>
      <c r="AB145" s="178" t="str">
        <f t="shared" si="20"/>
        <v>TungstenYUDU ANSHENG TUNGSTEN CO., LTD.</v>
      </c>
    </row>
    <row r="146" spans="1:28" s="140" customFormat="1" ht="102">
      <c r="A146" s="167" t="s">
        <v>1527</v>
      </c>
      <c r="B146" s="168" t="s">
        <v>132</v>
      </c>
      <c r="C146" s="169" t="s">
        <v>1528</v>
      </c>
      <c r="D146" s="170" t="s">
        <v>1528</v>
      </c>
      <c r="E146" s="168" t="s">
        <v>192</v>
      </c>
      <c r="F146" s="168" t="s">
        <v>1527</v>
      </c>
      <c r="G146" s="168" t="s">
        <v>142</v>
      </c>
      <c r="H146" s="171" t="s">
        <v>114</v>
      </c>
      <c r="I146" s="172" t="s">
        <v>196</v>
      </c>
      <c r="J146" s="172" t="s">
        <v>196</v>
      </c>
      <c r="K146" s="173"/>
      <c r="L146" s="173"/>
      <c r="M146" s="173"/>
      <c r="N146" s="173" t="s">
        <v>121</v>
      </c>
      <c r="O146" s="173" t="s">
        <v>121</v>
      </c>
      <c r="P146" s="174" t="s">
        <v>121</v>
      </c>
      <c r="Q146" s="175"/>
      <c r="R146" s="168" t="str">
        <f ca="1">IF(ISERROR($V146),"",OFFSET('Smelter Look-up'!$C$4,$V146-4,0)&amp;"")</f>
        <v/>
      </c>
      <c r="S146" s="167" t="str">
        <f t="shared" ca="1" si="18"/>
        <v>CN</v>
      </c>
      <c r="T146" s="167" t="str">
        <f ca="1">IF(B146="","",IF(ISERROR(MATCH($J146,SorP!$B$1:$B$6230,0)),"",INDIRECT("'SorP'!$A$"&amp;MATCH($J146,SorP!$B$1:$B$6230,0))))</f>
        <v/>
      </c>
      <c r="U146" s="176"/>
      <c r="V146" s="177" t="e">
        <f>IF(C146="",NA(),IF(OR(C146="Smelter not listed",C146="Smelter not yet identified"),MATCH($B146&amp;$D146,'Smelter Look-up'!$J:$J,0),MATCH($B146&amp;$C146,'Smelter Look-up'!$J:$J,0)))</f>
        <v>#N/A</v>
      </c>
      <c r="X146" s="140">
        <f t="shared" si="19"/>
        <v>0</v>
      </c>
      <c r="AB146" s="178" t="str">
        <f t="shared" si="20"/>
        <v>TungstenZhangzhou Chuen Bao Apt Smeltery Co., Ltd.</v>
      </c>
    </row>
    <row r="147" spans="1:28" s="140" customFormat="1" ht="114.75">
      <c r="A147" s="167" t="s">
        <v>1529</v>
      </c>
      <c r="B147" s="168" t="s">
        <v>132</v>
      </c>
      <c r="C147" s="169" t="s">
        <v>1530</v>
      </c>
      <c r="D147" s="170" t="s">
        <v>1530</v>
      </c>
      <c r="E147" s="168" t="s">
        <v>192</v>
      </c>
      <c r="F147" s="168" t="s">
        <v>1529</v>
      </c>
      <c r="G147" s="168" t="s">
        <v>142</v>
      </c>
      <c r="H147" s="171" t="s">
        <v>114</v>
      </c>
      <c r="I147" s="172" t="s">
        <v>114</v>
      </c>
      <c r="J147" s="172" t="s">
        <v>114</v>
      </c>
      <c r="K147" s="173"/>
      <c r="L147" s="173"/>
      <c r="M147" s="173"/>
      <c r="N147" s="173" t="s">
        <v>121</v>
      </c>
      <c r="O147" s="173" t="s">
        <v>121</v>
      </c>
      <c r="P147" s="174" t="s">
        <v>121</v>
      </c>
      <c r="Q147" s="175"/>
      <c r="R147" s="168" t="str">
        <f ca="1">IF(ISERROR($V147),"",OFFSET('Smelter Look-up'!$C$4,$V147-4,0)&amp;"")</f>
        <v/>
      </c>
      <c r="S147" s="167" t="str">
        <f t="shared" ca="1" si="18"/>
        <v>CN</v>
      </c>
      <c r="T147" s="167" t="str">
        <f ca="1">IF(B147="","",IF(ISERROR(MATCH($J147,SorP!$B$1:$B$6230,0)),"",INDIRECT("'SorP'!$A$"&amp;MATCH($J147,SorP!$B$1:$B$6230,0))))</f>
        <v/>
      </c>
      <c r="U147" s="176"/>
      <c r="V147" s="177" t="e">
        <f>IF(C147="",NA(),IF(OR(C147="Smelter not listed",C147="Smelter not yet identified"),MATCH($B147&amp;$D147,'Smelter Look-up'!$J:$J,0),MATCH($B147&amp;$C147,'Smelter Look-up'!$J:$J,0)))</f>
        <v>#N/A</v>
      </c>
      <c r="X147" s="140">
        <f t="shared" si="19"/>
        <v>0</v>
      </c>
      <c r="AB147" s="178" t="str">
        <f t="shared" si="20"/>
        <v>TungstenZhuzhou Cemented Carbide Group Co., Ltd.</v>
      </c>
    </row>
    <row r="148" spans="1:28" s="140" customFormat="1" ht="127.5">
      <c r="A148" s="167" t="s">
        <v>1531</v>
      </c>
      <c r="B148" s="168" t="s">
        <v>133</v>
      </c>
      <c r="C148" s="169" t="s">
        <v>1532</v>
      </c>
      <c r="D148" s="170" t="s">
        <v>1532</v>
      </c>
      <c r="E148" s="168" t="s">
        <v>1533</v>
      </c>
      <c r="F148" s="168" t="s">
        <v>1531</v>
      </c>
      <c r="G148" s="168" t="s">
        <v>142</v>
      </c>
      <c r="H148" s="171" t="s">
        <v>114</v>
      </c>
      <c r="I148" s="172" t="s">
        <v>1534</v>
      </c>
      <c r="J148" s="172" t="s">
        <v>1535</v>
      </c>
      <c r="K148" s="173" t="s">
        <v>1536</v>
      </c>
      <c r="L148" s="173" t="s">
        <v>1537</v>
      </c>
      <c r="M148" s="173" t="s">
        <v>173</v>
      </c>
      <c r="N148" s="173" t="s">
        <v>1538</v>
      </c>
      <c r="O148" s="173" t="s">
        <v>1539</v>
      </c>
      <c r="P148" s="174" t="s">
        <v>175</v>
      </c>
      <c r="Q148" s="175" t="s">
        <v>1540</v>
      </c>
      <c r="R148" s="168" t="str">
        <f ca="1">IF(ISERROR($V148),"",OFFSET('Smelter Look-up'!$C$4,$V148-4,0)&amp;"")</f>
        <v>African Gold Refinery</v>
      </c>
      <c r="S148" s="167" t="str">
        <f t="shared" ca="1" si="18"/>
        <v>UG</v>
      </c>
      <c r="T148" s="167" t="str">
        <f ca="1">IF(B148="","",IF(ISERROR(MATCH($J148,SorP!$B$1:$B$6230,0)),"",INDIRECT("'SorP'!$A$"&amp;MATCH($J148,SorP!$B$1:$B$6230,0))))</f>
        <v>UG-113</v>
      </c>
      <c r="U148" s="176"/>
      <c r="V148" s="177">
        <f>IF(C148="",NA(),IF(OR(C148="Smelter not listed",C148="Smelter not yet identified"),MATCH($B148&amp;$D148,'Smelter Look-up'!$J:$J,0),MATCH($B148&amp;$C148,'Smelter Look-up'!$J:$J,0)))</f>
        <v>9</v>
      </c>
      <c r="X148" s="140">
        <f t="shared" si="19"/>
        <v>0</v>
      </c>
      <c r="AB148" s="178" t="str">
        <f t="shared" si="20"/>
        <v>GoldAfrican Gold Refinery</v>
      </c>
    </row>
    <row r="149" spans="1:28" s="140" customFormat="1" ht="409.5">
      <c r="A149" s="167" t="s">
        <v>1545</v>
      </c>
      <c r="B149" s="168" t="s">
        <v>133</v>
      </c>
      <c r="C149" s="169" t="s">
        <v>1546</v>
      </c>
      <c r="D149" s="170" t="s">
        <v>1546</v>
      </c>
      <c r="E149" s="168" t="s">
        <v>179</v>
      </c>
      <c r="F149" s="168" t="s">
        <v>1545</v>
      </c>
      <c r="G149" s="168" t="s">
        <v>142</v>
      </c>
      <c r="H149" s="171" t="s">
        <v>1547</v>
      </c>
      <c r="I149" s="172" t="s">
        <v>181</v>
      </c>
      <c r="J149" s="172" t="s">
        <v>182</v>
      </c>
      <c r="K149" s="173" t="s">
        <v>1548</v>
      </c>
      <c r="L149" s="173" t="s">
        <v>1549</v>
      </c>
      <c r="M149" s="173" t="s">
        <v>1550</v>
      </c>
      <c r="N149" s="173" t="s">
        <v>1551</v>
      </c>
      <c r="O149" s="173" t="s">
        <v>1552</v>
      </c>
      <c r="P149" s="174" t="s">
        <v>164</v>
      </c>
      <c r="Q149" s="175" t="s">
        <v>1553</v>
      </c>
      <c r="R149" s="168" t="str">
        <f ca="1">IF(ISERROR($V149),"",OFFSET('Smelter Look-up'!$C$4,$V149-4,0)&amp;"")</f>
        <v>Agosi AG</v>
      </c>
      <c r="S149" s="167" t="str">
        <f t="shared" ca="1" si="18"/>
        <v>DE</v>
      </c>
      <c r="T149" s="167" t="str">
        <f ca="1">IF(B149="","",IF(ISERROR(MATCH($J149,SorP!$B$1:$B$6230,0)),"",INDIRECT("'SorP'!$A$"&amp;MATCH($J149,SorP!$B$1:$B$6230,0))))</f>
        <v>DE-BW</v>
      </c>
      <c r="U149" s="176"/>
      <c r="V149" s="177">
        <f>IF(C149="",NA(),IF(OR(C149="Smelter not listed",C149="Smelter not yet identified"),MATCH($B149&amp;$D149,'Smelter Look-up'!$J:$J,0),MATCH($B149&amp;$C149,'Smelter Look-up'!$J:$J,0)))</f>
        <v>19</v>
      </c>
      <c r="X149" s="140">
        <f t="shared" si="19"/>
        <v>0</v>
      </c>
      <c r="AB149" s="178" t="str">
        <f t="shared" si="20"/>
        <v>GoldAllgemeine Gold-und Silberscheideanstalt A.G.</v>
      </c>
    </row>
    <row r="150" spans="1:28" s="140" customFormat="1" ht="102">
      <c r="A150" s="167" t="s">
        <v>1557</v>
      </c>
      <c r="B150" s="168" t="s">
        <v>133</v>
      </c>
      <c r="C150" s="169" t="s">
        <v>1558</v>
      </c>
      <c r="D150" s="170" t="s">
        <v>1558</v>
      </c>
      <c r="E150" s="168" t="s">
        <v>199</v>
      </c>
      <c r="F150" s="168" t="s">
        <v>1557</v>
      </c>
      <c r="G150" s="168" t="s">
        <v>142</v>
      </c>
      <c r="H150" s="171" t="s">
        <v>1559</v>
      </c>
      <c r="I150" s="172" t="s">
        <v>201</v>
      </c>
      <c r="J150" s="172" t="s">
        <v>202</v>
      </c>
      <c r="K150" s="173" t="s">
        <v>1560</v>
      </c>
      <c r="L150" s="173" t="s">
        <v>1561</v>
      </c>
      <c r="M150" s="173"/>
      <c r="N150" s="173" t="s">
        <v>220</v>
      </c>
      <c r="O150" s="173" t="s">
        <v>1562</v>
      </c>
      <c r="P150" s="174" t="s">
        <v>175</v>
      </c>
      <c r="Q150" s="175" t="s">
        <v>196</v>
      </c>
      <c r="R150" s="168" t="str">
        <f ca="1">IF(ISERROR($V150),"",OFFSET('Smelter Look-up'!$C$4,$V150-4,0)&amp;"")</f>
        <v>Kaloti Precious Metals</v>
      </c>
      <c r="S150" s="167" t="str">
        <f t="shared" ref="S150:S172" ca="1" si="21">IF(B150="","",IF(ISERROR(MATCH($E150,CL,0)),"Unknown",INDIRECT("'C'!$A$"&amp;MATCH($E150,CL,0)+1)))</f>
        <v>AE</v>
      </c>
      <c r="T150" s="167" t="str">
        <f ca="1">IF(B150="","",IF(ISERROR(MATCH($J150,SorP!$B$1:$B$6230,0)),"",INDIRECT("'SorP'!$A$"&amp;MATCH($J150,SorP!$B$1:$B$6230,0))))</f>
        <v>AE-DU</v>
      </c>
      <c r="U150" s="176"/>
      <c r="V150" s="177">
        <f>IF(C150="",NA(),IF(OR(C150="Smelter not listed",C150="Smelter not yet identified"),MATCH($B150&amp;$D150,'Smelter Look-up'!$J:$J,0),MATCH($B150&amp;$C150,'Smelter Look-up'!$J:$J,0)))</f>
        <v>135</v>
      </c>
      <c r="X150" s="140">
        <f t="shared" ref="X150:X172" si="22">IF(AND(C150="Smelter not listed",OR(LEN(D150)=0,LEN(E150)=0)),1,0)</f>
        <v>0</v>
      </c>
      <c r="AB150" s="178" t="str">
        <f t="shared" ref="AB150:AB172" si="23">B150&amp;C150</f>
        <v>GoldKaloti Precious Metals</v>
      </c>
    </row>
    <row r="151" spans="1:28" s="140" customFormat="1" ht="409.5">
      <c r="A151" s="167" t="s">
        <v>1563</v>
      </c>
      <c r="B151" s="168" t="s">
        <v>130</v>
      </c>
      <c r="C151" s="169" t="s">
        <v>1564</v>
      </c>
      <c r="D151" s="170" t="s">
        <v>1564</v>
      </c>
      <c r="E151" s="168" t="s">
        <v>192</v>
      </c>
      <c r="F151" s="168" t="s">
        <v>1563</v>
      </c>
      <c r="G151" s="168" t="s">
        <v>142</v>
      </c>
      <c r="H151" s="171" t="s">
        <v>1565</v>
      </c>
      <c r="I151" s="172" t="s">
        <v>770</v>
      </c>
      <c r="J151" s="172" t="s">
        <v>771</v>
      </c>
      <c r="K151" s="173" t="s">
        <v>1566</v>
      </c>
      <c r="L151" s="173" t="s">
        <v>1567</v>
      </c>
      <c r="M151" s="173" t="s">
        <v>1568</v>
      </c>
      <c r="N151" s="173" t="s">
        <v>1569</v>
      </c>
      <c r="O151" s="173" t="s">
        <v>1570</v>
      </c>
      <c r="P151" s="174" t="s">
        <v>715</v>
      </c>
      <c r="Q151" s="175" t="s">
        <v>1571</v>
      </c>
      <c r="R151" s="168" t="str">
        <f ca="1">IF(ISERROR($V151),"",OFFSET('Smelter Look-up'!$C$4,$V151-4,0)&amp;"")</f>
        <v>Jiujiang Tanbre Co., Ltd.</v>
      </c>
      <c r="S151" s="167" t="str">
        <f t="shared" ca="1" si="21"/>
        <v>CN</v>
      </c>
      <c r="T151" s="167" t="str">
        <f ca="1">IF(B151="","",IF(ISERROR(MATCH($J151,SorP!$B$1:$B$6230,0)),"",INDIRECT("'SorP'!$A$"&amp;MATCH($J151,SorP!$B$1:$B$6230,0))))</f>
        <v>CN-JX</v>
      </c>
      <c r="U151" s="176"/>
      <c r="V151" s="177">
        <f>IF(C151="",NA(),IF(OR(C151="Smelter not listed",C151="Smelter not yet identified"),MATCH($B151&amp;$D151,'Smelter Look-up'!$J:$J,0),MATCH($B151&amp;$C151,'Smelter Look-up'!$J:$J,0)))</f>
        <v>346</v>
      </c>
      <c r="X151" s="140">
        <f t="shared" si="22"/>
        <v>0</v>
      </c>
      <c r="AB151" s="178" t="str">
        <f t="shared" si="23"/>
        <v>TantalumJiujiang Tanbre Co., Ltd.</v>
      </c>
    </row>
    <row r="152" spans="1:28" s="140" customFormat="1" ht="409.5">
      <c r="A152" s="167" t="s">
        <v>1572</v>
      </c>
      <c r="B152" s="168" t="s">
        <v>130</v>
      </c>
      <c r="C152" s="169" t="s">
        <v>1573</v>
      </c>
      <c r="D152" s="170" t="s">
        <v>1574</v>
      </c>
      <c r="E152" s="168" t="s">
        <v>433</v>
      </c>
      <c r="F152" s="168" t="s">
        <v>1572</v>
      </c>
      <c r="G152" s="168" t="s">
        <v>142</v>
      </c>
      <c r="H152" s="171" t="s">
        <v>1575</v>
      </c>
      <c r="I152" s="172" t="s">
        <v>1576</v>
      </c>
      <c r="J152" s="172" t="s">
        <v>1577</v>
      </c>
      <c r="K152" s="173" t="s">
        <v>1578</v>
      </c>
      <c r="L152" s="173" t="s">
        <v>1579</v>
      </c>
      <c r="M152" s="173" t="s">
        <v>1580</v>
      </c>
      <c r="N152" s="173" t="s">
        <v>1581</v>
      </c>
      <c r="O152" s="173" t="s">
        <v>1582</v>
      </c>
      <c r="P152" s="174" t="s">
        <v>715</v>
      </c>
      <c r="Q152" s="175" t="s">
        <v>1583</v>
      </c>
      <c r="R152" s="168" t="str">
        <f ca="1">IF(ISERROR($V152),"",OFFSET('Smelter Look-up'!$C$4,$V152-4,0)&amp;"")</f>
        <v>Mineracao Taboca S.A.</v>
      </c>
      <c r="S152" s="167" t="str">
        <f t="shared" ca="1" si="21"/>
        <v>BR</v>
      </c>
      <c r="T152" s="167" t="str">
        <f ca="1">IF(B152="","",IF(ISERROR(MATCH($J152,SorP!$B$1:$B$6230,0)),"",INDIRECT("'SorP'!$A$"&amp;MATCH($J152,SorP!$B$1:$B$6230,0))))</f>
        <v>BR-AM</v>
      </c>
      <c r="U152" s="176"/>
      <c r="V152" s="177">
        <f>IF(C152="",NA(),IF(OR(C152="Smelter not listed",C152="Smelter not yet identified"),MATCH($B152&amp;$D152,'Smelter Look-up'!$J:$J,0),MATCH($B152&amp;$C152,'Smelter Look-up'!$J:$J,0)))</f>
        <v>355</v>
      </c>
      <c r="X152" s="140">
        <f t="shared" si="22"/>
        <v>0</v>
      </c>
      <c r="AB152" s="178" t="str">
        <f t="shared" si="23"/>
        <v>TantalumMineracao Taboca SA</v>
      </c>
    </row>
    <row r="153" spans="1:28" s="140" customFormat="1" ht="409.5">
      <c r="A153" s="167" t="s">
        <v>1588</v>
      </c>
      <c r="B153" s="168" t="s">
        <v>130</v>
      </c>
      <c r="C153" s="169" t="s">
        <v>1589</v>
      </c>
      <c r="D153" s="170" t="s">
        <v>1589</v>
      </c>
      <c r="E153" s="168" t="s">
        <v>155</v>
      </c>
      <c r="F153" s="168" t="s">
        <v>1588</v>
      </c>
      <c r="G153" s="168" t="s">
        <v>142</v>
      </c>
      <c r="H153" s="171" t="s">
        <v>1590</v>
      </c>
      <c r="I153" s="172" t="s">
        <v>1585</v>
      </c>
      <c r="J153" s="172" t="s">
        <v>1586</v>
      </c>
      <c r="K153" s="173" t="s">
        <v>1591</v>
      </c>
      <c r="L153" s="173" t="s">
        <v>1592</v>
      </c>
      <c r="M153" s="173" t="s">
        <v>1593</v>
      </c>
      <c r="N153" s="173" t="s">
        <v>1594</v>
      </c>
      <c r="O153" s="173" t="s">
        <v>1595</v>
      </c>
      <c r="P153" s="174" t="s">
        <v>715</v>
      </c>
      <c r="Q153" s="175" t="s">
        <v>1596</v>
      </c>
      <c r="R153" s="168" t="str">
        <f ca="1">IF(ISERROR($V153),"",OFFSET('Smelter Look-up'!$C$4,$V153-4,0)&amp;"")</f>
        <v>Mitsui Mining and Smelting Co., Ltd.</v>
      </c>
      <c r="S153" s="167" t="str">
        <f t="shared" ca="1" si="21"/>
        <v>JP</v>
      </c>
      <c r="T153" s="167" t="str">
        <f ca="1">IF(B153="","",IF(ISERROR(MATCH($J153,SorP!$B$1:$B$6230,0)),"",INDIRECT("'SorP'!$A$"&amp;MATCH($J153,SorP!$B$1:$B$6230,0))))</f>
        <v>JP-40</v>
      </c>
      <c r="U153" s="176"/>
      <c r="V153" s="177">
        <f>IF(C153="",NA(),IF(OR(C153="Smelter not listed",C153="Smelter not yet identified"),MATCH($B153&amp;$D153,'Smelter Look-up'!$J:$J,0),MATCH($B153&amp;$C153,'Smelter Look-up'!$J:$J,0)))</f>
        <v>357</v>
      </c>
      <c r="X153" s="140">
        <f t="shared" si="22"/>
        <v>0</v>
      </c>
      <c r="AB153" s="178" t="str">
        <f t="shared" si="23"/>
        <v>TantalumMitsui Mining and Smelting Co., Ltd.</v>
      </c>
    </row>
    <row r="154" spans="1:28" s="140" customFormat="1" ht="409.5">
      <c r="A154" s="167" t="s">
        <v>1597</v>
      </c>
      <c r="B154" s="168" t="s">
        <v>130</v>
      </c>
      <c r="C154" s="169" t="s">
        <v>1598</v>
      </c>
      <c r="D154" s="170" t="s">
        <v>1598</v>
      </c>
      <c r="E154" s="168" t="s">
        <v>192</v>
      </c>
      <c r="F154" s="168" t="s">
        <v>1597</v>
      </c>
      <c r="G154" s="168" t="s">
        <v>142</v>
      </c>
      <c r="H154" s="171" t="s">
        <v>1599</v>
      </c>
      <c r="I154" s="172" t="s">
        <v>1600</v>
      </c>
      <c r="J154" s="172" t="s">
        <v>1601</v>
      </c>
      <c r="K154" s="173" t="s">
        <v>1602</v>
      </c>
      <c r="L154" s="173" t="s">
        <v>1603</v>
      </c>
      <c r="M154" s="173" t="s">
        <v>1604</v>
      </c>
      <c r="N154" s="173" t="s">
        <v>1605</v>
      </c>
      <c r="O154" s="173" t="s">
        <v>1606</v>
      </c>
      <c r="P154" s="174" t="s">
        <v>715</v>
      </c>
      <c r="Q154" s="175" t="s">
        <v>1607</v>
      </c>
      <c r="R154" s="168" t="str">
        <f ca="1">IF(ISERROR($V154),"",OFFSET('Smelter Look-up'!$C$4,$V154-4,0)&amp;"")</f>
        <v>Ningxia Orient Tantalum Industry Co., Ltd.</v>
      </c>
      <c r="S154" s="167" t="str">
        <f t="shared" ca="1" si="21"/>
        <v>CN</v>
      </c>
      <c r="T154" s="167" t="str">
        <f ca="1">IF(B154="","",IF(ISERROR(MATCH($J154,SorP!$B$1:$B$6230,0)),"",INDIRECT("'SorP'!$A$"&amp;MATCH($J154,SorP!$B$1:$B$6230,0))))</f>
        <v>CN-NX</v>
      </c>
      <c r="U154" s="176"/>
      <c r="V154" s="177">
        <f>IF(C154="",NA(),IF(OR(C154="Smelter not listed",C154="Smelter not yet identified"),MATCH($B154&amp;$D154,'Smelter Look-up'!$J:$J,0),MATCH($B154&amp;$C154,'Smelter Look-up'!$J:$J,0)))</f>
        <v>360</v>
      </c>
      <c r="X154" s="140">
        <f t="shared" si="22"/>
        <v>0</v>
      </c>
      <c r="AB154" s="178" t="str">
        <f t="shared" si="23"/>
        <v>TantalumNingxia Orient Tantalum Industry Co., Ltd.</v>
      </c>
    </row>
    <row r="155" spans="1:28" s="140" customFormat="1" ht="63.75">
      <c r="A155" s="167" t="s">
        <v>1616</v>
      </c>
      <c r="B155" s="168" t="s">
        <v>131</v>
      </c>
      <c r="C155" s="169" t="s">
        <v>1615</v>
      </c>
      <c r="D155" s="170" t="s">
        <v>1615</v>
      </c>
      <c r="E155" s="168" t="s">
        <v>253</v>
      </c>
      <c r="F155" s="168" t="s">
        <v>1616</v>
      </c>
      <c r="G155" s="168" t="s">
        <v>114</v>
      </c>
      <c r="H155" s="171" t="s">
        <v>114</v>
      </c>
      <c r="I155" s="172"/>
      <c r="J155" s="172" t="s">
        <v>114</v>
      </c>
      <c r="K155" s="173"/>
      <c r="L155" s="173"/>
      <c r="M155" s="173"/>
      <c r="N155" s="173"/>
      <c r="O155" s="173"/>
      <c r="P155" s="174"/>
      <c r="Q155" s="175"/>
      <c r="R155" s="168" t="str">
        <f ca="1">IF(ISERROR($V155),"",OFFSET('Smelter Look-up'!$C$4,$V155-4,0)&amp;"")</f>
        <v/>
      </c>
      <c r="S155" s="167" t="str">
        <f t="shared" ca="1" si="21"/>
        <v>ID</v>
      </c>
      <c r="T155" s="167" t="str">
        <f ca="1">IF(B155="","",IF(ISERROR(MATCH($J155,SorP!$B$1:$B$6230,0)),"",INDIRECT("'SorP'!$A$"&amp;MATCH($J155,SorP!$B$1:$B$6230,0))))</f>
        <v/>
      </c>
      <c r="U155" s="176"/>
      <c r="V155" s="177" t="e">
        <f>IF(C155="",NA(),IF(OR(C155="Smelter not listed",C155="Smelter not yet identified"),MATCH($B155&amp;$D155,'Smelter Look-up'!$J:$J,0),MATCH($B155&amp;$C155,'Smelter Look-up'!$J:$J,0)))</f>
        <v>#N/A</v>
      </c>
      <c r="X155" s="140">
        <f t="shared" si="22"/>
        <v>0</v>
      </c>
      <c r="AB155" s="178" t="str">
        <f t="shared" si="23"/>
        <v>TinPT Yinchendo Mining Industry</v>
      </c>
    </row>
    <row r="156" spans="1:28" s="140" customFormat="1" ht="409.5">
      <c r="A156" s="167" t="s">
        <v>1617</v>
      </c>
      <c r="B156" s="168" t="s">
        <v>131</v>
      </c>
      <c r="C156" s="169" t="s">
        <v>1618</v>
      </c>
      <c r="D156" s="170" t="s">
        <v>1618</v>
      </c>
      <c r="E156" s="168" t="s">
        <v>369</v>
      </c>
      <c r="F156" s="168" t="s">
        <v>1617</v>
      </c>
      <c r="G156" s="168" t="s">
        <v>142</v>
      </c>
      <c r="H156" s="171" t="s">
        <v>1619</v>
      </c>
      <c r="I156" s="172" t="s">
        <v>1620</v>
      </c>
      <c r="J156" s="172" t="s">
        <v>370</v>
      </c>
      <c r="K156" s="173" t="s">
        <v>1621</v>
      </c>
      <c r="L156" s="173" t="s">
        <v>1622</v>
      </c>
      <c r="M156" s="173" t="s">
        <v>1623</v>
      </c>
      <c r="N156" s="173" t="s">
        <v>1624</v>
      </c>
      <c r="O156" s="173" t="s">
        <v>1625</v>
      </c>
      <c r="P156" s="174" t="s">
        <v>164</v>
      </c>
      <c r="Q156" s="175" t="s">
        <v>1626</v>
      </c>
      <c r="R156" s="168" t="str">
        <f ca="1">IF(ISERROR($V156),"",OFFSET('Smelter Look-up'!$C$4,$V156-4,0)&amp;"")</f>
        <v>Rui Da Hung</v>
      </c>
      <c r="S156" s="167" t="str">
        <f t="shared" ca="1" si="21"/>
        <v>TW</v>
      </c>
      <c r="T156" s="167" t="str">
        <f ca="1">IF(B156="","",IF(ISERROR(MATCH($J156,SorP!$B$1:$B$6230,0)),"",INDIRECT("'SorP'!$A$"&amp;MATCH($J156,SorP!$B$1:$B$6230,0))))</f>
        <v>TW-TAO</v>
      </c>
      <c r="U156" s="176"/>
      <c r="V156" s="177">
        <f>IF(C156="",NA(),IF(OR(C156="Smelter not listed",C156="Smelter not yet identified"),MATCH($B156&amp;$D156,'Smelter Look-up'!$J:$J,0),MATCH($B156&amp;$C156,'Smelter Look-up'!$J:$J,0)))</f>
        <v>516</v>
      </c>
      <c r="X156" s="140">
        <f t="shared" si="22"/>
        <v>0</v>
      </c>
      <c r="AB156" s="178" t="str">
        <f t="shared" si="23"/>
        <v>TinRui Da Hung</v>
      </c>
    </row>
    <row r="157" spans="1:28" s="140" customFormat="1" ht="63.75">
      <c r="A157" s="167" t="s">
        <v>1627</v>
      </c>
      <c r="B157" s="168" t="s">
        <v>131</v>
      </c>
      <c r="C157" s="169" t="s">
        <v>1628</v>
      </c>
      <c r="D157" s="170" t="s">
        <v>1628</v>
      </c>
      <c r="E157" s="168" t="s">
        <v>583</v>
      </c>
      <c r="F157" s="168" t="s">
        <v>1627</v>
      </c>
      <c r="G157" s="168" t="s">
        <v>114</v>
      </c>
      <c r="H157" s="171" t="s">
        <v>114</v>
      </c>
      <c r="I157" s="172" t="s">
        <v>114</v>
      </c>
      <c r="J157" s="172" t="s">
        <v>114</v>
      </c>
      <c r="K157" s="173"/>
      <c r="L157" s="173"/>
      <c r="M157" s="173"/>
      <c r="N157" s="173"/>
      <c r="O157" s="173"/>
      <c r="P157" s="174"/>
      <c r="Q157" s="175"/>
      <c r="R157" s="168" t="str">
        <f ca="1">IF(ISERROR($V157),"",OFFSET('Smelter Look-up'!$C$4,$V157-4,0)&amp;"")</f>
        <v/>
      </c>
      <c r="S157" s="167" t="str">
        <f t="shared" ca="1" si="21"/>
        <v>MY</v>
      </c>
      <c r="T157" s="167" t="str">
        <f ca="1">IF(B157="","",IF(ISERROR(MATCH($J157,SorP!$B$1:$B$6230,0)),"",INDIRECT("'SorP'!$A$"&amp;MATCH($J157,SorP!$B$1:$B$6230,0))))</f>
        <v/>
      </c>
      <c r="U157" s="176"/>
      <c r="V157" s="177" t="e">
        <f>IF(C157="",NA(),IF(OR(C157="Smelter not listed",C157="Smelter not yet identified"),MATCH($B157&amp;$D157,'Smelter Look-up'!$J:$J,0),MATCH($B157&amp;$C157,'Smelter Look-up'!$J:$J,0)))</f>
        <v>#N/A</v>
      </c>
      <c r="X157" s="140">
        <f t="shared" si="22"/>
        <v>0</v>
      </c>
      <c r="AB157" s="178" t="str">
        <f t="shared" si="23"/>
        <v>TinSandvik Material Technology</v>
      </c>
    </row>
    <row r="158" spans="1:28" s="140" customFormat="1" ht="63.75">
      <c r="A158" s="167" t="s">
        <v>1629</v>
      </c>
      <c r="B158" s="168" t="s">
        <v>131</v>
      </c>
      <c r="C158" s="169" t="s">
        <v>1630</v>
      </c>
      <c r="D158" s="170" t="s">
        <v>1630</v>
      </c>
      <c r="E158" s="168" t="s">
        <v>433</v>
      </c>
      <c r="F158" s="168" t="s">
        <v>1629</v>
      </c>
      <c r="G158" s="168" t="s">
        <v>114</v>
      </c>
      <c r="H158" s="171" t="s">
        <v>114</v>
      </c>
      <c r="I158" s="172" t="s">
        <v>114</v>
      </c>
      <c r="J158" s="172" t="s">
        <v>114</v>
      </c>
      <c r="K158" s="173"/>
      <c r="L158" s="173"/>
      <c r="M158" s="173"/>
      <c r="N158" s="173"/>
      <c r="O158" s="173"/>
      <c r="P158" s="174"/>
      <c r="Q158" s="175"/>
      <c r="R158" s="168" t="str">
        <f ca="1">IF(ISERROR($V158),"",OFFSET('Smelter Look-up'!$C$4,$V158-4,0)&amp;"")</f>
        <v/>
      </c>
      <c r="S158" s="167" t="str">
        <f t="shared" ca="1" si="21"/>
        <v>BR</v>
      </c>
      <c r="T158" s="167" t="str">
        <f ca="1">IF(B158="","",IF(ISERROR(MATCH($J158,SorP!$B$1:$B$6230,0)),"",INDIRECT("'SorP'!$A$"&amp;MATCH($J158,SorP!$B$1:$B$6230,0))))</f>
        <v/>
      </c>
      <c r="U158" s="176"/>
      <c r="V158" s="177" t="e">
        <f>IF(C158="",NA(),IF(OR(C158="Smelter not listed",C158="Smelter not yet identified"),MATCH($B158&amp;$D158,'Smelter Look-up'!$J:$J,0),MATCH($B158&amp;$C158,'Smelter Look-up'!$J:$J,0)))</f>
        <v>#N/A</v>
      </c>
      <c r="X158" s="140">
        <f t="shared" si="22"/>
        <v>0</v>
      </c>
      <c r="AB158" s="178" t="str">
        <f t="shared" si="23"/>
        <v>TinShanghai Gold Exchange</v>
      </c>
    </row>
    <row r="159" spans="1:28" s="140" customFormat="1" ht="89.25">
      <c r="A159" s="167" t="s">
        <v>1631</v>
      </c>
      <c r="B159" s="168" t="s">
        <v>131</v>
      </c>
      <c r="C159" s="169" t="s">
        <v>1632</v>
      </c>
      <c r="D159" s="170" t="s">
        <v>1632</v>
      </c>
      <c r="E159" s="168" t="s">
        <v>192</v>
      </c>
      <c r="F159" s="168" t="s">
        <v>1631</v>
      </c>
      <c r="G159" s="168" t="s">
        <v>114</v>
      </c>
      <c r="H159" s="171" t="s">
        <v>114</v>
      </c>
      <c r="I159" s="172" t="s">
        <v>114</v>
      </c>
      <c r="J159" s="172" t="s">
        <v>114</v>
      </c>
      <c r="K159" s="173"/>
      <c r="L159" s="173"/>
      <c r="M159" s="173"/>
      <c r="N159" s="173"/>
      <c r="O159" s="173"/>
      <c r="P159" s="174"/>
      <c r="Q159" s="175"/>
      <c r="R159" s="168" t="str">
        <f ca="1">IF(ISERROR($V159),"",OFFSET('Smelter Look-up'!$C$4,$V159-4,0)&amp;"")</f>
        <v/>
      </c>
      <c r="S159" s="167" t="str">
        <f t="shared" ca="1" si="21"/>
        <v>CN</v>
      </c>
      <c r="T159" s="167" t="str">
        <f ca="1">IF(B159="","",IF(ISERROR(MATCH($J159,SorP!$B$1:$B$6230,0)),"",INDIRECT("'SorP'!$A$"&amp;MATCH($J159,SorP!$B$1:$B$6230,0))))</f>
        <v/>
      </c>
      <c r="U159" s="176"/>
      <c r="V159" s="177" t="e">
        <f>IF(C159="",NA(),IF(OR(C159="Smelter not listed",C159="Smelter not yet identified"),MATCH($B159&amp;$D159,'Smelter Look-up'!$J:$J,0),MATCH($B159&amp;$C159,'Smelter Look-up'!$J:$J,0)))</f>
        <v>#N/A</v>
      </c>
      <c r="X159" s="140">
        <f t="shared" si="22"/>
        <v>0</v>
      </c>
      <c r="AB159" s="178" t="str">
        <f t="shared" si="23"/>
        <v>TinShangHai YueQiang Metal Products Co., LTD</v>
      </c>
    </row>
    <row r="160" spans="1:28" s="140" customFormat="1" ht="76.5">
      <c r="A160" s="167" t="s">
        <v>1633</v>
      </c>
      <c r="B160" s="168" t="s">
        <v>131</v>
      </c>
      <c r="C160" s="169" t="s">
        <v>1634</v>
      </c>
      <c r="D160" s="170" t="s">
        <v>1634</v>
      </c>
      <c r="E160" s="168" t="s">
        <v>192</v>
      </c>
      <c r="F160" s="168" t="s">
        <v>1633</v>
      </c>
      <c r="G160" s="168" t="s">
        <v>114</v>
      </c>
      <c r="H160" s="171" t="s">
        <v>114</v>
      </c>
      <c r="I160" s="172" t="s">
        <v>114</v>
      </c>
      <c r="J160" s="172" t="s">
        <v>114</v>
      </c>
      <c r="K160" s="173"/>
      <c r="L160" s="173"/>
      <c r="M160" s="173"/>
      <c r="N160" s="173"/>
      <c r="O160" s="173"/>
      <c r="P160" s="174"/>
      <c r="Q160" s="175"/>
      <c r="R160" s="168" t="str">
        <f ca="1">IF(ISERROR($V160),"",OFFSET('Smelter Look-up'!$C$4,$V160-4,0)&amp;"")</f>
        <v/>
      </c>
      <c r="S160" s="167" t="str">
        <f t="shared" ca="1" si="21"/>
        <v>CN</v>
      </c>
      <c r="T160" s="167" t="str">
        <f ca="1">IF(B160="","",IF(ISERROR(MATCH($J160,SorP!$B$1:$B$6230,0)),"",INDIRECT("'SorP'!$A$"&amp;MATCH($J160,SorP!$B$1:$B$6230,0))))</f>
        <v/>
      </c>
      <c r="U160" s="176"/>
      <c r="V160" s="177" t="e">
        <f>IF(C160="",NA(),IF(OR(C160="Smelter not listed",C160="Smelter not yet identified"),MATCH($B160&amp;$D160,'Smelter Look-up'!$J:$J,0),MATCH($B160&amp;$C160,'Smelter Look-up'!$J:$J,0)))</f>
        <v>#N/A</v>
      </c>
      <c r="X160" s="140">
        <f t="shared" si="22"/>
        <v>0</v>
      </c>
      <c r="AB160" s="178" t="str">
        <f t="shared" si="23"/>
        <v>TinShen Mao Solder (M) Sdn. Bhd</v>
      </c>
    </row>
    <row r="161" spans="1:28" s="140" customFormat="1" ht="63.75">
      <c r="A161" s="167" t="s">
        <v>1635</v>
      </c>
      <c r="B161" s="168" t="s">
        <v>131</v>
      </c>
      <c r="C161" s="169" t="s">
        <v>1636</v>
      </c>
      <c r="D161" s="170" t="s">
        <v>1636</v>
      </c>
      <c r="E161" s="168" t="s">
        <v>192</v>
      </c>
      <c r="F161" s="168" t="s">
        <v>1635</v>
      </c>
      <c r="G161" s="168" t="s">
        <v>114</v>
      </c>
      <c r="H161" s="171" t="s">
        <v>114</v>
      </c>
      <c r="I161" s="172" t="s">
        <v>114</v>
      </c>
      <c r="J161" s="172" t="s">
        <v>114</v>
      </c>
      <c r="K161" s="173"/>
      <c r="L161" s="173"/>
      <c r="M161" s="173"/>
      <c r="N161" s="173"/>
      <c r="O161" s="173"/>
      <c r="P161" s="174"/>
      <c r="Q161" s="175"/>
      <c r="R161" s="168" t="str">
        <f ca="1">IF(ISERROR($V161),"",OFFSET('Smelter Look-up'!$C$4,$V161-4,0)&amp;"")</f>
        <v/>
      </c>
      <c r="S161" s="167" t="str">
        <f t="shared" ca="1" si="21"/>
        <v>CN</v>
      </c>
      <c r="T161" s="167" t="str">
        <f ca="1">IF(B161="","",IF(ISERROR(MATCH($J161,SorP!$B$1:$B$6230,0)),"",INDIRECT("'SorP'!$A$"&amp;MATCH($J161,SorP!$B$1:$B$6230,0))))</f>
        <v/>
      </c>
      <c r="U161" s="176"/>
      <c r="V161" s="177" t="e">
        <f>IF(C161="",NA(),IF(OR(C161="Smelter not listed",C161="Smelter not yet identified"),MATCH($B161&amp;$D161,'Smelter Look-up'!$J:$J,0),MATCH($B161&amp;$C161,'Smelter Look-up'!$J:$J,0)))</f>
        <v>#N/A</v>
      </c>
      <c r="X161" s="140">
        <f t="shared" si="22"/>
        <v>0</v>
      </c>
      <c r="AB161" s="178" t="str">
        <f t="shared" si="23"/>
        <v>TinShenzhen Yi Cheng Industrial</v>
      </c>
    </row>
    <row r="162" spans="1:28" s="140" customFormat="1" ht="409.5">
      <c r="A162" s="167" t="s">
        <v>1637</v>
      </c>
      <c r="B162" s="168" t="s">
        <v>131</v>
      </c>
      <c r="C162" s="169" t="s">
        <v>1638</v>
      </c>
      <c r="D162" s="170" t="s">
        <v>1638</v>
      </c>
      <c r="E162" s="168" t="s">
        <v>433</v>
      </c>
      <c r="F162" s="168" t="s">
        <v>1637</v>
      </c>
      <c r="G162" s="168" t="s">
        <v>142</v>
      </c>
      <c r="H162" s="171" t="s">
        <v>1639</v>
      </c>
      <c r="I162" s="172" t="s">
        <v>1640</v>
      </c>
      <c r="J162" s="172" t="s">
        <v>594</v>
      </c>
      <c r="K162" s="173" t="s">
        <v>1641</v>
      </c>
      <c r="L162" s="173" t="s">
        <v>1642</v>
      </c>
      <c r="M162" s="173" t="s">
        <v>1643</v>
      </c>
      <c r="N162" s="173" t="s">
        <v>1644</v>
      </c>
      <c r="O162" s="173" t="s">
        <v>1645</v>
      </c>
      <c r="P162" s="174" t="s">
        <v>600</v>
      </c>
      <c r="Q162" s="175" t="s">
        <v>1646</v>
      </c>
      <c r="R162" s="168" t="str">
        <f ca="1">IF(ISERROR($V162),"",OFFSET('Smelter Look-up'!$C$4,$V162-4,0)&amp;"")</f>
        <v>Soft Metais Ltda.</v>
      </c>
      <c r="S162" s="167" t="str">
        <f t="shared" ca="1" si="21"/>
        <v>BR</v>
      </c>
      <c r="T162" s="167" t="str">
        <f ca="1">IF(B162="","",IF(ISERROR(MATCH($J162,SorP!$B$1:$B$6230,0)),"",INDIRECT("'SorP'!$A$"&amp;MATCH($J162,SorP!$B$1:$B$6230,0))))</f>
        <v>BR-SP</v>
      </c>
      <c r="U162" s="176"/>
      <c r="V162" s="177">
        <f>IF(C162="",NA(),IF(OR(C162="Smelter not listed",C162="Smelter not yet identified"),MATCH($B162&amp;$D162,'Smelter Look-up'!$J:$J,0),MATCH($B162&amp;$C162,'Smelter Look-up'!$J:$J,0)))</f>
        <v>518</v>
      </c>
      <c r="X162" s="140">
        <f t="shared" si="22"/>
        <v>0</v>
      </c>
      <c r="AB162" s="178" t="str">
        <f t="shared" si="23"/>
        <v>TinSoft Metais Ltda.</v>
      </c>
    </row>
    <row r="163" spans="1:28" s="140" customFormat="1" ht="76.5">
      <c r="A163" s="167" t="s">
        <v>1647</v>
      </c>
      <c r="B163" s="168" t="s">
        <v>131</v>
      </c>
      <c r="C163" s="169" t="s">
        <v>1648</v>
      </c>
      <c r="D163" s="170" t="s">
        <v>1648</v>
      </c>
      <c r="E163" s="168" t="s">
        <v>192</v>
      </c>
      <c r="F163" s="168" t="s">
        <v>1647</v>
      </c>
      <c r="G163" s="168" t="s">
        <v>142</v>
      </c>
      <c r="H163" s="171" t="s">
        <v>114</v>
      </c>
      <c r="I163" s="172" t="s">
        <v>196</v>
      </c>
      <c r="J163" s="172" t="s">
        <v>196</v>
      </c>
      <c r="K163" s="173"/>
      <c r="L163" s="173"/>
      <c r="M163" s="173"/>
      <c r="N163" s="173" t="s">
        <v>121</v>
      </c>
      <c r="O163" s="173" t="s">
        <v>121</v>
      </c>
      <c r="P163" s="174" t="s">
        <v>121</v>
      </c>
      <c r="Q163" s="175" t="s">
        <v>210</v>
      </c>
      <c r="R163" s="168" t="str">
        <f ca="1">IF(ISERROR($V163),"",OFFSET('Smelter Look-up'!$C$4,$V163-4,0)&amp;"")</f>
        <v/>
      </c>
      <c r="S163" s="167" t="str">
        <f t="shared" ca="1" si="21"/>
        <v>CN</v>
      </c>
      <c r="T163" s="167" t="str">
        <f ca="1">IF(B163="","",IF(ISERROR(MATCH($J163,SorP!$B$1:$B$6230,0)),"",INDIRECT("'SorP'!$A$"&amp;MATCH($J163,SorP!$B$1:$B$6230,0))))</f>
        <v/>
      </c>
      <c r="U163" s="176"/>
      <c r="V163" s="177" t="e">
        <f>IF(C163="",NA(),IF(OR(C163="Smelter not listed",C163="Smelter not yet identified"),MATCH($B163&amp;$D163,'Smelter Look-up'!$J:$J,0),MATCH($B163&amp;$C163,'Smelter Look-up'!$J:$J,0)))</f>
        <v>#N/A</v>
      </c>
      <c r="X163" s="140">
        <f t="shared" si="22"/>
        <v>0</v>
      </c>
      <c r="AB163" s="178" t="str">
        <f t="shared" si="23"/>
        <v>TinSolder Court Ltd.</v>
      </c>
    </row>
    <row r="164" spans="1:28" s="140" customFormat="1" ht="51">
      <c r="A164" s="167" t="s">
        <v>1649</v>
      </c>
      <c r="B164" s="168" t="s">
        <v>131</v>
      </c>
      <c r="C164" s="169" t="s">
        <v>1650</v>
      </c>
      <c r="D164" s="170" t="s">
        <v>1650</v>
      </c>
      <c r="E164" s="168" t="s">
        <v>141</v>
      </c>
      <c r="F164" s="168" t="s">
        <v>1649</v>
      </c>
      <c r="G164" s="168" t="s">
        <v>142</v>
      </c>
      <c r="H164" s="171" t="s">
        <v>114</v>
      </c>
      <c r="I164" s="172" t="s">
        <v>196</v>
      </c>
      <c r="J164" s="172" t="s">
        <v>196</v>
      </c>
      <c r="K164" s="173"/>
      <c r="L164" s="173"/>
      <c r="M164" s="173"/>
      <c r="N164" s="173" t="s">
        <v>121</v>
      </c>
      <c r="O164" s="173" t="s">
        <v>121</v>
      </c>
      <c r="P164" s="174" t="s">
        <v>121</v>
      </c>
      <c r="Q164" s="175"/>
      <c r="R164" s="168" t="str">
        <f ca="1">IF(ISERROR($V164),"",OFFSET('Smelter Look-up'!$C$4,$V164-4,0)&amp;"")</f>
        <v/>
      </c>
      <c r="S164" s="167" t="str">
        <f t="shared" ca="1" si="21"/>
        <v>US</v>
      </c>
      <c r="T164" s="167" t="str">
        <f ca="1">IF(B164="","",IF(ISERROR(MATCH($J164,SorP!$B$1:$B$6230,0)),"",INDIRECT("'SorP'!$A$"&amp;MATCH($J164,SorP!$B$1:$B$6230,0))))</f>
        <v/>
      </c>
      <c r="U164" s="176"/>
      <c r="V164" s="177" t="e">
        <f>IF(C164="",NA(),IF(OR(C164="Smelter not listed",C164="Smelter not yet identified"),MATCH($B164&amp;$D164,'Smelter Look-up'!$J:$J,0),MATCH($B164&amp;$C164,'Smelter Look-up'!$J:$J,0)))</f>
        <v>#N/A</v>
      </c>
      <c r="X164" s="140">
        <f t="shared" si="22"/>
        <v>0</v>
      </c>
      <c r="AB164" s="178" t="str">
        <f t="shared" si="23"/>
        <v>TinSpectro Alloys Corp.</v>
      </c>
    </row>
    <row r="165" spans="1:28" s="140" customFormat="1" ht="409.5">
      <c r="A165" s="167" t="s">
        <v>1651</v>
      </c>
      <c r="B165" s="168" t="s">
        <v>132</v>
      </c>
      <c r="C165" s="169" t="s">
        <v>1652</v>
      </c>
      <c r="D165" s="170" t="s">
        <v>1652</v>
      </c>
      <c r="E165" s="168" t="s">
        <v>1125</v>
      </c>
      <c r="F165" s="168" t="s">
        <v>1651</v>
      </c>
      <c r="G165" s="168" t="s">
        <v>142</v>
      </c>
      <c r="H165" s="171" t="s">
        <v>1653</v>
      </c>
      <c r="I165" s="172" t="s">
        <v>1654</v>
      </c>
      <c r="J165" s="172" t="s">
        <v>1655</v>
      </c>
      <c r="K165" s="173" t="s">
        <v>1656</v>
      </c>
      <c r="L165" s="173" t="s">
        <v>1657</v>
      </c>
      <c r="M165" s="173" t="s">
        <v>1658</v>
      </c>
      <c r="N165" s="173" t="s">
        <v>1659</v>
      </c>
      <c r="O165" s="173" t="s">
        <v>1660</v>
      </c>
      <c r="P165" s="174" t="s">
        <v>715</v>
      </c>
      <c r="Q165" s="175" t="s">
        <v>1661</v>
      </c>
      <c r="R165" s="168" t="str">
        <f ca="1">IF(ISERROR($V165),"",OFFSET('Smelter Look-up'!$C$4,$V165-4,0)&amp;"")</f>
        <v>Asia Tungsten Products Vietnam Ltd.</v>
      </c>
      <c r="S165" s="167" t="str">
        <f t="shared" ca="1" si="21"/>
        <v>VN</v>
      </c>
      <c r="T165" s="167" t="str">
        <f ca="1">IF(B165="","",IF(ISERROR(MATCH($J165,SorP!$B$1:$B$6230,0)),"",INDIRECT("'SorP'!$A$"&amp;MATCH($J165,SorP!$B$1:$B$6230,0))))</f>
        <v>VN-HP</v>
      </c>
      <c r="U165" s="176"/>
      <c r="V165" s="177">
        <f>IF(C165="",NA(),IF(OR(C165="Smelter not listed",C165="Smelter not yet identified"),MATCH($B165&amp;$D165,'Smelter Look-up'!$J:$J,0),MATCH($B165&amp;$C165,'Smelter Look-up'!$J:$J,0)))</f>
        <v>562</v>
      </c>
      <c r="X165" s="140">
        <f t="shared" si="22"/>
        <v>0</v>
      </c>
      <c r="AB165" s="178" t="str">
        <f t="shared" si="23"/>
        <v>TungstenAsia Tungsten Products Vietnam Ltd.</v>
      </c>
    </row>
    <row r="166" spans="1:28" s="140" customFormat="1" ht="38.25">
      <c r="A166" s="167" t="s">
        <v>1663</v>
      </c>
      <c r="B166" s="168" t="s">
        <v>132</v>
      </c>
      <c r="C166" s="169" t="s">
        <v>1664</v>
      </c>
      <c r="D166" s="170" t="s">
        <v>1664</v>
      </c>
      <c r="E166" s="168" t="s">
        <v>253</v>
      </c>
      <c r="F166" s="168" t="s">
        <v>1663</v>
      </c>
      <c r="G166" s="168" t="s">
        <v>114</v>
      </c>
      <c r="H166" s="171" t="s">
        <v>114</v>
      </c>
      <c r="I166" s="172" t="s">
        <v>114</v>
      </c>
      <c r="J166" s="172" t="s">
        <v>114</v>
      </c>
      <c r="K166" s="173"/>
      <c r="L166" s="173"/>
      <c r="M166" s="173"/>
      <c r="N166" s="173"/>
      <c r="O166" s="173"/>
      <c r="P166" s="174"/>
      <c r="Q166" s="175"/>
      <c r="R166" s="168" t="str">
        <f ca="1">IF(ISERROR($V166),"",OFFSET('Smelter Look-up'!$C$4,$V166-4,0)&amp;"")</f>
        <v/>
      </c>
      <c r="S166" s="167" t="str">
        <f t="shared" ca="1" si="21"/>
        <v>ID</v>
      </c>
      <c r="T166" s="167" t="str">
        <f ca="1">IF(B166="","",IF(ISERROR(MATCH($J166,SorP!$B$1:$B$6230,0)),"",INDIRECT("'SorP'!$A$"&amp;MATCH($J166,SorP!$B$1:$B$6230,0))))</f>
        <v/>
      </c>
      <c r="U166" s="176"/>
      <c r="V166" s="177" t="e">
        <f>IF(C166="",NA(),IF(OR(C166="Smelter not listed",C166="Smelter not yet identified"),MATCH($B166&amp;$D166,'Smelter Look-up'!$J:$J,0),MATCH($B166&amp;$C166,'Smelter Look-up'!$J:$J,0)))</f>
        <v>#N/A</v>
      </c>
      <c r="X166" s="140">
        <f t="shared" si="22"/>
        <v>0</v>
      </c>
      <c r="AB166" s="178" t="str">
        <f t="shared" si="23"/>
        <v>TungstenAtlantic Metals</v>
      </c>
    </row>
    <row r="167" spans="1:28" s="140" customFormat="1" ht="63.75">
      <c r="A167" s="167" t="s">
        <v>1665</v>
      </c>
      <c r="B167" s="168" t="s">
        <v>132</v>
      </c>
      <c r="C167" s="169" t="s">
        <v>1666</v>
      </c>
      <c r="D167" s="170" t="s">
        <v>1666</v>
      </c>
      <c r="E167" s="168" t="s">
        <v>253</v>
      </c>
      <c r="F167" s="168" t="s">
        <v>1665</v>
      </c>
      <c r="G167" s="168" t="s">
        <v>114</v>
      </c>
      <c r="H167" s="171" t="s">
        <v>114</v>
      </c>
      <c r="I167" s="172" t="s">
        <v>114</v>
      </c>
      <c r="J167" s="172" t="s">
        <v>114</v>
      </c>
      <c r="K167" s="173"/>
      <c r="L167" s="173"/>
      <c r="M167" s="173"/>
      <c r="N167" s="173"/>
      <c r="O167" s="173"/>
      <c r="P167" s="174"/>
      <c r="Q167" s="175"/>
      <c r="R167" s="168" t="str">
        <f ca="1">IF(ISERROR($V167),"",OFFSET('Smelter Look-up'!$C$4,$V167-4,0)&amp;"")</f>
        <v/>
      </c>
      <c r="S167" s="167" t="str">
        <f t="shared" ca="1" si="21"/>
        <v>ID</v>
      </c>
      <c r="T167" s="167" t="str">
        <f ca="1">IF(B167="","",IF(ISERROR(MATCH($J167,SorP!$B$1:$B$6230,0)),"",INDIRECT("'SorP'!$A$"&amp;MATCH($J167,SorP!$B$1:$B$6230,0))))</f>
        <v/>
      </c>
      <c r="U167" s="176"/>
      <c r="V167" s="177" t="e">
        <f>IF(C167="",NA(),IF(OR(C167="Smelter not listed",C167="Smelter not yet identified"),MATCH($B167&amp;$D167,'Smelter Look-up'!$J:$J,0),MATCH($B167&amp;$C167,'Smelter Look-up'!$J:$J,0)))</f>
        <v>#N/A</v>
      </c>
      <c r="X167" s="140">
        <f t="shared" si="22"/>
        <v>0</v>
      </c>
      <c r="AB167" s="178" t="str">
        <f t="shared" si="23"/>
        <v>TungstenBeijing Zenith Materials</v>
      </c>
    </row>
    <row r="168" spans="1:28" s="140" customFormat="1" ht="63.75">
      <c r="A168" s="167" t="s">
        <v>1667</v>
      </c>
      <c r="B168" s="168" t="s">
        <v>132</v>
      </c>
      <c r="C168" s="169" t="s">
        <v>1668</v>
      </c>
      <c r="D168" s="170" t="s">
        <v>1668</v>
      </c>
      <c r="E168" s="168" t="s">
        <v>253</v>
      </c>
      <c r="F168" s="168" t="s">
        <v>1667</v>
      </c>
      <c r="G168" s="168" t="s">
        <v>114</v>
      </c>
      <c r="H168" s="171" t="s">
        <v>114</v>
      </c>
      <c r="I168" s="172" t="s">
        <v>114</v>
      </c>
      <c r="J168" s="172" t="s">
        <v>114</v>
      </c>
      <c r="K168" s="173"/>
      <c r="L168" s="173"/>
      <c r="M168" s="173"/>
      <c r="N168" s="173"/>
      <c r="O168" s="173"/>
      <c r="P168" s="174"/>
      <c r="Q168" s="175"/>
      <c r="R168" s="168" t="str">
        <f ca="1">IF(ISERROR($V168),"",OFFSET('Smelter Look-up'!$C$4,$V168-4,0)&amp;"")</f>
        <v/>
      </c>
      <c r="S168" s="167" t="str">
        <f t="shared" ca="1" si="21"/>
        <v>ID</v>
      </c>
      <c r="T168" s="167" t="str">
        <f ca="1">IF(B168="","",IF(ISERROR(MATCH($J168,SorP!$B$1:$B$6230,0)),"",INDIRECT("'SorP'!$A$"&amp;MATCH($J168,SorP!$B$1:$B$6230,0))))</f>
        <v/>
      </c>
      <c r="U168" s="176"/>
      <c r="V168" s="177" t="e">
        <f>IF(C168="",NA(),IF(OR(C168="Smelter not listed",C168="Smelter not yet identified"),MATCH($B168&amp;$D168,'Smelter Look-up'!$J:$J,0),MATCH($B168&amp;$C168,'Smelter Look-up'!$J:$J,0)))</f>
        <v>#N/A</v>
      </c>
      <c r="X168" s="140">
        <f t="shared" si="22"/>
        <v>0</v>
      </c>
      <c r="AB168" s="178" t="str">
        <f t="shared" si="23"/>
        <v>TungstenChangchun up-optotech</v>
      </c>
    </row>
    <row r="169" spans="1:28" s="140" customFormat="1" ht="409.5">
      <c r="A169" s="167" t="s">
        <v>1669</v>
      </c>
      <c r="B169" s="168" t="s">
        <v>132</v>
      </c>
      <c r="C169" s="169" t="s">
        <v>1670</v>
      </c>
      <c r="D169" s="170" t="s">
        <v>1670</v>
      </c>
      <c r="E169" s="168" t="s">
        <v>192</v>
      </c>
      <c r="F169" s="168" t="s">
        <v>1669</v>
      </c>
      <c r="G169" s="168" t="s">
        <v>142</v>
      </c>
      <c r="H169" s="171" t="s">
        <v>1671</v>
      </c>
      <c r="I169" s="172" t="s">
        <v>985</v>
      </c>
      <c r="J169" s="172" t="s">
        <v>771</v>
      </c>
      <c r="K169" s="173" t="s">
        <v>1672</v>
      </c>
      <c r="L169" s="173" t="s">
        <v>1673</v>
      </c>
      <c r="M169" s="173" t="s">
        <v>1674</v>
      </c>
      <c r="N169" s="173" t="s">
        <v>1675</v>
      </c>
      <c r="O169" s="173" t="s">
        <v>1676</v>
      </c>
      <c r="P169" s="174" t="s">
        <v>715</v>
      </c>
      <c r="Q169" s="175" t="s">
        <v>1677</v>
      </c>
      <c r="R169" s="168" t="str">
        <f ca="1">IF(ISERROR($V169),"",OFFSET('Smelter Look-up'!$C$4,$V169-4,0)&amp;"")</f>
        <v>Ganzhou Haichuang Tungsten Co., Ltd.</v>
      </c>
      <c r="S169" s="167" t="str">
        <f t="shared" ca="1" si="21"/>
        <v>CN</v>
      </c>
      <c r="T169" s="167" t="str">
        <f ca="1">IF(B169="","",IF(ISERROR(MATCH($J169,SorP!$B$1:$B$6230,0)),"",INDIRECT("'SorP'!$A$"&amp;MATCH($J169,SorP!$B$1:$B$6230,0))))</f>
        <v>CN-JX</v>
      </c>
      <c r="U169" s="176"/>
      <c r="V169" s="177">
        <f>IF(C169="",NA(),IF(OR(C169="Smelter not listed",C169="Smelter not yet identified"),MATCH($B169&amp;$D169,'Smelter Look-up'!$J:$J,0),MATCH($B169&amp;$C169,'Smelter Look-up'!$J:$J,0)))</f>
        <v>575</v>
      </c>
      <c r="X169" s="140">
        <f t="shared" si="22"/>
        <v>0</v>
      </c>
      <c r="AB169" s="178" t="str">
        <f t="shared" si="23"/>
        <v>TungstenGanzhou Haichuang Tungsten Co., Ltd.</v>
      </c>
    </row>
    <row r="170" spans="1:28" s="140" customFormat="1" ht="76.5">
      <c r="A170" s="167" t="s">
        <v>1678</v>
      </c>
      <c r="B170" s="168" t="s">
        <v>132</v>
      </c>
      <c r="C170" s="169" t="s">
        <v>1679</v>
      </c>
      <c r="D170" s="170" t="s">
        <v>1679</v>
      </c>
      <c r="E170" s="168" t="s">
        <v>253</v>
      </c>
      <c r="F170" s="168" t="s">
        <v>1678</v>
      </c>
      <c r="G170" s="168" t="s">
        <v>114</v>
      </c>
      <c r="H170" s="171" t="s">
        <v>114</v>
      </c>
      <c r="I170" s="172" t="s">
        <v>114</v>
      </c>
      <c r="J170" s="172" t="s">
        <v>114</v>
      </c>
      <c r="K170" s="173"/>
      <c r="L170" s="173"/>
      <c r="M170" s="173"/>
      <c r="N170" s="173"/>
      <c r="O170" s="173"/>
      <c r="P170" s="174"/>
      <c r="Q170" s="175"/>
      <c r="R170" s="168" t="str">
        <f ca="1">IF(ISERROR($V170),"",OFFSET('Smelter Look-up'!$C$4,$V170-4,0)&amp;"")</f>
        <v/>
      </c>
      <c r="S170" s="167" t="str">
        <f t="shared" ca="1" si="21"/>
        <v>ID</v>
      </c>
      <c r="T170" s="167" t="str">
        <f ca="1">IF(B170="","",IF(ISERROR(MATCH($J170,SorP!$B$1:$B$6230,0)),"",INDIRECT("'SorP'!$A$"&amp;MATCH($J170,SorP!$B$1:$B$6230,0))))</f>
        <v/>
      </c>
      <c r="U170" s="176"/>
      <c r="V170" s="177" t="e">
        <f>IF(C170="",NA(),IF(OR(C170="Smelter not listed",C170="Smelter not yet identified"),MATCH($B170&amp;$D170,'Smelter Look-up'!$J:$J,0),MATCH($B170&amp;$C170,'Smelter Look-up'!$J:$J,0)))</f>
        <v>#N/A</v>
      </c>
      <c r="X170" s="140">
        <f t="shared" si="22"/>
        <v>0</v>
      </c>
      <c r="AB170" s="178" t="str">
        <f t="shared" si="23"/>
        <v>TungstenGanzhou Hongfei Materials Co.</v>
      </c>
    </row>
    <row r="171" spans="1:28" s="140" customFormat="1" ht="140.25">
      <c r="A171" s="167" t="s">
        <v>1685</v>
      </c>
      <c r="B171" s="168" t="s">
        <v>132</v>
      </c>
      <c r="C171" s="169" t="s">
        <v>1686</v>
      </c>
      <c r="D171" s="170" t="s">
        <v>1686</v>
      </c>
      <c r="E171" s="168" t="s">
        <v>192</v>
      </c>
      <c r="F171" s="168" t="s">
        <v>1685</v>
      </c>
      <c r="G171" s="168" t="s">
        <v>142</v>
      </c>
      <c r="H171" s="171" t="s">
        <v>1687</v>
      </c>
      <c r="I171" s="172" t="s">
        <v>1688</v>
      </c>
      <c r="J171" s="172" t="s">
        <v>771</v>
      </c>
      <c r="K171" s="173" t="s">
        <v>1689</v>
      </c>
      <c r="L171" s="173" t="s">
        <v>1690</v>
      </c>
      <c r="M171" s="173"/>
      <c r="N171" s="173" t="s">
        <v>220</v>
      </c>
      <c r="O171" s="173" t="s">
        <v>1691</v>
      </c>
      <c r="P171" s="174" t="s">
        <v>175</v>
      </c>
      <c r="Q171" s="175" t="s">
        <v>196</v>
      </c>
      <c r="R171" s="168" t="str">
        <f ca="1">IF(ISERROR($V171),"",OFFSET('Smelter Look-up'!$C$4,$V171-4,0)&amp;"")</f>
        <v>Jiangxi Minmetals Gao'an Non-ferrous Metals Co., Ltd.</v>
      </c>
      <c r="S171" s="167" t="str">
        <f t="shared" ca="1" si="21"/>
        <v>CN</v>
      </c>
      <c r="T171" s="167" t="str">
        <f ca="1">IF(B171="","",IF(ISERROR(MATCH($J171,SorP!$B$1:$B$6230,0)),"",INDIRECT("'SorP'!$A$"&amp;MATCH($J171,SorP!$B$1:$B$6230,0))))</f>
        <v>CN-JX</v>
      </c>
      <c r="U171" s="176"/>
      <c r="V171" s="177">
        <f>IF(C171="",NA(),IF(OR(C171="Smelter not listed",C171="Smelter not yet identified"),MATCH($B171&amp;$D171,'Smelter Look-up'!$J:$J,0),MATCH($B171&amp;$C171,'Smelter Look-up'!$J:$J,0)))</f>
        <v>595</v>
      </c>
      <c r="X171" s="140">
        <f t="shared" si="22"/>
        <v>0</v>
      </c>
      <c r="AB171" s="178" t="str">
        <f t="shared" si="23"/>
        <v>TungstenJiangxi Minmetals Gao'an Non-ferrous Metals Co., Ltd.</v>
      </c>
    </row>
    <row r="172" spans="1:28" s="140" customFormat="1" ht="409.5">
      <c r="A172" s="167" t="s">
        <v>1692</v>
      </c>
      <c r="B172" s="168" t="s">
        <v>132</v>
      </c>
      <c r="C172" s="169" t="s">
        <v>986</v>
      </c>
      <c r="D172" s="170" t="s">
        <v>986</v>
      </c>
      <c r="E172" s="168" t="s">
        <v>192</v>
      </c>
      <c r="F172" s="168" t="s">
        <v>1692</v>
      </c>
      <c r="G172" s="168" t="s">
        <v>142</v>
      </c>
      <c r="H172" s="171" t="s">
        <v>1693</v>
      </c>
      <c r="I172" s="172" t="s">
        <v>985</v>
      </c>
      <c r="J172" s="172" t="s">
        <v>771</v>
      </c>
      <c r="K172" s="173" t="s">
        <v>1694</v>
      </c>
      <c r="L172" s="173" t="s">
        <v>1695</v>
      </c>
      <c r="M172" s="173" t="s">
        <v>1696</v>
      </c>
      <c r="N172" s="173" t="s">
        <v>1697</v>
      </c>
      <c r="O172" s="173" t="s">
        <v>1698</v>
      </c>
      <c r="P172" s="174" t="s">
        <v>715</v>
      </c>
      <c r="Q172" s="175" t="s">
        <v>1699</v>
      </c>
      <c r="R172" s="168" t="str">
        <f ca="1">IF(ISERROR($V172),"",OFFSET('Smelter Look-up'!$C$4,$V172-4,0)&amp;"")</f>
        <v>Ganzhou Jiangwu Ferrotungsten Co., Ltd.</v>
      </c>
      <c r="S172" s="167" t="str">
        <f t="shared" ca="1" si="21"/>
        <v>CN</v>
      </c>
      <c r="T172" s="167" t="str">
        <f ca="1">IF(B172="","",IF(ISERROR(MATCH($J172,SorP!$B$1:$B$6230,0)),"",INDIRECT("'SorP'!$A$"&amp;MATCH($J172,SorP!$B$1:$B$6230,0))))</f>
        <v>CN-JX</v>
      </c>
      <c r="U172" s="176"/>
      <c r="V172" s="177">
        <f>IF(C172="",NA(),IF(OR(C172="Smelter not listed",C172="Smelter not yet identified"),MATCH($B172&amp;$D172,'Smelter Look-up'!$J:$J,0),MATCH($B172&amp;$C172,'Smelter Look-up'!$J:$J,0)))</f>
        <v>577</v>
      </c>
      <c r="X172" s="140">
        <f t="shared" si="22"/>
        <v>0</v>
      </c>
      <c r="AB172" s="178" t="str">
        <f t="shared" si="23"/>
        <v>TungstenGanzhou Jiangwu Ferrotungsten Co., Ltd.</v>
      </c>
    </row>
    <row r="173" spans="1:28" s="140" customFormat="1" ht="409.5">
      <c r="A173" s="167" t="s">
        <v>1703</v>
      </c>
      <c r="B173" s="168" t="s">
        <v>132</v>
      </c>
      <c r="C173" s="169" t="s">
        <v>1704</v>
      </c>
      <c r="D173" s="170" t="s">
        <v>1704</v>
      </c>
      <c r="E173" s="168" t="s">
        <v>459</v>
      </c>
      <c r="F173" s="168" t="s">
        <v>1703</v>
      </c>
      <c r="G173" s="168" t="s">
        <v>142</v>
      </c>
      <c r="H173" s="171" t="s">
        <v>1705</v>
      </c>
      <c r="I173" s="172" t="s">
        <v>1706</v>
      </c>
      <c r="J173" s="172" t="s">
        <v>1707</v>
      </c>
      <c r="K173" s="173" t="s">
        <v>1708</v>
      </c>
      <c r="L173" s="173" t="s">
        <v>1709</v>
      </c>
      <c r="M173" s="173" t="s">
        <v>1710</v>
      </c>
      <c r="N173" s="173" t="s">
        <v>1711</v>
      </c>
      <c r="O173" s="173" t="s">
        <v>1712</v>
      </c>
      <c r="P173" s="174" t="s">
        <v>715</v>
      </c>
      <c r="Q173" s="175" t="s">
        <v>1713</v>
      </c>
      <c r="R173" s="168" t="str">
        <f ca="1">IF(ISERROR($V173),"",OFFSET('Smelter Look-up'!$C$4,$V173-4,0)&amp;"")</f>
        <v>Hydrometallurg, JSC</v>
      </c>
      <c r="S173" s="167" t="str">
        <f t="shared" ref="S173:S194" ca="1" si="24">IF(B173="","",IF(ISERROR(MATCH($E173,CL,0)),"Unknown",INDIRECT("'C'!$A$"&amp;MATCH($E173,CL,0)+1)))</f>
        <v>RU</v>
      </c>
      <c r="T173" s="167" t="str">
        <f ca="1">IF(B173="","",IF(ISERROR(MATCH($J173,SorP!$B$1:$B$6230,0)),"",INDIRECT("'SorP'!$A$"&amp;MATCH($J173,SorP!$B$1:$B$6230,0))))</f>
        <v>RU-KB</v>
      </c>
      <c r="U173" s="176"/>
      <c r="V173" s="177">
        <f>IF(C173="",NA(),IF(OR(C173="Smelter not listed",C173="Smelter not yet identified"),MATCH($B173&amp;$D173,'Smelter Look-up'!$J:$J,0),MATCH($B173&amp;$C173,'Smelter Look-up'!$J:$J,0)))</f>
        <v>591</v>
      </c>
      <c r="X173" s="140">
        <f t="shared" ref="X173:X194" si="25">IF(AND(C173="Smelter not listed",OR(LEN(D173)=0,LEN(E173)=0)),1,0)</f>
        <v>0</v>
      </c>
      <c r="AB173" s="178" t="str">
        <f t="shared" ref="AB173:AB194" si="26">B173&amp;C173</f>
        <v>TungstenHydrometallurg, JSC</v>
      </c>
    </row>
    <row r="174" spans="1:28" s="140" customFormat="1" ht="409.5">
      <c r="A174" s="167" t="s">
        <v>1714</v>
      </c>
      <c r="B174" s="168" t="s">
        <v>133</v>
      </c>
      <c r="C174" s="169" t="s">
        <v>1715</v>
      </c>
      <c r="D174" s="170" t="s">
        <v>1716</v>
      </c>
      <c r="E174" s="168" t="s">
        <v>459</v>
      </c>
      <c r="F174" s="168" t="s">
        <v>1714</v>
      </c>
      <c r="G174" s="168" t="s">
        <v>142</v>
      </c>
      <c r="H174" s="171" t="s">
        <v>1717</v>
      </c>
      <c r="I174" s="172" t="s">
        <v>1718</v>
      </c>
      <c r="J174" s="172" t="s">
        <v>1719</v>
      </c>
      <c r="K174" s="173" t="s">
        <v>1720</v>
      </c>
      <c r="L174" s="173" t="s">
        <v>1721</v>
      </c>
      <c r="M174" s="173" t="s">
        <v>1722</v>
      </c>
      <c r="N174" s="173" t="s">
        <v>1723</v>
      </c>
      <c r="O174" s="173" t="s">
        <v>1724</v>
      </c>
      <c r="P174" s="174" t="s">
        <v>175</v>
      </c>
      <c r="Q174" s="175" t="s">
        <v>1725</v>
      </c>
      <c r="R174" s="168" t="str">
        <f ca="1">IF(ISERROR($V174),"",OFFSET('Smelter Look-up'!$C$4,$V174-4,0)&amp;"")</f>
        <v/>
      </c>
      <c r="S174" s="167" t="str">
        <f t="shared" ca="1" si="24"/>
        <v>RU</v>
      </c>
      <c r="T174" s="167" t="str">
        <f ca="1">IF(B174="","",IF(ISERROR(MATCH($J174,SorP!$B$1:$B$6230,0)),"",INDIRECT("'SorP'!$A$"&amp;MATCH($J174,SorP!$B$1:$B$6230,0))))</f>
        <v>RU-KYA</v>
      </c>
      <c r="U174" s="176"/>
      <c r="V174" s="177" t="e">
        <f>IF(C174="",NA(),IF(OR(C174="Smelter not listed",C174="Smelter not yet identified"),MATCH($B174&amp;$D174,'Smelter Look-up'!$J:$J,0),MATCH($B174&amp;$C174,'Smelter Look-up'!$J:$J,0)))</f>
        <v>#N/A</v>
      </c>
      <c r="X174" s="140">
        <f t="shared" si="25"/>
        <v>0</v>
      </c>
      <c r="AB174" s="178" t="str">
        <f t="shared" si="26"/>
        <v>GoldOJSC “The Gulidov Krasnoyarsk Non-Ferrous Metals Plant” (OJSC Krastvetmet)</v>
      </c>
    </row>
    <row r="175" spans="1:28" s="140" customFormat="1" ht="51">
      <c r="A175" s="167" t="s">
        <v>1727</v>
      </c>
      <c r="B175" s="168" t="s">
        <v>133</v>
      </c>
      <c r="C175" s="169" t="s">
        <v>1726</v>
      </c>
      <c r="D175" s="170" t="s">
        <v>1726</v>
      </c>
      <c r="E175" s="168" t="s">
        <v>459</v>
      </c>
      <c r="F175" s="168" t="s">
        <v>1727</v>
      </c>
      <c r="G175" s="168" t="s">
        <v>169</v>
      </c>
      <c r="H175" s="171" t="s">
        <v>114</v>
      </c>
      <c r="I175" s="172" t="s">
        <v>114</v>
      </c>
      <c r="J175" s="172" t="s">
        <v>114</v>
      </c>
      <c r="K175" s="173"/>
      <c r="L175" s="173"/>
      <c r="M175" s="173"/>
      <c r="N175" s="173"/>
      <c r="O175" s="173"/>
      <c r="P175" s="174"/>
      <c r="Q175" s="175"/>
      <c r="R175" s="168" t="str">
        <f ca="1">IF(ISERROR($V175),"",OFFSET('Smelter Look-up'!$C$4,$V175-4,0)&amp;"")</f>
        <v/>
      </c>
      <c r="S175" s="167" t="str">
        <f t="shared" ca="1" si="24"/>
        <v>RU</v>
      </c>
      <c r="T175" s="167" t="str">
        <f ca="1">IF(B175="","",IF(ISERROR(MATCH($J175,SorP!$B$1:$B$6230,0)),"",INDIRECT("'SorP'!$A$"&amp;MATCH($J175,SorP!$B$1:$B$6230,0))))</f>
        <v/>
      </c>
      <c r="U175" s="176"/>
      <c r="V175" s="177" t="e">
        <f>IF(C175="",NA(),IF(OR(C175="Smelter not listed",C175="Smelter not yet identified"),MATCH($B175&amp;$D175,'Smelter Look-up'!$J:$J,0),MATCH($B175&amp;$C175,'Smelter Look-up'!$J:$J,0)))</f>
        <v>#N/A</v>
      </c>
      <c r="X175" s="140">
        <f t="shared" si="25"/>
        <v>0</v>
      </c>
      <c r="AB175" s="178" t="str">
        <f t="shared" si="26"/>
        <v>GoldOJSC Kolyma Refinery</v>
      </c>
    </row>
    <row r="176" spans="1:28" s="140" customFormat="1" ht="409.5">
      <c r="A176" s="167" t="s">
        <v>1731</v>
      </c>
      <c r="B176" s="168" t="s">
        <v>133</v>
      </c>
      <c r="C176" s="169" t="s">
        <v>1732</v>
      </c>
      <c r="D176" s="170" t="s">
        <v>1732</v>
      </c>
      <c r="E176" s="168" t="s">
        <v>369</v>
      </c>
      <c r="F176" s="168" t="s">
        <v>1731</v>
      </c>
      <c r="G176" s="168" t="s">
        <v>142</v>
      </c>
      <c r="H176" s="171" t="s">
        <v>1733</v>
      </c>
      <c r="I176" s="172" t="s">
        <v>1734</v>
      </c>
      <c r="J176" s="172" t="s">
        <v>1735</v>
      </c>
      <c r="K176" s="173" t="s">
        <v>1736</v>
      </c>
      <c r="L176" s="173" t="s">
        <v>1737</v>
      </c>
      <c r="M176" s="173" t="s">
        <v>1738</v>
      </c>
      <c r="N176" s="173" t="s">
        <v>1739</v>
      </c>
      <c r="O176" s="173" t="s">
        <v>1740</v>
      </c>
      <c r="P176" s="174" t="s">
        <v>1741</v>
      </c>
      <c r="Q176" s="175" t="s">
        <v>1742</v>
      </c>
      <c r="R176" s="168" t="str">
        <f ca="1">IF(ISERROR($V176),"",OFFSET('Smelter Look-up'!$C$4,$V176-4,0)&amp;"")</f>
        <v>Solar Applied Materials Technology Corp.</v>
      </c>
      <c r="S176" s="167" t="str">
        <f t="shared" ca="1" si="24"/>
        <v>TW</v>
      </c>
      <c r="T176" s="167" t="str">
        <f ca="1">IF(B176="","",IF(ISERROR(MATCH($J176,SorP!$B$1:$B$6230,0)),"",INDIRECT("'SorP'!$A$"&amp;MATCH($J176,SorP!$B$1:$B$6230,0))))</f>
        <v>TW-TNN</v>
      </c>
      <c r="U176" s="176"/>
      <c r="V176" s="177">
        <f>IF(C176="",NA(),IF(OR(C176="Smelter not listed",C176="Smelter not yet identified"),MATCH($B176&amp;$D176,'Smelter Look-up'!$J:$J,0),MATCH($B176&amp;$C176,'Smelter Look-up'!$J:$J,0)))</f>
        <v>258</v>
      </c>
      <c r="X176" s="140">
        <f t="shared" si="25"/>
        <v>0</v>
      </c>
      <c r="AB176" s="178" t="str">
        <f t="shared" si="26"/>
        <v>GoldSolar Applied Materials Technology Corp.</v>
      </c>
    </row>
    <row r="177" spans="1:28" s="140" customFormat="1" ht="280.5">
      <c r="A177" s="167" t="s">
        <v>1743</v>
      </c>
      <c r="B177" s="168" t="s">
        <v>133</v>
      </c>
      <c r="C177" s="169" t="s">
        <v>1744</v>
      </c>
      <c r="D177" s="170" t="s">
        <v>1744</v>
      </c>
      <c r="E177" s="168" t="s">
        <v>226</v>
      </c>
      <c r="F177" s="168" t="s">
        <v>1743</v>
      </c>
      <c r="G177" s="168" t="s">
        <v>142</v>
      </c>
      <c r="H177" s="171" t="s">
        <v>114</v>
      </c>
      <c r="I177" s="172" t="s">
        <v>1745</v>
      </c>
      <c r="J177" s="172" t="s">
        <v>1746</v>
      </c>
      <c r="K177" s="173" t="s">
        <v>1747</v>
      </c>
      <c r="L177" s="173" t="s">
        <v>1748</v>
      </c>
      <c r="M177" s="173"/>
      <c r="N177" s="173" t="s">
        <v>229</v>
      </c>
      <c r="O177" s="173" t="s">
        <v>1749</v>
      </c>
      <c r="P177" s="174" t="s">
        <v>175</v>
      </c>
      <c r="Q177" s="175" t="s">
        <v>1343</v>
      </c>
      <c r="R177" s="168" t="str">
        <f ca="1">IF(ISERROR($V177),"",OFFSET('Smelter Look-up'!$C$4,$V177-4,0)&amp;"")</f>
        <v>Sovereign Metals</v>
      </c>
      <c r="S177" s="167" t="str">
        <f t="shared" ca="1" si="24"/>
        <v>IN</v>
      </c>
      <c r="T177" s="167" t="str">
        <f ca="1">IF(B177="","",IF(ISERROR(MATCH($J177,SorP!$B$1:$B$6230,0)),"",INDIRECT("'SorP'!$A$"&amp;MATCH($J177,SorP!$B$1:$B$6230,0))))</f>
        <v>IN-GJ</v>
      </c>
      <c r="U177" s="176"/>
      <c r="V177" s="177">
        <f>IF(C177="",NA(),IF(OR(C177="Smelter not listed",C177="Smelter not yet identified"),MATCH($B177&amp;$D177,'Smelter Look-up'!$J:$J,0),MATCH($B177&amp;$C177,'Smelter Look-up'!$J:$J,0)))</f>
        <v>261</v>
      </c>
      <c r="X177" s="140">
        <f t="shared" si="25"/>
        <v>0</v>
      </c>
      <c r="AB177" s="178" t="str">
        <f t="shared" si="26"/>
        <v>GoldSovereign Metals</v>
      </c>
    </row>
    <row r="178" spans="1:28" s="140" customFormat="1" ht="267.75">
      <c r="A178" s="167" t="s">
        <v>1750</v>
      </c>
      <c r="B178" s="168" t="s">
        <v>133</v>
      </c>
      <c r="C178" s="169" t="s">
        <v>1751</v>
      </c>
      <c r="D178" s="170" t="s">
        <v>1751</v>
      </c>
      <c r="E178" s="168" t="s">
        <v>1752</v>
      </c>
      <c r="F178" s="168" t="s">
        <v>1750</v>
      </c>
      <c r="G178" s="168" t="s">
        <v>142</v>
      </c>
      <c r="H178" s="171" t="s">
        <v>1753</v>
      </c>
      <c r="I178" s="172" t="s">
        <v>1754</v>
      </c>
      <c r="J178" s="172" t="s">
        <v>1754</v>
      </c>
      <c r="K178" s="173" t="s">
        <v>1755</v>
      </c>
      <c r="L178" s="173" t="s">
        <v>1756</v>
      </c>
      <c r="M178" s="173"/>
      <c r="N178" s="173" t="s">
        <v>220</v>
      </c>
      <c r="O178" s="173" t="s">
        <v>1757</v>
      </c>
      <c r="P178" s="174" t="s">
        <v>175</v>
      </c>
      <c r="Q178" s="175" t="s">
        <v>196</v>
      </c>
      <c r="R178" s="168" t="str">
        <f ca="1">IF(ISERROR($V178),"",OFFSET('Smelter Look-up'!$C$4,$V178-4,0)&amp;"")</f>
        <v>State Research Institute Center for Physical Sciences and Technology</v>
      </c>
      <c r="S178" s="167" t="str">
        <f t="shared" ca="1" si="24"/>
        <v>LT</v>
      </c>
      <c r="T178" s="167" t="str">
        <f ca="1">IF(B178="","",IF(ISERROR(MATCH($J178,SorP!$B$1:$B$6230,0)),"",INDIRECT("'SorP'!$A$"&amp;MATCH($J178,SorP!$B$1:$B$6230,0))))</f>
        <v>LT-58</v>
      </c>
      <c r="U178" s="176"/>
      <c r="V178" s="177">
        <f>IF(C178="",NA(),IF(OR(C178="Smelter not listed",C178="Smelter not yet identified"),MATCH($B178&amp;$D178,'Smelter Look-up'!$J:$J,0),MATCH($B178&amp;$C178,'Smelter Look-up'!$J:$J,0)))</f>
        <v>262</v>
      </c>
      <c r="X178" s="140">
        <f t="shared" si="25"/>
        <v>0</v>
      </c>
      <c r="AB178" s="178" t="str">
        <f t="shared" si="26"/>
        <v>GoldState Research Institute Center for Physical Sciences and Technology</v>
      </c>
    </row>
    <row r="179" spans="1:28" s="140" customFormat="1" ht="267.75">
      <c r="A179" s="167" t="s">
        <v>1758</v>
      </c>
      <c r="B179" s="168" t="s">
        <v>133</v>
      </c>
      <c r="C179" s="169" t="s">
        <v>1759</v>
      </c>
      <c r="D179" s="170" t="s">
        <v>1759</v>
      </c>
      <c r="E179" s="168" t="s">
        <v>1760</v>
      </c>
      <c r="F179" s="168" t="s">
        <v>1758</v>
      </c>
      <c r="G179" s="168" t="s">
        <v>142</v>
      </c>
      <c r="H179" s="171" t="s">
        <v>1761</v>
      </c>
      <c r="I179" s="172" t="s">
        <v>1762</v>
      </c>
      <c r="J179" s="172" t="s">
        <v>1762</v>
      </c>
      <c r="K179" s="173" t="s">
        <v>1763</v>
      </c>
      <c r="L179" s="173" t="s">
        <v>1764</v>
      </c>
      <c r="M179" s="173"/>
      <c r="N179" s="173" t="s">
        <v>229</v>
      </c>
      <c r="O179" s="173" t="s">
        <v>1765</v>
      </c>
      <c r="P179" s="174" t="s">
        <v>175</v>
      </c>
      <c r="Q179" s="175" t="s">
        <v>196</v>
      </c>
      <c r="R179" s="168" t="str">
        <f ca="1">IF(ISERROR($V179),"",OFFSET('Smelter Look-up'!$C$4,$V179-4,0)&amp;"")</f>
        <v>Sudan Gold Refinery</v>
      </c>
      <c r="S179" s="167" t="str">
        <f t="shared" ca="1" si="24"/>
        <v>SD</v>
      </c>
      <c r="T179" s="167" t="str">
        <f ca="1">IF(B179="","",IF(ISERROR(MATCH($J179,SorP!$B$1:$B$6230,0)),"",INDIRECT("'SorP'!$A$"&amp;MATCH($J179,SorP!$B$1:$B$6230,0))))</f>
        <v>SD-KH</v>
      </c>
      <c r="U179" s="176"/>
      <c r="V179" s="177">
        <f>IF(C179="",NA(),IF(OR(C179="Smelter not listed",C179="Smelter not yet identified"),MATCH($B179&amp;$D179,'Smelter Look-up'!$J:$J,0),MATCH($B179&amp;$C179,'Smelter Look-up'!$J:$J,0)))</f>
        <v>263</v>
      </c>
      <c r="X179" s="140">
        <f t="shared" si="25"/>
        <v>0</v>
      </c>
      <c r="AB179" s="178" t="str">
        <f t="shared" si="26"/>
        <v>GoldSudan Gold Refinery</v>
      </c>
    </row>
    <row r="180" spans="1:28" s="140" customFormat="1" ht="409.5">
      <c r="A180" s="167" t="s">
        <v>1766</v>
      </c>
      <c r="B180" s="168" t="s">
        <v>133</v>
      </c>
      <c r="C180" s="169" t="s">
        <v>1767</v>
      </c>
      <c r="D180" s="170" t="s">
        <v>1767</v>
      </c>
      <c r="E180" s="168" t="s">
        <v>256</v>
      </c>
      <c r="F180" s="168" t="s">
        <v>1766</v>
      </c>
      <c r="G180" s="168" t="s">
        <v>142</v>
      </c>
      <c r="H180" s="171" t="s">
        <v>1768</v>
      </c>
      <c r="I180" s="172" t="s">
        <v>1769</v>
      </c>
      <c r="J180" s="172" t="s">
        <v>1770</v>
      </c>
      <c r="K180" s="173" t="s">
        <v>1771</v>
      </c>
      <c r="L180" s="173" t="s">
        <v>1772</v>
      </c>
      <c r="M180" s="173" t="s">
        <v>1773</v>
      </c>
      <c r="N180" s="173" t="s">
        <v>1774</v>
      </c>
      <c r="O180" s="173" t="s">
        <v>1775</v>
      </c>
      <c r="P180" s="174" t="s">
        <v>164</v>
      </c>
      <c r="Q180" s="175" t="s">
        <v>1776</v>
      </c>
      <c r="R180" s="168" t="str">
        <f ca="1">IF(ISERROR($V180),"",OFFSET('Smelter Look-up'!$C$4,$V180-4,0)&amp;"")</f>
        <v>SungEel HiMetal Co., Ltd.</v>
      </c>
      <c r="S180" s="167" t="str">
        <f t="shared" ca="1" si="24"/>
        <v>KR</v>
      </c>
      <c r="T180" s="167" t="str">
        <f ca="1">IF(B180="","",IF(ISERROR(MATCH($J180,SorP!$B$1:$B$6230,0)),"",INDIRECT("'SorP'!$A$"&amp;MATCH($J180,SorP!$B$1:$B$6230,0))))</f>
        <v>KR-45</v>
      </c>
      <c r="U180" s="176"/>
      <c r="V180" s="177">
        <f>IF(C180="",NA(),IF(OR(C180="Smelter not listed",C180="Smelter not yet identified"),MATCH($B180&amp;$D180,'Smelter Look-up'!$J:$J,0),MATCH($B180&amp;$C180,'Smelter Look-up'!$J:$J,0)))</f>
        <v>266</v>
      </c>
      <c r="X180" s="140">
        <f t="shared" si="25"/>
        <v>0</v>
      </c>
      <c r="AB180" s="178" t="str">
        <f t="shared" si="26"/>
        <v>GoldSungEel HiMetal Co., Ltd.</v>
      </c>
    </row>
    <row r="181" spans="1:28" s="140" customFormat="1" ht="51">
      <c r="A181" s="167" t="s">
        <v>1777</v>
      </c>
      <c r="B181" s="168" t="s">
        <v>133</v>
      </c>
      <c r="C181" s="169" t="s">
        <v>1778</v>
      </c>
      <c r="D181" s="170" t="s">
        <v>1778</v>
      </c>
      <c r="E181" s="168" t="s">
        <v>369</v>
      </c>
      <c r="F181" s="168" t="s">
        <v>1777</v>
      </c>
      <c r="G181" s="168" t="s">
        <v>142</v>
      </c>
      <c r="H181" s="171" t="s">
        <v>114</v>
      </c>
      <c r="I181" s="172" t="s">
        <v>196</v>
      </c>
      <c r="J181" s="172" t="s">
        <v>196</v>
      </c>
      <c r="K181" s="173"/>
      <c r="L181" s="173"/>
      <c r="M181" s="173"/>
      <c r="N181" s="173" t="s">
        <v>121</v>
      </c>
      <c r="O181" s="173" t="s">
        <v>121</v>
      </c>
      <c r="P181" s="174" t="s">
        <v>121</v>
      </c>
      <c r="Q181" s="175"/>
      <c r="R181" s="168" t="str">
        <f ca="1">IF(ISERROR($V181),"",OFFSET('Smelter Look-up'!$C$4,$V181-4,0)&amp;"")</f>
        <v/>
      </c>
      <c r="S181" s="167" t="str">
        <f t="shared" ca="1" si="24"/>
        <v>TW</v>
      </c>
      <c r="T181" s="167" t="str">
        <f ca="1">IF(B181="","",IF(ISERROR(MATCH($J181,SorP!$B$1:$B$6230,0)),"",INDIRECT("'SorP'!$A$"&amp;MATCH($J181,SorP!$B$1:$B$6230,0))))</f>
        <v/>
      </c>
      <c r="U181" s="176"/>
      <c r="V181" s="177" t="e">
        <f>IF(C181="",NA(),IF(OR(C181="Smelter not listed",C181="Smelter not yet identified"),MATCH($B181&amp;$D181,'Smelter Look-up'!$J:$J,0),MATCH($B181&amp;$C181,'Smelter Look-up'!$J:$J,0)))</f>
        <v>#N/A</v>
      </c>
      <c r="X181" s="140">
        <f t="shared" si="25"/>
        <v>0</v>
      </c>
      <c r="AB181" s="178" t="str">
        <f t="shared" si="26"/>
        <v>GoldSuntain Co., Ltd.</v>
      </c>
    </row>
    <row r="182" spans="1:28" s="140" customFormat="1" ht="409.5">
      <c r="A182" s="167" t="s">
        <v>1779</v>
      </c>
      <c r="B182" s="168" t="s">
        <v>133</v>
      </c>
      <c r="C182" s="169" t="s">
        <v>1780</v>
      </c>
      <c r="D182" s="170" t="s">
        <v>1780</v>
      </c>
      <c r="E182" s="168" t="s">
        <v>1047</v>
      </c>
      <c r="F182" s="168" t="s">
        <v>1779</v>
      </c>
      <c r="G182" s="168" t="s">
        <v>142</v>
      </c>
      <c r="H182" s="171" t="s">
        <v>1781</v>
      </c>
      <c r="I182" s="172" t="s">
        <v>1782</v>
      </c>
      <c r="J182" s="172" t="s">
        <v>1783</v>
      </c>
      <c r="K182" s="173" t="s">
        <v>1784</v>
      </c>
      <c r="L182" s="173" t="s">
        <v>1785</v>
      </c>
      <c r="M182" s="173" t="s">
        <v>1786</v>
      </c>
      <c r="N182" s="173" t="s">
        <v>1787</v>
      </c>
      <c r="O182" s="173" t="s">
        <v>1788</v>
      </c>
      <c r="P182" s="174" t="s">
        <v>732</v>
      </c>
      <c r="Q182" s="175" t="s">
        <v>1789</v>
      </c>
      <c r="R182" s="168" t="str">
        <f ca="1">IF(ISERROR($V182),"",OFFSET('Smelter Look-up'!$C$4,$V182-4,0)&amp;"")</f>
        <v>Umicore Precious Metals Thailand</v>
      </c>
      <c r="S182" s="167" t="str">
        <f t="shared" ca="1" si="24"/>
        <v>TH</v>
      </c>
      <c r="T182" s="167" t="str">
        <f ca="1">IF(B182="","",IF(ISERROR(MATCH($J182,SorP!$B$1:$B$6230,0)),"",INDIRECT("'SorP'!$A$"&amp;MATCH($J182,SorP!$B$1:$B$6230,0))))</f>
        <v>TH-10</v>
      </c>
      <c r="U182" s="176"/>
      <c r="V182" s="177">
        <f>IF(C182="",NA(),IF(OR(C182="Smelter not listed",C182="Smelter not yet identified"),MATCH($B182&amp;$D182,'Smelter Look-up'!$J:$J,0),MATCH($B182&amp;$C182,'Smelter Look-up'!$J:$J,0)))</f>
        <v>292</v>
      </c>
      <c r="X182" s="140">
        <f t="shared" si="25"/>
        <v>0</v>
      </c>
      <c r="AB182" s="178" t="str">
        <f t="shared" si="26"/>
        <v>GoldUmicore Precious Metals Thailand</v>
      </c>
    </row>
    <row r="183" spans="1:28" s="140" customFormat="1" ht="409.5">
      <c r="A183" s="167" t="s">
        <v>1790</v>
      </c>
      <c r="B183" s="168" t="s">
        <v>133</v>
      </c>
      <c r="C183" s="169" t="s">
        <v>930</v>
      </c>
      <c r="D183" s="170" t="s">
        <v>1791</v>
      </c>
      <c r="E183" s="168" t="s">
        <v>931</v>
      </c>
      <c r="F183" s="168" t="s">
        <v>1790</v>
      </c>
      <c r="G183" s="168" t="s">
        <v>142</v>
      </c>
      <c r="H183" s="171" t="s">
        <v>1792</v>
      </c>
      <c r="I183" s="172" t="s">
        <v>932</v>
      </c>
      <c r="J183" s="172" t="s">
        <v>1793</v>
      </c>
      <c r="K183" s="173" t="s">
        <v>1794</v>
      </c>
      <c r="L183" s="173" t="s">
        <v>1795</v>
      </c>
      <c r="M183" s="173" t="s">
        <v>1796</v>
      </c>
      <c r="N183" s="173" t="s">
        <v>1797</v>
      </c>
      <c r="O183" s="173" t="s">
        <v>1798</v>
      </c>
      <c r="P183" s="174" t="s">
        <v>164</v>
      </c>
      <c r="Q183" s="175" t="s">
        <v>1799</v>
      </c>
      <c r="R183" s="168" t="str">
        <f ca="1">IF(ISERROR($V183),"",OFFSET('Smelter Look-up'!$C$4,$V183-4,0)&amp;"")</f>
        <v/>
      </c>
      <c r="S183" s="167" t="str">
        <f t="shared" ca="1" si="24"/>
        <v>BE</v>
      </c>
      <c r="T183" s="167" t="str">
        <f ca="1">IF(B183="","",IF(ISERROR(MATCH($J183,SorP!$B$1:$B$6230,0)),"",INDIRECT("'SorP'!$A$"&amp;MATCH($J183,SorP!$B$1:$B$6230,0))))</f>
        <v>BE-VAN</v>
      </c>
      <c r="U183" s="176"/>
      <c r="V183" s="177" t="e">
        <f>IF(C183="",NA(),IF(OR(C183="Smelter not listed",C183="Smelter not yet identified"),MATCH($B183&amp;$D183,'Smelter Look-up'!$J:$J,0),MATCH($B183&amp;$C183,'Smelter Look-up'!$J:$J,0)))</f>
        <v>#N/A</v>
      </c>
      <c r="X183" s="140">
        <f t="shared" si="25"/>
        <v>0</v>
      </c>
      <c r="AB183" s="178" t="str">
        <f t="shared" si="26"/>
        <v>GoldUmicore SA Business Unit Precious Metals Refining</v>
      </c>
    </row>
    <row r="184" spans="1:28" s="140" customFormat="1" ht="409.5">
      <c r="A184" s="167" t="s">
        <v>1800</v>
      </c>
      <c r="B184" s="168" t="s">
        <v>130</v>
      </c>
      <c r="C184" s="169" t="s">
        <v>1801</v>
      </c>
      <c r="D184" s="170" t="s">
        <v>1801</v>
      </c>
      <c r="E184" s="168" t="s">
        <v>192</v>
      </c>
      <c r="F184" s="168" t="s">
        <v>1800</v>
      </c>
      <c r="G184" s="168" t="s">
        <v>142</v>
      </c>
      <c r="H184" s="171" t="s">
        <v>1802</v>
      </c>
      <c r="I184" s="172" t="s">
        <v>1244</v>
      </c>
      <c r="J184" s="172" t="s">
        <v>709</v>
      </c>
      <c r="K184" s="173" t="s">
        <v>1803</v>
      </c>
      <c r="L184" s="173" t="s">
        <v>1804</v>
      </c>
      <c r="M184" s="173" t="s">
        <v>1805</v>
      </c>
      <c r="N184" s="173" t="s">
        <v>1806</v>
      </c>
      <c r="O184" s="173" t="s">
        <v>1807</v>
      </c>
      <c r="P184" s="174" t="s">
        <v>715</v>
      </c>
      <c r="Q184" s="175" t="s">
        <v>1808</v>
      </c>
      <c r="R184" s="168" t="str">
        <f ca="1">IF(ISERROR($V184),"",OFFSET('Smelter Look-up'!$C$4,$V184-4,0)&amp;"")</f>
        <v>Hengyang King Xing Lifeng New Materials Co., Ltd.</v>
      </c>
      <c r="S184" s="167" t="str">
        <f t="shared" ca="1" si="24"/>
        <v>CN</v>
      </c>
      <c r="T184" s="167" t="str">
        <f ca="1">IF(B184="","",IF(ISERROR(MATCH($J184,SorP!$B$1:$B$6230,0)),"",INDIRECT("'SorP'!$A$"&amp;MATCH($J184,SorP!$B$1:$B$6230,0))))</f>
        <v>CN-HN</v>
      </c>
      <c r="U184" s="176"/>
      <c r="V184" s="177">
        <f>IF(C184="",NA(),IF(OR(C184="Smelter not listed",C184="Smelter not yet identified"),MATCH($B184&amp;$D184,'Smelter Look-up'!$J:$J,0),MATCH($B184&amp;$C184,'Smelter Look-up'!$J:$J,0)))</f>
        <v>341</v>
      </c>
      <c r="X184" s="140">
        <f t="shared" si="25"/>
        <v>0</v>
      </c>
      <c r="AB184" s="178" t="str">
        <f t="shared" si="26"/>
        <v>TantalumHengyang King Xing Lifeng New Materials Co., Ltd.</v>
      </c>
    </row>
    <row r="185" spans="1:28" s="140" customFormat="1" ht="409.5">
      <c r="A185" s="167" t="s">
        <v>1813</v>
      </c>
      <c r="B185" s="168" t="s">
        <v>133</v>
      </c>
      <c r="C185" s="169" t="s">
        <v>442</v>
      </c>
      <c r="D185" s="170" t="s">
        <v>971</v>
      </c>
      <c r="E185" s="168" t="s">
        <v>443</v>
      </c>
      <c r="F185" s="168" t="s">
        <v>1813</v>
      </c>
      <c r="G185" s="168" t="s">
        <v>142</v>
      </c>
      <c r="H185" s="171" t="s">
        <v>1814</v>
      </c>
      <c r="I185" s="172" t="s">
        <v>444</v>
      </c>
      <c r="J185" s="172" t="s">
        <v>445</v>
      </c>
      <c r="K185" s="173" t="s">
        <v>1815</v>
      </c>
      <c r="L185" s="173" t="s">
        <v>1816</v>
      </c>
      <c r="M185" s="173" t="s">
        <v>1817</v>
      </c>
      <c r="N185" s="173" t="s">
        <v>1818</v>
      </c>
      <c r="O185" s="173" t="s">
        <v>1819</v>
      </c>
      <c r="P185" s="174" t="s">
        <v>164</v>
      </c>
      <c r="Q185" s="175" t="s">
        <v>1820</v>
      </c>
      <c r="R185" s="168" t="str">
        <f ca="1">IF(ISERROR($V185),"",OFFSET('Smelter Look-up'!$C$4,$V185-4,0)&amp;"")</f>
        <v/>
      </c>
      <c r="S185" s="167" t="str">
        <f t="shared" ca="1" si="24"/>
        <v>CH</v>
      </c>
      <c r="T185" s="167" t="str">
        <f ca="1">IF(B185="","",IF(ISERROR(MATCH($J185,SorP!$B$1:$B$6230,0)),"",INDIRECT("'SorP'!$A$"&amp;MATCH($J185,SorP!$B$1:$B$6230,0))))</f>
        <v>CH-TI</v>
      </c>
      <c r="U185" s="176"/>
      <c r="V185" s="177" t="e">
        <f>IF(C185="",NA(),IF(OR(C185="Smelter not listed",C185="Smelter not yet identified"),MATCH($B185&amp;$D185,'Smelter Look-up'!$J:$J,0),MATCH($B185&amp;$C185,'Smelter Look-up'!$J:$J,0)))</f>
        <v>#N/A</v>
      </c>
      <c r="X185" s="140">
        <f t="shared" si="25"/>
        <v>0</v>
      </c>
      <c r="AB185" s="178" t="str">
        <f t="shared" si="26"/>
        <v>GoldArgor-Heraeus SA</v>
      </c>
    </row>
    <row r="186" spans="1:28" s="140" customFormat="1" ht="409.5">
      <c r="A186" s="167" t="s">
        <v>1825</v>
      </c>
      <c r="B186" s="168" t="s">
        <v>133</v>
      </c>
      <c r="C186" s="169" t="s">
        <v>1826</v>
      </c>
      <c r="D186" s="170" t="s">
        <v>1826</v>
      </c>
      <c r="E186" s="168" t="s">
        <v>644</v>
      </c>
      <c r="F186" s="168" t="s">
        <v>1825</v>
      </c>
      <c r="G186" s="168" t="s">
        <v>142</v>
      </c>
      <c r="H186" s="171" t="s">
        <v>1827</v>
      </c>
      <c r="I186" s="172" t="s">
        <v>1828</v>
      </c>
      <c r="J186" s="172" t="s">
        <v>646</v>
      </c>
      <c r="K186" s="173" t="s">
        <v>1829</v>
      </c>
      <c r="L186" s="173" t="s">
        <v>1830</v>
      </c>
      <c r="M186" s="173" t="s">
        <v>1831</v>
      </c>
      <c r="N186" s="173" t="s">
        <v>1832</v>
      </c>
      <c r="O186" s="173" t="s">
        <v>1833</v>
      </c>
      <c r="P186" s="174" t="s">
        <v>175</v>
      </c>
      <c r="Q186" s="175" t="s">
        <v>1834</v>
      </c>
      <c r="R186" s="168" t="str">
        <f ca="1">IF(ISERROR($V186),"",OFFSET('Smelter Look-up'!$C$4,$V186-4,0)&amp;"")</f>
        <v>AU Traders and Refiners</v>
      </c>
      <c r="S186" s="167" t="str">
        <f t="shared" ca="1" si="24"/>
        <v>ZA</v>
      </c>
      <c r="T186" s="167" t="str">
        <f ca="1">IF(B186="","",IF(ISERROR(MATCH($J186,SorP!$B$1:$B$6230,0)),"",INDIRECT("'SorP'!$A$"&amp;MATCH($J186,SorP!$B$1:$B$6230,0))))</f>
        <v>ZA-GP</v>
      </c>
      <c r="U186" s="176"/>
      <c r="V186" s="177">
        <f>IF(C186="",NA(),IF(OR(C186="Smelter not listed",C186="Smelter not yet identified"),MATCH($B186&amp;$D186,'Smelter Look-up'!$J:$J,0),MATCH($B186&amp;$C186,'Smelter Look-up'!$J:$J,0)))</f>
        <v>35</v>
      </c>
      <c r="X186" s="140">
        <f t="shared" si="25"/>
        <v>0</v>
      </c>
      <c r="AB186" s="178" t="str">
        <f t="shared" si="26"/>
        <v>GoldAU Traders and Refiners</v>
      </c>
    </row>
    <row r="187" spans="1:28" s="140" customFormat="1" ht="76.5">
      <c r="A187" s="167" t="s">
        <v>1835</v>
      </c>
      <c r="B187" s="168" t="s">
        <v>133</v>
      </c>
      <c r="C187" s="169" t="s">
        <v>1836</v>
      </c>
      <c r="D187" s="170" t="s">
        <v>1836</v>
      </c>
      <c r="E187" s="168" t="s">
        <v>226</v>
      </c>
      <c r="F187" s="168" t="s">
        <v>1835</v>
      </c>
      <c r="G187" s="168" t="s">
        <v>142</v>
      </c>
      <c r="H187" s="171" t="s">
        <v>1837</v>
      </c>
      <c r="I187" s="172" t="s">
        <v>452</v>
      </c>
      <c r="J187" s="172" t="s">
        <v>453</v>
      </c>
      <c r="K187" s="173" t="s">
        <v>1838</v>
      </c>
      <c r="L187" s="173" t="s">
        <v>1839</v>
      </c>
      <c r="M187" s="173" t="s">
        <v>219</v>
      </c>
      <c r="N187" s="173" t="s">
        <v>229</v>
      </c>
      <c r="O187" s="173" t="s">
        <v>230</v>
      </c>
      <c r="P187" s="174" t="s">
        <v>175</v>
      </c>
      <c r="Q187" s="175" t="s">
        <v>221</v>
      </c>
      <c r="R187" s="168" t="str">
        <f ca="1">IF(ISERROR($V187),"",OFFSET('Smelter Look-up'!$C$4,$V187-4,0)&amp;"")</f>
        <v>Augmont Enterprises Private Limited</v>
      </c>
      <c r="S187" s="167" t="str">
        <f t="shared" ca="1" si="24"/>
        <v>IN</v>
      </c>
      <c r="T187" s="167" t="str">
        <f ca="1">IF(B187="","",IF(ISERROR(MATCH($J187,SorP!$B$1:$B$6230,0)),"",INDIRECT("'SorP'!$A$"&amp;MATCH($J187,SorP!$B$1:$B$6230,0))))</f>
        <v>IN-MH</v>
      </c>
      <c r="U187" s="176"/>
      <c r="V187" s="177">
        <f>IF(C187="",NA(),IF(OR(C187="Smelter not listed",C187="Smelter not yet identified"),MATCH($B187&amp;$D187,'Smelter Look-up'!$J:$J,0),MATCH($B187&amp;$C187,'Smelter Look-up'!$J:$J,0)))</f>
        <v>36</v>
      </c>
      <c r="X187" s="140">
        <f t="shared" si="25"/>
        <v>0</v>
      </c>
      <c r="AB187" s="178" t="str">
        <f t="shared" si="26"/>
        <v>GoldAugmont Enterprises Private Limited</v>
      </c>
    </row>
    <row r="188" spans="1:28" s="140" customFormat="1" ht="409.5">
      <c r="A188" s="167" t="s">
        <v>1841</v>
      </c>
      <c r="B188" s="168" t="s">
        <v>133</v>
      </c>
      <c r="C188" s="169" t="s">
        <v>1842</v>
      </c>
      <c r="D188" s="170" t="s">
        <v>1843</v>
      </c>
      <c r="E188" s="168" t="s">
        <v>226</v>
      </c>
      <c r="F188" s="168" t="s">
        <v>1841</v>
      </c>
      <c r="G188" s="168" t="s">
        <v>142</v>
      </c>
      <c r="H188" s="171" t="s">
        <v>1844</v>
      </c>
      <c r="I188" s="172" t="s">
        <v>1845</v>
      </c>
      <c r="J188" s="172" t="s">
        <v>1846</v>
      </c>
      <c r="K188" s="173" t="s">
        <v>1847</v>
      </c>
      <c r="L188" s="173" t="s">
        <v>1848</v>
      </c>
      <c r="M188" s="173" t="s">
        <v>1849</v>
      </c>
      <c r="N188" s="173" t="s">
        <v>1850</v>
      </c>
      <c r="O188" s="173" t="s">
        <v>1851</v>
      </c>
      <c r="P188" s="174" t="s">
        <v>151</v>
      </c>
      <c r="Q188" s="175" t="s">
        <v>1852</v>
      </c>
      <c r="R188" s="168" t="str">
        <f ca="1">IF(ISERROR($V188),"",OFFSET('Smelter Look-up'!$C$4,$V188-4,0)&amp;"")</f>
        <v>Bangalore Refinery</v>
      </c>
      <c r="S188" s="167" t="str">
        <f t="shared" ca="1" si="24"/>
        <v>IN</v>
      </c>
      <c r="T188" s="167" t="str">
        <f ca="1">IF(B188="","",IF(ISERROR(MATCH($J188,SorP!$B$1:$B$6230,0)),"",INDIRECT("'SorP'!$A$"&amp;MATCH($J188,SorP!$B$1:$B$6230,0))))</f>
        <v>IN-KA</v>
      </c>
      <c r="U188" s="176"/>
      <c r="V188" s="177">
        <f>IF(C188="",NA(),IF(OR(C188="Smelter not listed",C188="Smelter not yet identified"),MATCH($B188&amp;$D188,'Smelter Look-up'!$J:$J,0),MATCH($B188&amp;$C188,'Smelter Look-up'!$J:$J,0)))</f>
        <v>40</v>
      </c>
      <c r="X188" s="140">
        <f t="shared" si="25"/>
        <v>0</v>
      </c>
      <c r="AB188" s="178" t="str">
        <f t="shared" si="26"/>
        <v>GoldBangalore Refinery Pvt Ltd</v>
      </c>
    </row>
    <row r="189" spans="1:28" s="140" customFormat="1" ht="114.75">
      <c r="A189" s="167" t="s">
        <v>1858</v>
      </c>
      <c r="B189" s="168" t="s">
        <v>130</v>
      </c>
      <c r="C189" s="169" t="s">
        <v>1859</v>
      </c>
      <c r="D189" s="170" t="s">
        <v>1859</v>
      </c>
      <c r="E189" s="168" t="s">
        <v>192</v>
      </c>
      <c r="F189" s="168" t="s">
        <v>1858</v>
      </c>
      <c r="G189" s="168" t="s">
        <v>142</v>
      </c>
      <c r="H189" s="171" t="s">
        <v>1860</v>
      </c>
      <c r="I189" s="172" t="s">
        <v>1861</v>
      </c>
      <c r="J189" s="172" t="s">
        <v>194</v>
      </c>
      <c r="K189" s="173" t="s">
        <v>1862</v>
      </c>
      <c r="L189" s="173" t="s">
        <v>1863</v>
      </c>
      <c r="M189" s="173" t="s">
        <v>1864</v>
      </c>
      <c r="N189" s="173" t="s">
        <v>962</v>
      </c>
      <c r="O189" s="173" t="s">
        <v>1865</v>
      </c>
      <c r="P189" s="174" t="s">
        <v>715</v>
      </c>
      <c r="Q189" s="175" t="s">
        <v>964</v>
      </c>
      <c r="R189" s="168" t="str">
        <f ca="1">IF(ISERROR($V189),"",OFFSET('Smelter Look-up'!$C$4,$V189-4,0)&amp;"")</f>
        <v>RFH Yancheng Jinye New Material Technology Co., Ltd.</v>
      </c>
      <c r="S189" s="167" t="str">
        <f t="shared" ca="1" si="24"/>
        <v>CN</v>
      </c>
      <c r="T189" s="167" t="str">
        <f ca="1">IF(B189="","",IF(ISERROR(MATCH($J189,SorP!$B$1:$B$6230,0)),"",INDIRECT("'SorP'!$A$"&amp;MATCH($J189,SorP!$B$1:$B$6230,0))))</f>
        <v>CN-JS</v>
      </c>
      <c r="U189" s="176"/>
      <c r="V189" s="177">
        <f>IF(C189="",NA(),IF(OR(C189="Smelter not listed",C189="Smelter not yet identified"),MATCH($B189&amp;$D189,'Smelter Look-up'!$J:$J,0),MATCH($B189&amp;$C189,'Smelter Look-up'!$J:$J,0)))</f>
        <v>383</v>
      </c>
      <c r="X189" s="140">
        <f t="shared" si="25"/>
        <v>0</v>
      </c>
      <c r="AB189" s="178" t="str">
        <f t="shared" si="26"/>
        <v>TantalumYancheng Jinye New Material Technology Co., Ltd.</v>
      </c>
    </row>
    <row r="190" spans="1:28" s="140" customFormat="1" ht="89.25">
      <c r="A190" s="167" t="s">
        <v>1866</v>
      </c>
      <c r="B190" s="168" t="s">
        <v>130</v>
      </c>
      <c r="C190" s="169" t="s">
        <v>1867</v>
      </c>
      <c r="D190" s="170" t="s">
        <v>1867</v>
      </c>
      <c r="E190" s="168" t="s">
        <v>192</v>
      </c>
      <c r="F190" s="168" t="s">
        <v>1866</v>
      </c>
      <c r="G190" s="168" t="s">
        <v>169</v>
      </c>
      <c r="H190" s="171" t="s">
        <v>1868</v>
      </c>
      <c r="I190" s="172" t="s">
        <v>1809</v>
      </c>
      <c r="J190" s="172" t="s">
        <v>260</v>
      </c>
      <c r="K190" s="173"/>
      <c r="L190" s="173"/>
      <c r="M190" s="173"/>
      <c r="N190" s="173" t="s">
        <v>121</v>
      </c>
      <c r="O190" s="173" t="s">
        <v>1869</v>
      </c>
      <c r="P190" s="174" t="s">
        <v>175</v>
      </c>
      <c r="Q190" s="175" t="s">
        <v>788</v>
      </c>
      <c r="R190" s="168" t="str">
        <f ca="1">IF(ISERROR($V190),"",OFFSET('Smelter Look-up'!$C$4,$V190-4,0)&amp;"")</f>
        <v/>
      </c>
      <c r="S190" s="167" t="str">
        <f t="shared" ca="1" si="24"/>
        <v>CN</v>
      </c>
      <c r="T190" s="167" t="str">
        <f ca="1">IF(B190="","",IF(ISERROR(MATCH($J190,SorP!$B$1:$B$6230,0)),"",INDIRECT("'SorP'!$A$"&amp;MATCH($J190,SorP!$B$1:$B$6230,0))))</f>
        <v/>
      </c>
      <c r="U190" s="176"/>
      <c r="V190" s="177" t="e">
        <f>IF(C190="",NA(),IF(OR(C190="Smelter not listed",C190="Smelter not yet identified"),MATCH($B190&amp;$D190,'Smelter Look-up'!$J:$J,0),MATCH($B190&amp;$C190,'Smelter Look-up'!$J:$J,0)))</f>
        <v>#N/A</v>
      </c>
      <c r="X190" s="140">
        <f t="shared" si="25"/>
        <v>0</v>
      </c>
      <c r="AB190" s="178" t="str">
        <f t="shared" si="26"/>
        <v>TantalumYichun Jin Yang Rare Metal Co., Ltd.</v>
      </c>
    </row>
    <row r="191" spans="1:28" s="140" customFormat="1" ht="409.5">
      <c r="A191" s="167" t="s">
        <v>1870</v>
      </c>
      <c r="B191" s="168" t="s">
        <v>133</v>
      </c>
      <c r="C191" s="169" t="s">
        <v>1871</v>
      </c>
      <c r="D191" s="170" t="s">
        <v>1871</v>
      </c>
      <c r="E191" s="168" t="s">
        <v>141</v>
      </c>
      <c r="F191" s="168" t="s">
        <v>1870</v>
      </c>
      <c r="G191" s="168" t="s">
        <v>142</v>
      </c>
      <c r="H191" s="171" t="s">
        <v>1872</v>
      </c>
      <c r="I191" s="172" t="s">
        <v>1873</v>
      </c>
      <c r="J191" s="172" t="s">
        <v>218</v>
      </c>
      <c r="K191" s="173" t="s">
        <v>1874</v>
      </c>
      <c r="L191" s="173" t="s">
        <v>1875</v>
      </c>
      <c r="M191" s="173"/>
      <c r="N191" s="173" t="s">
        <v>229</v>
      </c>
      <c r="O191" s="173" t="s">
        <v>1876</v>
      </c>
      <c r="P191" s="174" t="s">
        <v>175</v>
      </c>
      <c r="Q191" s="175" t="s">
        <v>196</v>
      </c>
      <c r="R191" s="168" t="str">
        <f ca="1">IF(ISERROR($V191),"",OFFSET('Smelter Look-up'!$C$4,$V191-4,0)&amp;"")</f>
        <v>QG Refining, LLC</v>
      </c>
      <c r="S191" s="167" t="str">
        <f t="shared" ca="1" si="24"/>
        <v>US</v>
      </c>
      <c r="T191" s="167" t="str">
        <f ca="1">IF(B191="","",IF(ISERROR(MATCH($J191,SorP!$B$1:$B$6230,0)),"",INDIRECT("'SorP'!$A$"&amp;MATCH($J191,SorP!$B$1:$B$6230,0))))</f>
        <v>US-OH</v>
      </c>
      <c r="U191" s="176"/>
      <c r="V191" s="177">
        <f>IF(C191="",NA(),IF(OR(C191="Smelter not listed",C191="Smelter not yet identified"),MATCH($B191&amp;$D191,'Smelter Look-up'!$J:$J,0),MATCH($B191&amp;$C191,'Smelter Look-up'!$J:$J,0)))</f>
        <v>214</v>
      </c>
      <c r="X191" s="140">
        <f t="shared" si="25"/>
        <v>0</v>
      </c>
      <c r="AB191" s="178" t="str">
        <f t="shared" si="26"/>
        <v>GoldQG Refining, LLC</v>
      </c>
    </row>
    <row r="192" spans="1:28" s="140" customFormat="1" ht="409.5">
      <c r="A192" s="167" t="s">
        <v>1878</v>
      </c>
      <c r="B192" s="168" t="s">
        <v>133</v>
      </c>
      <c r="C192" s="169" t="s">
        <v>858</v>
      </c>
      <c r="D192" s="170" t="s">
        <v>858</v>
      </c>
      <c r="E192" s="168" t="s">
        <v>859</v>
      </c>
      <c r="F192" s="168" t="s">
        <v>1878</v>
      </c>
      <c r="G192" s="168" t="s">
        <v>142</v>
      </c>
      <c r="H192" s="171" t="s">
        <v>1879</v>
      </c>
      <c r="I192" s="172" t="s">
        <v>860</v>
      </c>
      <c r="J192" s="172" t="s">
        <v>861</v>
      </c>
      <c r="K192" s="173" t="s">
        <v>1880</v>
      </c>
      <c r="L192" s="173" t="s">
        <v>1881</v>
      </c>
      <c r="M192" s="173" t="s">
        <v>1882</v>
      </c>
      <c r="N192" s="173" t="s">
        <v>1883</v>
      </c>
      <c r="O192" s="173" t="s">
        <v>1884</v>
      </c>
      <c r="P192" s="174" t="s">
        <v>164</v>
      </c>
      <c r="Q192" s="175" t="s">
        <v>1885</v>
      </c>
      <c r="R192" s="168" t="str">
        <f ca="1">IF(ISERROR($V192),"",OFFSET('Smelter Look-up'!$C$4,$V192-4,0)&amp;"")</f>
        <v>Royal Canadian Mint</v>
      </c>
      <c r="S192" s="167" t="str">
        <f t="shared" ca="1" si="24"/>
        <v>CA</v>
      </c>
      <c r="T192" s="167" t="str">
        <f ca="1">IF(B192="","",IF(ISERROR(MATCH($J192,SorP!$B$1:$B$6230,0)),"",INDIRECT("'SorP'!$A$"&amp;MATCH($J192,SorP!$B$1:$B$6230,0))))</f>
        <v>CA-ON</v>
      </c>
      <c r="U192" s="176"/>
      <c r="V192" s="177">
        <f>IF(C192="",NA(),IF(OR(C192="Smelter not listed",C192="Smelter not yet identified"),MATCH($B192&amp;$D192,'Smelter Look-up'!$J:$J,0),MATCH($B192&amp;$C192,'Smelter Look-up'!$J:$J,0)))</f>
        <v>220</v>
      </c>
      <c r="X192" s="140">
        <f t="shared" si="25"/>
        <v>0</v>
      </c>
      <c r="AB192" s="178" t="str">
        <f t="shared" si="26"/>
        <v>GoldRoyal Canadian Mint</v>
      </c>
    </row>
    <row r="193" spans="1:28" s="140" customFormat="1" ht="102">
      <c r="A193" s="167" t="s">
        <v>1886</v>
      </c>
      <c r="B193" s="168" t="s">
        <v>132</v>
      </c>
      <c r="C193" s="169" t="s">
        <v>1887</v>
      </c>
      <c r="D193" s="170" t="s">
        <v>1887</v>
      </c>
      <c r="E193" s="168" t="s">
        <v>253</v>
      </c>
      <c r="F193" s="168" t="s">
        <v>1886</v>
      </c>
      <c r="G193" s="168" t="s">
        <v>114</v>
      </c>
      <c r="H193" s="171" t="s">
        <v>114</v>
      </c>
      <c r="I193" s="172" t="s">
        <v>114</v>
      </c>
      <c r="J193" s="172" t="s">
        <v>114</v>
      </c>
      <c r="K193" s="173"/>
      <c r="L193" s="173"/>
      <c r="M193" s="173"/>
      <c r="N193" s="173"/>
      <c r="O193" s="173"/>
      <c r="P193" s="174"/>
      <c r="Q193" s="175"/>
      <c r="R193" s="168" t="str">
        <f ca="1">IF(ISERROR($V193),"",OFFSET('Smelter Look-up'!$C$4,$V193-4,0)&amp;"")</f>
        <v/>
      </c>
      <c r="S193" s="167" t="str">
        <f t="shared" ca="1" si="24"/>
        <v>ID</v>
      </c>
      <c r="T193" s="167" t="str">
        <f ca="1">IF(B193="","",IF(ISERROR(MATCH($J193,SorP!$B$1:$B$6230,0)),"",INDIRECT("'SorP'!$A$"&amp;MATCH($J193,SorP!$B$1:$B$6230,0))))</f>
        <v/>
      </c>
      <c r="U193" s="176"/>
      <c r="V193" s="177" t="e">
        <f>IF(C193="",NA(),IF(OR(C193="Smelter not listed",C193="Smelter not yet identified"),MATCH($B193&amp;$D193,'Smelter Look-up'!$J:$J,0),MATCH($B193&amp;$C193,'Smelter Look-up'!$J:$J,0)))</f>
        <v>#N/A</v>
      </c>
      <c r="X193" s="140">
        <f t="shared" si="25"/>
        <v>0</v>
      </c>
      <c r="AB193" s="178" t="str">
        <f t="shared" si="26"/>
        <v>TungstenGanzhou Grand Sea W &amp; Mo Group Co., Ltd.</v>
      </c>
    </row>
    <row r="194" spans="1:28" s="140" customFormat="1" ht="409.5">
      <c r="A194" s="167" t="s">
        <v>1888</v>
      </c>
      <c r="B194" s="168" t="s">
        <v>132</v>
      </c>
      <c r="C194" s="169" t="s">
        <v>1889</v>
      </c>
      <c r="D194" s="170" t="s">
        <v>1889</v>
      </c>
      <c r="E194" s="168" t="s">
        <v>192</v>
      </c>
      <c r="F194" s="168" t="s">
        <v>1888</v>
      </c>
      <c r="G194" s="168" t="s">
        <v>142</v>
      </c>
      <c r="H194" s="171" t="s">
        <v>1890</v>
      </c>
      <c r="I194" s="172" t="s">
        <v>985</v>
      </c>
      <c r="J194" s="172" t="s">
        <v>771</v>
      </c>
      <c r="K194" s="173" t="s">
        <v>1891</v>
      </c>
      <c r="L194" s="173" t="s">
        <v>1892</v>
      </c>
      <c r="M194" s="173" t="s">
        <v>1893</v>
      </c>
      <c r="N194" s="173" t="s">
        <v>1894</v>
      </c>
      <c r="O194" s="173" t="s">
        <v>1895</v>
      </c>
      <c r="P194" s="174" t="s">
        <v>715</v>
      </c>
      <c r="Q194" s="175" t="s">
        <v>1896</v>
      </c>
      <c r="R194" s="168" t="str">
        <f ca="1">IF(ISERROR($V194),"",OFFSET('Smelter Look-up'!$C$4,$V194-4,0)&amp;"")</f>
        <v>Ganzhou Seadragon W &amp; Mo Co., Ltd.</v>
      </c>
      <c r="S194" s="167" t="str">
        <f t="shared" ca="1" si="24"/>
        <v>CN</v>
      </c>
      <c r="T194" s="167" t="str">
        <f ca="1">IF(B194="","",IF(ISERROR(MATCH($J194,SorP!$B$1:$B$6230,0)),"",INDIRECT("'SorP'!$A$"&amp;MATCH($J194,SorP!$B$1:$B$6230,0))))</f>
        <v>CN-JX</v>
      </c>
      <c r="U194" s="176"/>
      <c r="V194" s="177">
        <f>IF(C194="",NA(),IF(OR(C194="Smelter not listed",C194="Smelter not yet identified"),MATCH($B194&amp;$D194,'Smelter Look-up'!$J:$J,0),MATCH($B194&amp;$C194,'Smelter Look-up'!$J:$J,0)))</f>
        <v>578</v>
      </c>
      <c r="X194" s="140">
        <f t="shared" si="25"/>
        <v>0</v>
      </c>
      <c r="AB194" s="178" t="str">
        <f t="shared" si="26"/>
        <v>TungstenGanzhou Seadragon W &amp; Mo Co., Ltd.</v>
      </c>
    </row>
    <row r="195" spans="1:28" s="140" customFormat="1" ht="409.5">
      <c r="A195" s="167" t="s">
        <v>1897</v>
      </c>
      <c r="B195" s="168" t="s">
        <v>132</v>
      </c>
      <c r="C195" s="169" t="s">
        <v>1898</v>
      </c>
      <c r="D195" s="170" t="s">
        <v>1898</v>
      </c>
      <c r="E195" s="168" t="s">
        <v>179</v>
      </c>
      <c r="F195" s="168" t="s">
        <v>1897</v>
      </c>
      <c r="G195" s="168" t="s">
        <v>142</v>
      </c>
      <c r="H195" s="171" t="s">
        <v>1130</v>
      </c>
      <c r="I195" s="172" t="s">
        <v>1131</v>
      </c>
      <c r="J195" s="172" t="s">
        <v>1051</v>
      </c>
      <c r="K195" s="173" t="s">
        <v>1899</v>
      </c>
      <c r="L195" s="173" t="s">
        <v>1900</v>
      </c>
      <c r="M195" s="173" t="s">
        <v>1901</v>
      </c>
      <c r="N195" s="173" t="s">
        <v>1902</v>
      </c>
      <c r="O195" s="173" t="s">
        <v>1903</v>
      </c>
      <c r="P195" s="174" t="s">
        <v>715</v>
      </c>
      <c r="Q195" s="175" t="s">
        <v>1904</v>
      </c>
      <c r="R195" s="168" t="str">
        <f ca="1">IF(ISERROR($V195),"",OFFSET('Smelter Look-up'!$C$4,$V195-4,0)&amp;"")</f>
        <v>H.C. Starck Tungsten GmbH</v>
      </c>
      <c r="S195" s="167" t="str">
        <f t="shared" ref="S195:S215" ca="1" si="27">IF(B195="","",IF(ISERROR(MATCH($E195,CL,0)),"Unknown",INDIRECT("'C'!$A$"&amp;MATCH($E195,CL,0)+1)))</f>
        <v>DE</v>
      </c>
      <c r="T195" s="167" t="str">
        <f ca="1">IF(B195="","",IF(ISERROR(MATCH($J195,SorP!$B$1:$B$6230,0)),"",INDIRECT("'SorP'!$A$"&amp;MATCH($J195,SorP!$B$1:$B$6230,0))))</f>
        <v>DE-NI</v>
      </c>
      <c r="U195" s="176"/>
      <c r="V195" s="177">
        <f>IF(C195="",NA(),IF(OR(C195="Smelter not listed",C195="Smelter not yet identified"),MATCH($B195&amp;$D195,'Smelter Look-up'!$J:$J,0),MATCH($B195&amp;$C195,'Smelter Look-up'!$J:$J,0)))</f>
        <v>584</v>
      </c>
      <c r="X195" s="140">
        <f t="shared" ref="X195:X215" si="28">IF(AND(C195="Smelter not listed",OR(LEN(D195)=0,LEN(E195)=0)),1,0)</f>
        <v>0</v>
      </c>
      <c r="AB195" s="178" t="str">
        <f t="shared" ref="AB195:AB215" si="29">B195&amp;C195</f>
        <v>TungstenH.C. Starck Tungsten GmbH</v>
      </c>
    </row>
    <row r="196" spans="1:28" s="140" customFormat="1" ht="63.75">
      <c r="A196" s="167" t="s">
        <v>1905</v>
      </c>
      <c r="B196" s="168" t="s">
        <v>132</v>
      </c>
      <c r="C196" s="169" t="s">
        <v>1906</v>
      </c>
      <c r="D196" s="170" t="s">
        <v>1906</v>
      </c>
      <c r="E196" s="168" t="s">
        <v>256</v>
      </c>
      <c r="F196" s="168" t="s">
        <v>1905</v>
      </c>
      <c r="G196" s="168" t="s">
        <v>142</v>
      </c>
      <c r="H196" s="171" t="s">
        <v>114</v>
      </c>
      <c r="I196" s="172" t="s">
        <v>1907</v>
      </c>
      <c r="J196" s="172" t="s">
        <v>899</v>
      </c>
      <c r="K196" s="173"/>
      <c r="L196" s="173"/>
      <c r="M196" s="173"/>
      <c r="N196" s="173" t="s">
        <v>121</v>
      </c>
      <c r="O196" s="173" t="s">
        <v>195</v>
      </c>
      <c r="P196" s="174" t="s">
        <v>121</v>
      </c>
      <c r="Q196" s="175"/>
      <c r="R196" s="168" t="str">
        <f ca="1">IF(ISERROR($V196),"",OFFSET('Smelter Look-up'!$C$4,$V196-4,0)&amp;"")</f>
        <v>HANNAE FOR T Co., Ltd.</v>
      </c>
      <c r="S196" s="167" t="str">
        <f t="shared" ca="1" si="27"/>
        <v>KR</v>
      </c>
      <c r="T196" s="167" t="str">
        <f ca="1">IF(B196="","",IF(ISERROR(MATCH($J196,SorP!$B$1:$B$6230,0)),"",INDIRECT("'SorP'!$A$"&amp;MATCH($J196,SorP!$B$1:$B$6230,0))))</f>
        <v>KR-44</v>
      </c>
      <c r="U196" s="176"/>
      <c r="V196" s="177">
        <f>IF(C196="",NA(),IF(OR(C196="Smelter not listed",C196="Smelter not yet identified"),MATCH($B196&amp;$D196,'Smelter Look-up'!$J:$J,0),MATCH($B196&amp;$C196,'Smelter Look-up'!$J:$J,0)))</f>
        <v>586</v>
      </c>
      <c r="X196" s="140">
        <f t="shared" si="28"/>
        <v>0</v>
      </c>
      <c r="AB196" s="178" t="str">
        <f t="shared" si="29"/>
        <v>TungstenHANNAE FOR T Co., Ltd.</v>
      </c>
    </row>
    <row r="197" spans="1:28" s="140" customFormat="1" ht="89.25">
      <c r="A197" s="167" t="s">
        <v>1908</v>
      </c>
      <c r="B197" s="168" t="s">
        <v>132</v>
      </c>
      <c r="C197" s="169" t="s">
        <v>272</v>
      </c>
      <c r="D197" s="170" t="s">
        <v>272</v>
      </c>
      <c r="E197" s="168" t="s">
        <v>253</v>
      </c>
      <c r="F197" s="168" t="s">
        <v>1908</v>
      </c>
      <c r="G197" s="168" t="s">
        <v>114</v>
      </c>
      <c r="H197" s="171" t="s">
        <v>114</v>
      </c>
      <c r="I197" s="172" t="s">
        <v>114</v>
      </c>
      <c r="J197" s="172" t="s">
        <v>114</v>
      </c>
      <c r="K197" s="173"/>
      <c r="L197" s="173"/>
      <c r="M197" s="173"/>
      <c r="N197" s="173"/>
      <c r="O197" s="173"/>
      <c r="P197" s="174"/>
      <c r="Q197" s="175"/>
      <c r="R197" s="168" t="str">
        <f ca="1">IF(ISERROR($V197),"",OFFSET('Smelter Look-up'!$C$4,$V197-4,0)&amp;"")</f>
        <v/>
      </c>
      <c r="S197" s="167" t="str">
        <f t="shared" ca="1" si="27"/>
        <v>ID</v>
      </c>
      <c r="T197" s="167" t="str">
        <f ca="1">IF(B197="","",IF(ISERROR(MATCH($J197,SorP!$B$1:$B$6230,0)),"",INDIRECT("'SorP'!$A$"&amp;MATCH($J197,SorP!$B$1:$B$6230,0))))</f>
        <v/>
      </c>
      <c r="U197" s="176"/>
      <c r="V197" s="177" t="e">
        <f>IF(C197="",NA(),IF(OR(C197="Smelter not listed",C197="Smelter not yet identified"),MATCH($B197&amp;$D197,'Smelter Look-up'!$J:$J,0),MATCH($B197&amp;$C197,'Smelter Look-up'!$J:$J,0)))</f>
        <v>#N/A</v>
      </c>
      <c r="X197" s="140">
        <f t="shared" si="28"/>
        <v>0</v>
      </c>
      <c r="AB197" s="178" t="str">
        <f t="shared" si="29"/>
        <v>TungstenHeraeus Precious Metals GmbH &amp; Co. KG</v>
      </c>
    </row>
    <row r="198" spans="1:28" s="140" customFormat="1" ht="25.5">
      <c r="A198" s="167" t="s">
        <v>1909</v>
      </c>
      <c r="B198" s="168" t="s">
        <v>132</v>
      </c>
      <c r="C198" s="169" t="s">
        <v>1910</v>
      </c>
      <c r="D198" s="170" t="s">
        <v>1910</v>
      </c>
      <c r="E198" s="168" t="s">
        <v>192</v>
      </c>
      <c r="F198" s="168" t="s">
        <v>1909</v>
      </c>
      <c r="G198" s="168" t="s">
        <v>114</v>
      </c>
      <c r="H198" s="171" t="s">
        <v>114</v>
      </c>
      <c r="I198" s="172" t="s">
        <v>114</v>
      </c>
      <c r="J198" s="172" t="s">
        <v>114</v>
      </c>
      <c r="K198" s="173"/>
      <c r="L198" s="173"/>
      <c r="M198" s="173"/>
      <c r="N198" s="173"/>
      <c r="O198" s="173"/>
      <c r="P198" s="174"/>
      <c r="Q198" s="175"/>
      <c r="R198" s="168" t="str">
        <f ca="1">IF(ISERROR($V198),"",OFFSET('Smelter Look-up'!$C$4,$V198-4,0)&amp;"")</f>
        <v/>
      </c>
      <c r="S198" s="167" t="str">
        <f t="shared" ca="1" si="27"/>
        <v>CN</v>
      </c>
      <c r="T198" s="167" t="str">
        <f ca="1">IF(B198="","",IF(ISERROR(MATCH($J198,SorP!$B$1:$B$6230,0)),"",INDIRECT("'SorP'!$A$"&amp;MATCH($J198,SorP!$B$1:$B$6230,0))))</f>
        <v/>
      </c>
      <c r="U198" s="176"/>
      <c r="V198" s="177" t="e">
        <f>IF(C198="",NA(),IF(OR(C198="Smelter not listed",C198="Smelter not yet identified"),MATCH($B198&amp;$D198,'Smelter Look-up'!$J:$J,0),MATCH($B198&amp;$C198,'Smelter Look-up'!$J:$J,0)))</f>
        <v>#N/A</v>
      </c>
      <c r="X198" s="140">
        <f t="shared" si="28"/>
        <v>0</v>
      </c>
      <c r="AB198" s="178" t="str">
        <f t="shared" si="29"/>
        <v>TungstenHitachi</v>
      </c>
    </row>
    <row r="199" spans="1:28" s="140" customFormat="1" ht="267.75">
      <c r="A199" s="167" t="s">
        <v>1918</v>
      </c>
      <c r="B199" s="168" t="s">
        <v>133</v>
      </c>
      <c r="C199" s="169" t="s">
        <v>1919</v>
      </c>
      <c r="D199" s="170" t="s">
        <v>1919</v>
      </c>
      <c r="E199" s="168" t="s">
        <v>192</v>
      </c>
      <c r="F199" s="168" t="s">
        <v>1918</v>
      </c>
      <c r="G199" s="168" t="s">
        <v>142</v>
      </c>
      <c r="H199" s="171" t="s">
        <v>1920</v>
      </c>
      <c r="I199" s="172" t="s">
        <v>1921</v>
      </c>
      <c r="J199" s="172" t="s">
        <v>709</v>
      </c>
      <c r="K199" s="173" t="s">
        <v>1922</v>
      </c>
      <c r="L199" s="173" t="s">
        <v>1923</v>
      </c>
      <c r="M199" s="173"/>
      <c r="N199" s="173" t="s">
        <v>229</v>
      </c>
      <c r="O199" s="173" t="s">
        <v>1924</v>
      </c>
      <c r="P199" s="174" t="s">
        <v>175</v>
      </c>
      <c r="Q199" s="175" t="s">
        <v>196</v>
      </c>
      <c r="R199" s="168" t="str">
        <f ca="1">IF(ISERROR($V199),"",OFFSET('Smelter Look-up'!$C$4,$V199-4,0)&amp;"")</f>
        <v>Hunan Guiyang yinxing Nonferrous Smelting Co., Ltd.</v>
      </c>
      <c r="S199" s="167" t="str">
        <f t="shared" ca="1" si="27"/>
        <v>CN</v>
      </c>
      <c r="T199" s="167" t="str">
        <f ca="1">IF(B199="","",IF(ISERROR(MATCH($J199,SorP!$B$1:$B$6230,0)),"",INDIRECT("'SorP'!$A$"&amp;MATCH($J199,SorP!$B$1:$B$6230,0))))</f>
        <v>CN-HN</v>
      </c>
      <c r="U199" s="176"/>
      <c r="V199" s="177">
        <f>IF(C199="",NA(),IF(OR(C199="Smelter not listed",C199="Smelter not yet identified"),MATCH($B199&amp;$D199,'Smelter Look-up'!$J:$J,0),MATCH($B199&amp;$C199,'Smelter Look-up'!$J:$J,0)))</f>
        <v>113</v>
      </c>
      <c r="X199" s="140">
        <f t="shared" si="28"/>
        <v>0</v>
      </c>
      <c r="AB199" s="178" t="str">
        <f t="shared" si="29"/>
        <v>GoldHunan Guiyang yinxing Nonferrous Smelting Co., Ltd.</v>
      </c>
    </row>
    <row r="200" spans="1:28" s="140" customFormat="1" ht="114.75">
      <c r="A200" s="167" t="s">
        <v>1930</v>
      </c>
      <c r="B200" s="168" t="s">
        <v>133</v>
      </c>
      <c r="C200" s="169" t="s">
        <v>1931</v>
      </c>
      <c r="D200" s="170" t="s">
        <v>1931</v>
      </c>
      <c r="E200" s="168" t="s">
        <v>226</v>
      </c>
      <c r="F200" s="168" t="s">
        <v>1930</v>
      </c>
      <c r="G200" s="168" t="s">
        <v>142</v>
      </c>
      <c r="H200" s="171" t="s">
        <v>1932</v>
      </c>
      <c r="I200" s="172" t="s">
        <v>1933</v>
      </c>
      <c r="J200" s="172" t="s">
        <v>1934</v>
      </c>
      <c r="K200" s="173" t="s">
        <v>1935</v>
      </c>
      <c r="L200" s="173" t="s">
        <v>1936</v>
      </c>
      <c r="M200" s="173"/>
      <c r="N200" s="173" t="s">
        <v>220</v>
      </c>
      <c r="O200" s="173" t="s">
        <v>1937</v>
      </c>
      <c r="P200" s="174" t="s">
        <v>175</v>
      </c>
      <c r="Q200" s="175" t="s">
        <v>196</v>
      </c>
      <c r="R200" s="168" t="str">
        <f ca="1">IF(ISERROR($V200),"",OFFSET('Smelter Look-up'!$C$4,$V200-4,0)&amp;"")</f>
        <v>JALAN &amp; Company</v>
      </c>
      <c r="S200" s="167" t="str">
        <f t="shared" ca="1" si="27"/>
        <v>IN</v>
      </c>
      <c r="T200" s="167" t="str">
        <f ca="1">IF(B200="","",IF(ISERROR(MATCH($J200,SorP!$B$1:$B$6230,0)),"",INDIRECT("'SorP'!$A$"&amp;MATCH($J200,SorP!$B$1:$B$6230,0))))</f>
        <v>IN-DL</v>
      </c>
      <c r="U200" s="176"/>
      <c r="V200" s="177">
        <f>IF(C200="",NA(),IF(OR(C200="Smelter not listed",C200="Smelter not yet identified"),MATCH($B200&amp;$D200,'Smelter Look-up'!$J:$J,0),MATCH($B200&amp;$C200,'Smelter Look-up'!$J:$J,0)))</f>
        <v>122</v>
      </c>
      <c r="X200" s="140">
        <f t="shared" si="28"/>
        <v>0</v>
      </c>
      <c r="AB200" s="178" t="str">
        <f t="shared" si="29"/>
        <v>GoldJALAN &amp; Company</v>
      </c>
    </row>
    <row r="201" spans="1:28" s="140" customFormat="1" ht="409.5">
      <c r="A201" s="167" t="s">
        <v>1938</v>
      </c>
      <c r="B201" s="168" t="s">
        <v>133</v>
      </c>
      <c r="C201" s="169" t="s">
        <v>1939</v>
      </c>
      <c r="D201" s="170" t="s">
        <v>1939</v>
      </c>
      <c r="E201" s="168" t="s">
        <v>394</v>
      </c>
      <c r="F201" s="168" t="s">
        <v>1938</v>
      </c>
      <c r="G201" s="168" t="s">
        <v>142</v>
      </c>
      <c r="H201" s="171" t="s">
        <v>1940</v>
      </c>
      <c r="I201" s="172" t="s">
        <v>501</v>
      </c>
      <c r="J201" s="172" t="s">
        <v>502</v>
      </c>
      <c r="K201" s="173" t="s">
        <v>1941</v>
      </c>
      <c r="L201" s="173" t="s">
        <v>1942</v>
      </c>
      <c r="M201" s="173" t="s">
        <v>1943</v>
      </c>
      <c r="N201" s="173" t="s">
        <v>1944</v>
      </c>
      <c r="O201" s="173" t="s">
        <v>1945</v>
      </c>
      <c r="P201" s="174" t="s">
        <v>151</v>
      </c>
      <c r="Q201" s="175" t="s">
        <v>1946</v>
      </c>
      <c r="R201" s="168" t="str">
        <f ca="1">IF(ISERROR($V201),"",OFFSET('Smelter Look-up'!$C$4,$V201-4,0)&amp;"")</f>
        <v>Italpreziosi</v>
      </c>
      <c r="S201" s="167" t="str">
        <f t="shared" ca="1" si="27"/>
        <v>IT</v>
      </c>
      <c r="T201" s="167" t="str">
        <f ca="1">IF(B201="","",IF(ISERROR(MATCH($J201,SorP!$B$1:$B$6230,0)),"",INDIRECT("'SorP'!$A$"&amp;MATCH($J201,SorP!$B$1:$B$6230,0))))</f>
        <v>IT-52</v>
      </c>
      <c r="U201" s="176"/>
      <c r="V201" s="177">
        <f>IF(C201="",NA(),IF(OR(C201="Smelter not listed",C201="Smelter not yet identified"),MATCH($B201&amp;$D201,'Smelter Look-up'!$J:$J,0),MATCH($B201&amp;$C201,'Smelter Look-up'!$J:$J,0)))</f>
        <v>121</v>
      </c>
      <c r="X201" s="140">
        <f t="shared" si="28"/>
        <v>0</v>
      </c>
      <c r="AB201" s="178" t="str">
        <f t="shared" si="29"/>
        <v>GoldItalpreziosi</v>
      </c>
    </row>
    <row r="202" spans="1:28" s="140" customFormat="1" ht="165.75">
      <c r="A202" s="167" t="s">
        <v>1956</v>
      </c>
      <c r="B202" s="168" t="s">
        <v>133</v>
      </c>
      <c r="C202" s="169" t="s">
        <v>1957</v>
      </c>
      <c r="D202" s="170" t="s">
        <v>1957</v>
      </c>
      <c r="E202" s="168" t="s">
        <v>459</v>
      </c>
      <c r="F202" s="168" t="s">
        <v>1956</v>
      </c>
      <c r="G202" s="168" t="s">
        <v>142</v>
      </c>
      <c r="H202" s="171" t="s">
        <v>1958</v>
      </c>
      <c r="I202" s="172" t="s">
        <v>1959</v>
      </c>
      <c r="J202" s="172" t="s">
        <v>1404</v>
      </c>
      <c r="K202" s="173" t="s">
        <v>1960</v>
      </c>
      <c r="L202" s="173" t="s">
        <v>1961</v>
      </c>
      <c r="M202" s="173"/>
      <c r="N202" s="173" t="s">
        <v>174</v>
      </c>
      <c r="O202" s="173" t="s">
        <v>1962</v>
      </c>
      <c r="P202" s="174" t="s">
        <v>175</v>
      </c>
      <c r="Q202" s="175" t="s">
        <v>196</v>
      </c>
      <c r="R202" s="168" t="str">
        <f ca="1">IF(ISERROR($V202),"",OFFSET('Smelter Look-up'!$C$4,$V202-4,0)&amp;"")</f>
        <v>JSC Ekaterinburg Non-Ferrous Metal Processing Plant</v>
      </c>
      <c r="S202" s="167" t="str">
        <f t="shared" ca="1" si="27"/>
        <v>RU</v>
      </c>
      <c r="T202" s="167" t="str">
        <f ca="1">IF(B202="","",IF(ISERROR(MATCH($J202,SorP!$B$1:$B$6230,0)),"",INDIRECT("'SorP'!$A$"&amp;MATCH($J202,SorP!$B$1:$B$6230,0))))</f>
        <v>RU-SVE</v>
      </c>
      <c r="U202" s="176"/>
      <c r="V202" s="177">
        <f>IF(C202="",NA(),IF(OR(C202="Smelter not listed",C202="Smelter not yet identified"),MATCH($B202&amp;$D202,'Smelter Look-up'!$J:$J,0),MATCH($B202&amp;$C202,'Smelter Look-up'!$J:$J,0)))</f>
        <v>130</v>
      </c>
      <c r="X202" s="140">
        <f t="shared" si="28"/>
        <v>0</v>
      </c>
      <c r="AB202" s="178" t="str">
        <f t="shared" si="29"/>
        <v>GoldJSC Ekaterinburg Non-Ferrous Metal Processing Plant</v>
      </c>
    </row>
    <row r="203" spans="1:28" s="140" customFormat="1" ht="409.5">
      <c r="A203" s="167" t="s">
        <v>1963</v>
      </c>
      <c r="B203" s="168" t="s">
        <v>133</v>
      </c>
      <c r="C203" s="169" t="s">
        <v>1964</v>
      </c>
      <c r="D203" s="170" t="s">
        <v>1964</v>
      </c>
      <c r="E203" s="168" t="s">
        <v>192</v>
      </c>
      <c r="F203" s="168" t="s">
        <v>1963</v>
      </c>
      <c r="G203" s="168" t="s">
        <v>142</v>
      </c>
      <c r="H203" s="171" t="s">
        <v>1965</v>
      </c>
      <c r="I203" s="172" t="s">
        <v>1966</v>
      </c>
      <c r="J203" s="172" t="s">
        <v>194</v>
      </c>
      <c r="K203" s="173" t="s">
        <v>1967</v>
      </c>
      <c r="L203" s="173" t="s">
        <v>1968</v>
      </c>
      <c r="M203" s="173" t="s">
        <v>1969</v>
      </c>
      <c r="N203" s="173" t="s">
        <v>1970</v>
      </c>
      <c r="O203" s="173" t="s">
        <v>1971</v>
      </c>
      <c r="P203" s="174" t="s">
        <v>151</v>
      </c>
      <c r="Q203" s="175" t="s">
        <v>1972</v>
      </c>
      <c r="R203" s="168" t="str">
        <f ca="1">IF(ISERROR($V203),"",OFFSET('Smelter Look-up'!$C$4,$V203-4,0)&amp;"")</f>
        <v>Metalor Technologies (Suzhou) Ltd.</v>
      </c>
      <c r="S203" s="167" t="str">
        <f t="shared" ca="1" si="27"/>
        <v>CN</v>
      </c>
      <c r="T203" s="167" t="str">
        <f ca="1">IF(B203="","",IF(ISERROR(MATCH($J203,SorP!$B$1:$B$6230,0)),"",INDIRECT("'SorP'!$A$"&amp;MATCH($J203,SorP!$B$1:$B$6230,0))))</f>
        <v>CN-JS</v>
      </c>
      <c r="U203" s="176"/>
      <c r="V203" s="177">
        <f>IF(C203="",NA(),IF(OR(C203="Smelter not listed",C203="Smelter not yet identified"),MATCH($B203&amp;$D203,'Smelter Look-up'!$J:$J,0),MATCH($B203&amp;$C203,'Smelter Look-up'!$J:$J,0)))</f>
        <v>175</v>
      </c>
      <c r="X203" s="140">
        <f t="shared" si="28"/>
        <v>0</v>
      </c>
      <c r="AB203" s="178" t="str">
        <f t="shared" si="29"/>
        <v>GoldMetalor Technologies (Suzhou) Ltd.</v>
      </c>
    </row>
    <row r="204" spans="1:28" s="140" customFormat="1" ht="293.25">
      <c r="A204" s="167" t="s">
        <v>1973</v>
      </c>
      <c r="B204" s="168" t="s">
        <v>133</v>
      </c>
      <c r="C204" s="169" t="s">
        <v>1974</v>
      </c>
      <c r="D204" s="170" t="s">
        <v>1974</v>
      </c>
      <c r="E204" s="168" t="s">
        <v>583</v>
      </c>
      <c r="F204" s="168" t="s">
        <v>1973</v>
      </c>
      <c r="G204" s="168" t="s">
        <v>142</v>
      </c>
      <c r="H204" s="171" t="s">
        <v>1975</v>
      </c>
      <c r="I204" s="172" t="s">
        <v>1976</v>
      </c>
      <c r="J204" s="172" t="s">
        <v>1977</v>
      </c>
      <c r="K204" s="173" t="s">
        <v>1978</v>
      </c>
      <c r="L204" s="173" t="s">
        <v>1979</v>
      </c>
      <c r="M204" s="173"/>
      <c r="N204" s="173" t="s">
        <v>174</v>
      </c>
      <c r="O204" s="173" t="s">
        <v>1980</v>
      </c>
      <c r="P204" s="174" t="s">
        <v>175</v>
      </c>
      <c r="Q204" s="175" t="s">
        <v>196</v>
      </c>
      <c r="R204" s="168" t="str">
        <f ca="1">IF(ISERROR($V204),"",OFFSET('Smelter Look-up'!$C$4,$V204-4,0)&amp;"")</f>
        <v>Modeltech Sdn Bhd</v>
      </c>
      <c r="S204" s="167" t="str">
        <f t="shared" ca="1" si="27"/>
        <v>MY</v>
      </c>
      <c r="T204" s="167" t="str">
        <f ca="1">IF(B204="","",IF(ISERROR(MATCH($J204,SorP!$B$1:$B$6230,0)),"",INDIRECT("'SorP'!$A$"&amp;MATCH($J204,SorP!$B$1:$B$6230,0))))</f>
        <v>MY-04</v>
      </c>
      <c r="U204" s="176"/>
      <c r="V204" s="177">
        <f>IF(C204="",NA(),IF(OR(C204="Smelter not listed",C204="Smelter not yet identified"),MATCH($B204&amp;$D204,'Smelter Look-up'!$J:$J,0),MATCH($B204&amp;$C204,'Smelter Look-up'!$J:$J,0)))</f>
        <v>186</v>
      </c>
      <c r="X204" s="140">
        <f t="shared" si="28"/>
        <v>0</v>
      </c>
      <c r="AB204" s="178" t="str">
        <f t="shared" si="29"/>
        <v>GoldModeltech Sdn Bhd</v>
      </c>
    </row>
    <row r="205" spans="1:28" s="140" customFormat="1" ht="51">
      <c r="A205" s="167" t="s">
        <v>1984</v>
      </c>
      <c r="B205" s="168" t="s">
        <v>131</v>
      </c>
      <c r="C205" s="169" t="s">
        <v>1985</v>
      </c>
      <c r="D205" s="170" t="s">
        <v>1985</v>
      </c>
      <c r="E205" s="168" t="s">
        <v>192</v>
      </c>
      <c r="F205" s="168" t="s">
        <v>1984</v>
      </c>
      <c r="G205" s="168" t="s">
        <v>142</v>
      </c>
      <c r="H205" s="171" t="s">
        <v>114</v>
      </c>
      <c r="I205" s="172" t="s">
        <v>1147</v>
      </c>
      <c r="J205" s="172" t="s">
        <v>1148</v>
      </c>
      <c r="K205" s="173"/>
      <c r="L205" s="173"/>
      <c r="M205" s="173"/>
      <c r="N205" s="173"/>
      <c r="O205" s="173"/>
      <c r="P205" s="174"/>
      <c r="Q205" s="175"/>
      <c r="R205" s="168" t="str">
        <f ca="1">IF(ISERROR($V205),"",OFFSET('Smelter Look-up'!$C$4,$V205-4,0)&amp;"")</f>
        <v>Tin Smelting Branch of Yunnan Tin Co., Ltd.</v>
      </c>
      <c r="S205" s="167" t="str">
        <f t="shared" ca="1" si="27"/>
        <v>CN</v>
      </c>
      <c r="T205" s="167" t="str">
        <f ca="1">IF(B205="","",IF(ISERROR(MATCH($J205,SorP!$B$1:$B$6230,0)),"",INDIRECT("'SorP'!$A$"&amp;MATCH($J205,SorP!$B$1:$B$6230,0))))</f>
        <v>CN-YN</v>
      </c>
      <c r="U205" s="176"/>
      <c r="V205" s="177">
        <f>IF(C205="",NA(),IF(OR(C205="Smelter not listed",C205="Smelter not yet identified"),MATCH($B205&amp;$D205,'Smelter Look-up'!$J:$J,0),MATCH($B205&amp;$C205,'Smelter Look-up'!$J:$J,0)))</f>
        <v>404</v>
      </c>
      <c r="X205" s="140">
        <f t="shared" si="28"/>
        <v>0</v>
      </c>
      <c r="AB205" s="178" t="str">
        <f t="shared" si="29"/>
        <v>TinChina Yunnan Tin Co Ltd.</v>
      </c>
    </row>
    <row r="206" spans="1:28" s="140" customFormat="1" ht="114.75">
      <c r="A206" s="167" t="s">
        <v>1989</v>
      </c>
      <c r="B206" s="168" t="s">
        <v>131</v>
      </c>
      <c r="C206" s="169" t="s">
        <v>1990</v>
      </c>
      <c r="D206" s="170" t="s">
        <v>1990</v>
      </c>
      <c r="E206" s="168" t="s">
        <v>1125</v>
      </c>
      <c r="F206" s="168" t="s">
        <v>1989</v>
      </c>
      <c r="G206" s="168" t="s">
        <v>169</v>
      </c>
      <c r="H206" s="171" t="s">
        <v>114</v>
      </c>
      <c r="I206" s="172" t="s">
        <v>1991</v>
      </c>
      <c r="J206" s="172" t="s">
        <v>1992</v>
      </c>
      <c r="K206" s="173"/>
      <c r="L206" s="173"/>
      <c r="M206" s="173"/>
      <c r="N206" s="173"/>
      <c r="O206" s="173"/>
      <c r="P206" s="174"/>
      <c r="Q206" s="175"/>
      <c r="R206" s="168" t="str">
        <f ca="1">IF(ISERROR($V206),"",OFFSET('Smelter Look-up'!$C$4,$V206-4,0)&amp;"")</f>
        <v/>
      </c>
      <c r="S206" s="167" t="str">
        <f t="shared" ca="1" si="27"/>
        <v>VN</v>
      </c>
      <c r="T206" s="167" t="str">
        <f ca="1">IF(B206="","",IF(ISERROR(MATCH($J206,SorP!$B$1:$B$6230,0)),"",INDIRECT("'SorP'!$A$"&amp;MATCH($J206,SorP!$B$1:$B$6230,0))))</f>
        <v>VN-61</v>
      </c>
      <c r="U206" s="176"/>
      <c r="V206" s="177" t="e">
        <f>IF(C206="",NA(),IF(OR(C206="Smelter not listed",C206="Smelter not yet identified"),MATCH($B206&amp;$D206,'Smelter Look-up'!$J:$J,0),MATCH($B206&amp;$C206,'Smelter Look-up'!$J:$J,0)))</f>
        <v>#N/A</v>
      </c>
      <c r="X206" s="140">
        <f t="shared" si="28"/>
        <v>0</v>
      </c>
      <c r="AB206" s="178" t="str">
        <f t="shared" si="29"/>
        <v>TinDa Nang Processing Import and Export Joint Stock</v>
      </c>
    </row>
    <row r="207" spans="1:28" s="140" customFormat="1" ht="38.25">
      <c r="A207" s="167" t="s">
        <v>1993</v>
      </c>
      <c r="B207" s="168" t="s">
        <v>131</v>
      </c>
      <c r="C207" s="169" t="s">
        <v>486</v>
      </c>
      <c r="D207" s="170" t="s">
        <v>486</v>
      </c>
      <c r="E207" s="168" t="s">
        <v>155</v>
      </c>
      <c r="F207" s="168" t="s">
        <v>1993</v>
      </c>
      <c r="G207" s="168" t="s">
        <v>114</v>
      </c>
      <c r="H207" s="171" t="s">
        <v>114</v>
      </c>
      <c r="I207" s="172"/>
      <c r="J207" s="172" t="s">
        <v>114</v>
      </c>
      <c r="K207" s="173"/>
      <c r="L207" s="173"/>
      <c r="M207" s="173"/>
      <c r="N207" s="173"/>
      <c r="O207" s="173"/>
      <c r="P207" s="174"/>
      <c r="Q207" s="175"/>
      <c r="R207" s="168" t="str">
        <f ca="1">IF(ISERROR($V207),"",OFFSET('Smelter Look-up'!$C$4,$V207-4,0)&amp;"")</f>
        <v/>
      </c>
      <c r="S207" s="167" t="str">
        <f t="shared" ca="1" si="27"/>
        <v>JP</v>
      </c>
      <c r="T207" s="167" t="str">
        <f ca="1">IF(B207="","",IF(ISERROR(MATCH($J207,SorP!$B$1:$B$6230,0)),"",INDIRECT("'SorP'!$A$"&amp;MATCH($J207,SorP!$B$1:$B$6230,0))))</f>
        <v/>
      </c>
      <c r="U207" s="176"/>
      <c r="V207" s="177" t="e">
        <f>IF(C207="",NA(),IF(OR(C207="Smelter not listed",C207="Smelter not yet identified"),MATCH($B207&amp;$D207,'Smelter Look-up'!$J:$J,0),MATCH($B207&amp;$C207,'Smelter Look-up'!$J:$J,0)))</f>
        <v>#N/A</v>
      </c>
      <c r="X207" s="140">
        <f t="shared" si="28"/>
        <v>0</v>
      </c>
      <c r="AB207" s="178" t="str">
        <f t="shared" si="29"/>
        <v>TinDai-ichi Seiko</v>
      </c>
    </row>
    <row r="208" spans="1:28" s="140" customFormat="1" ht="409.5">
      <c r="A208" s="167" t="s">
        <v>1994</v>
      </c>
      <c r="B208" s="168" t="s">
        <v>131</v>
      </c>
      <c r="C208" s="169" t="s">
        <v>1995</v>
      </c>
      <c r="D208" s="170" t="s">
        <v>1346</v>
      </c>
      <c r="E208" s="168" t="s">
        <v>155</v>
      </c>
      <c r="F208" s="168" t="s">
        <v>1994</v>
      </c>
      <c r="G208" s="168" t="s">
        <v>142</v>
      </c>
      <c r="H208" s="171" t="s">
        <v>1347</v>
      </c>
      <c r="I208" s="172" t="s">
        <v>1348</v>
      </c>
      <c r="J208" s="172" t="s">
        <v>235</v>
      </c>
      <c r="K208" s="173" t="s">
        <v>1996</v>
      </c>
      <c r="L208" s="173" t="s">
        <v>1997</v>
      </c>
      <c r="M208" s="173" t="s">
        <v>1998</v>
      </c>
      <c r="N208" s="173" t="s">
        <v>1999</v>
      </c>
      <c r="O208" s="173" t="s">
        <v>2000</v>
      </c>
      <c r="P208" s="174" t="s">
        <v>241</v>
      </c>
      <c r="Q208" s="175" t="s">
        <v>2001</v>
      </c>
      <c r="R208" s="168" t="str">
        <f ca="1">IF(ISERROR($V208),"",OFFSET('Smelter Look-up'!$C$4,$V208-4,0)&amp;"")</f>
        <v>Dowa</v>
      </c>
      <c r="S208" s="167" t="str">
        <f t="shared" ca="1" si="27"/>
        <v>JP</v>
      </c>
      <c r="T208" s="167" t="str">
        <f ca="1">IF(B208="","",IF(ISERROR(MATCH($J208,SorP!$B$1:$B$6230,0)),"",INDIRECT("'SorP'!$A$"&amp;MATCH($J208,SorP!$B$1:$B$6230,0))))</f>
        <v>JP-05</v>
      </c>
      <c r="U208" s="176"/>
      <c r="V208" s="177">
        <f>IF(C208="",NA(),IF(OR(C208="Smelter not listed",C208="Smelter not yet identified"),MATCH($B208&amp;$D208,'Smelter Look-up'!$J:$J,0),MATCH($B208&amp;$C208,'Smelter Look-up'!$J:$J,0)))</f>
        <v>415</v>
      </c>
      <c r="X208" s="140">
        <f t="shared" si="28"/>
        <v>0</v>
      </c>
      <c r="AB208" s="178" t="str">
        <f t="shared" si="29"/>
        <v>TinDowa Metaltech Co., Ltd.</v>
      </c>
    </row>
    <row r="209" spans="1:28" s="140" customFormat="1" ht="63.75">
      <c r="A209" s="167" t="s">
        <v>2002</v>
      </c>
      <c r="B209" s="168" t="s">
        <v>131</v>
      </c>
      <c r="C209" s="169" t="s">
        <v>2003</v>
      </c>
      <c r="D209" s="170" t="s">
        <v>2003</v>
      </c>
      <c r="E209" s="168" t="s">
        <v>192</v>
      </c>
      <c r="F209" s="168" t="s">
        <v>2002</v>
      </c>
      <c r="G209" s="168" t="s">
        <v>114</v>
      </c>
      <c r="H209" s="171" t="s">
        <v>114</v>
      </c>
      <c r="I209" s="172"/>
      <c r="J209" s="172" t="s">
        <v>114</v>
      </c>
      <c r="K209" s="173"/>
      <c r="L209" s="173"/>
      <c r="M209" s="173"/>
      <c r="N209" s="173"/>
      <c r="O209" s="173"/>
      <c r="P209" s="174"/>
      <c r="Q209" s="175"/>
      <c r="R209" s="168" t="str">
        <f ca="1">IF(ISERROR($V209),"",OFFSET('Smelter Look-up'!$C$4,$V209-4,0)&amp;"")</f>
        <v/>
      </c>
      <c r="S209" s="167" t="str">
        <f t="shared" ca="1" si="27"/>
        <v>CN</v>
      </c>
      <c r="T209" s="167" t="str">
        <f ca="1">IF(B209="","",IF(ISERROR(MATCH($J209,SorP!$B$1:$B$6230,0)),"",INDIRECT("'SorP'!$A$"&amp;MATCH($J209,SorP!$B$1:$B$6230,0))))</f>
        <v/>
      </c>
      <c r="U209" s="176"/>
      <c r="V209" s="177" t="e">
        <f>IF(C209="",NA(),IF(OR(C209="Smelter not listed",C209="Smelter not yet identified"),MATCH($B209&amp;$D209,'Smelter Look-up'!$J:$J,0),MATCH($B209&amp;$C209,'Smelter Look-up'!$J:$J,0)))</f>
        <v>#N/A</v>
      </c>
      <c r="X209" s="140">
        <f t="shared" si="28"/>
        <v>0</v>
      </c>
      <c r="AB209" s="178" t="str">
        <f t="shared" si="29"/>
        <v>TinDragon Silver Holdings Limited</v>
      </c>
    </row>
    <row r="210" spans="1:28" s="140" customFormat="1" ht="38.25">
      <c r="A210" s="167" t="s">
        <v>2004</v>
      </c>
      <c r="B210" s="168" t="s">
        <v>131</v>
      </c>
      <c r="C210" s="169" t="s">
        <v>2005</v>
      </c>
      <c r="D210" s="170" t="s">
        <v>2005</v>
      </c>
      <c r="E210" s="168" t="s">
        <v>1458</v>
      </c>
      <c r="F210" s="168" t="s">
        <v>2004</v>
      </c>
      <c r="G210" s="168" t="s">
        <v>142</v>
      </c>
      <c r="H210" s="171" t="s">
        <v>114</v>
      </c>
      <c r="I210" s="172" t="s">
        <v>1460</v>
      </c>
      <c r="J210" s="172" t="s">
        <v>1460</v>
      </c>
      <c r="K210" s="173"/>
      <c r="L210" s="173"/>
      <c r="M210" s="173"/>
      <c r="N210" s="173" t="s">
        <v>121</v>
      </c>
      <c r="O210" s="173" t="s">
        <v>195</v>
      </c>
      <c r="P210" s="174" t="s">
        <v>121</v>
      </c>
      <c r="Q210" s="175" t="s">
        <v>1614</v>
      </c>
      <c r="R210" s="168" t="str">
        <f ca="1">IF(ISERROR($V210),"",OFFSET('Smelter Look-up'!$C$4,$V210-4,0)&amp;"")</f>
        <v>DS Myanmar</v>
      </c>
      <c r="S210" s="167" t="str">
        <f t="shared" ca="1" si="27"/>
        <v>MM</v>
      </c>
      <c r="T210" s="167" t="str">
        <f ca="1">IF(B210="","",IF(ISERROR(MATCH($J210,SorP!$B$1:$B$6230,0)),"",INDIRECT("'SorP'!$A$"&amp;MATCH($J210,SorP!$B$1:$B$6230,0))))</f>
        <v>MM-06</v>
      </c>
      <c r="U210" s="176"/>
      <c r="V210" s="177">
        <f>IF(C210="",NA(),IF(OR(C210="Smelter not listed",C210="Smelter not yet identified"),MATCH($B210&amp;$D210,'Smelter Look-up'!$J:$J,0),MATCH($B210&amp;$C210,'Smelter Look-up'!$J:$J,0)))</f>
        <v>416</v>
      </c>
      <c r="X210" s="140">
        <f t="shared" si="28"/>
        <v>0</v>
      </c>
      <c r="AB210" s="178" t="str">
        <f t="shared" si="29"/>
        <v>TinDS Myanmar</v>
      </c>
    </row>
    <row r="211" spans="1:28" s="140" customFormat="1" ht="102">
      <c r="A211" s="167" t="s">
        <v>2006</v>
      </c>
      <c r="B211" s="168" t="s">
        <v>131</v>
      </c>
      <c r="C211" s="169" t="s">
        <v>2007</v>
      </c>
      <c r="D211" s="170" t="s">
        <v>2008</v>
      </c>
      <c r="E211" s="168" t="s">
        <v>192</v>
      </c>
      <c r="F211" s="168" t="s">
        <v>2006</v>
      </c>
      <c r="G211" s="168" t="s">
        <v>142</v>
      </c>
      <c r="H211" s="171" t="s">
        <v>2009</v>
      </c>
      <c r="I211" s="172" t="s">
        <v>1147</v>
      </c>
      <c r="J211" s="172" t="s">
        <v>1148</v>
      </c>
      <c r="K211" s="173" t="s">
        <v>2010</v>
      </c>
      <c r="L211" s="173" t="s">
        <v>2011</v>
      </c>
      <c r="M211" s="173"/>
      <c r="N211" s="173" t="s">
        <v>220</v>
      </c>
      <c r="O211" s="173" t="s">
        <v>2012</v>
      </c>
      <c r="P211" s="174" t="s">
        <v>175</v>
      </c>
      <c r="Q211" s="175" t="s">
        <v>1343</v>
      </c>
      <c r="R211" s="168" t="str">
        <f ca="1">IF(ISERROR($V211),"",OFFSET('Smelter Look-up'!$C$4,$V211-4,0)&amp;"")</f>
        <v/>
      </c>
      <c r="S211" s="167" t="str">
        <f t="shared" ca="1" si="27"/>
        <v>CN</v>
      </c>
      <c r="T211" s="167" t="str">
        <f ca="1">IF(B211="","",IF(ISERROR(MATCH($J211,SorP!$B$1:$B$6230,0)),"",INDIRECT("'SorP'!$A$"&amp;MATCH($J211,SorP!$B$1:$B$6230,0))))</f>
        <v>CN-YN</v>
      </c>
      <c r="U211" s="176"/>
      <c r="V211" s="177" t="e">
        <f>IF(C211="",NA(),IF(OR(C211="Smelter not listed",C211="Smelter not yet identified"),MATCH($B211&amp;$D211,'Smelter Look-up'!$J:$J,0),MATCH($B211&amp;$C211,'Smelter Look-up'!$J:$J,0)))</f>
        <v>#N/A</v>
      </c>
      <c r="X211" s="140">
        <f t="shared" si="28"/>
        <v>0</v>
      </c>
      <c r="AB211" s="178" t="str">
        <f t="shared" si="29"/>
        <v>TinGejiu City Fuxiang Industry and Trade Co., Ltd.”</v>
      </c>
    </row>
    <row r="212" spans="1:28" s="140" customFormat="1" ht="409.5">
      <c r="A212" s="167" t="s">
        <v>2013</v>
      </c>
      <c r="B212" s="168" t="s">
        <v>131</v>
      </c>
      <c r="C212" s="169" t="s">
        <v>2014</v>
      </c>
      <c r="D212" s="170" t="s">
        <v>2014</v>
      </c>
      <c r="E212" s="168" t="s">
        <v>1125</v>
      </c>
      <c r="F212" s="168" t="s">
        <v>2013</v>
      </c>
      <c r="G212" s="168" t="s">
        <v>142</v>
      </c>
      <c r="H212" s="171" t="s">
        <v>2015</v>
      </c>
      <c r="I212" s="172" t="s">
        <v>2016</v>
      </c>
      <c r="J212" s="172" t="s">
        <v>2017</v>
      </c>
      <c r="K212" s="173" t="s">
        <v>2018</v>
      </c>
      <c r="L212" s="173" t="s">
        <v>2019</v>
      </c>
      <c r="M212" s="173"/>
      <c r="N212" s="173" t="s">
        <v>174</v>
      </c>
      <c r="O212" s="173" t="s">
        <v>2020</v>
      </c>
      <c r="P212" s="174" t="s">
        <v>175</v>
      </c>
      <c r="Q212" s="175" t="s">
        <v>2021</v>
      </c>
      <c r="R212" s="168" t="str">
        <f ca="1">IF(ISERROR($V212),"",OFFSET('Smelter Look-up'!$C$4,$V212-4,0)&amp;"")</f>
        <v>Electro-Mechanical Facility of the Cao Bang Minerals &amp; Metallurgy Joint Stock Company</v>
      </c>
      <c r="S212" s="167" t="str">
        <f t="shared" ca="1" si="27"/>
        <v>VN</v>
      </c>
      <c r="T212" s="167" t="str">
        <f ca="1">IF(B212="","",IF(ISERROR(MATCH($J212,SorP!$B$1:$B$6230,0)),"",INDIRECT("'SorP'!$A$"&amp;MATCH($J212,SorP!$B$1:$B$6230,0))))</f>
        <v>VN-04</v>
      </c>
      <c r="U212" s="176"/>
      <c r="V212" s="177">
        <f>IF(C212="",NA(),IF(OR(C212="Smelter not listed",C212="Smelter not yet identified"),MATCH($B212&amp;$D212,'Smelter Look-up'!$J:$J,0),MATCH($B212&amp;$C212,'Smelter Look-up'!$J:$J,0)))</f>
        <v>417</v>
      </c>
      <c r="X212" s="140">
        <f t="shared" si="28"/>
        <v>0</v>
      </c>
      <c r="AB212" s="178" t="str">
        <f t="shared" si="29"/>
        <v>TinElectro-Mechanical Facility of the Cao Bang Minerals &amp; Metallurgy Joint Stock Company</v>
      </c>
    </row>
    <row r="213" spans="1:28" s="140" customFormat="1" ht="51">
      <c r="A213" s="167" t="s">
        <v>2022</v>
      </c>
      <c r="B213" s="168" t="s">
        <v>131</v>
      </c>
      <c r="C213" s="169" t="s">
        <v>252</v>
      </c>
      <c r="D213" s="170" t="s">
        <v>252</v>
      </c>
      <c r="E213" s="168" t="s">
        <v>141</v>
      </c>
      <c r="F213" s="168" t="s">
        <v>2022</v>
      </c>
      <c r="G213" s="168" t="s">
        <v>114</v>
      </c>
      <c r="H213" s="171" t="s">
        <v>114</v>
      </c>
      <c r="I213" s="172"/>
      <c r="J213" s="172" t="s">
        <v>114</v>
      </c>
      <c r="K213" s="173"/>
      <c r="L213" s="173"/>
      <c r="M213" s="173"/>
      <c r="N213" s="173"/>
      <c r="O213" s="173"/>
      <c r="P213" s="174"/>
      <c r="Q213" s="175"/>
      <c r="R213" s="168" t="str">
        <f ca="1">IF(ISERROR($V213),"",OFFSET('Smelter Look-up'!$C$4,$V213-4,0)&amp;"")</f>
        <v/>
      </c>
      <c r="S213" s="167" t="str">
        <f t="shared" ca="1" si="27"/>
        <v>US</v>
      </c>
      <c r="T213" s="167" t="str">
        <f ca="1">IF(B213="","",IF(ISERROR(MATCH($J213,SorP!$B$1:$B$6230,0)),"",INDIRECT("'SorP'!$A$"&amp;MATCH($J213,SorP!$B$1:$B$6230,0))))</f>
        <v/>
      </c>
      <c r="U213" s="176"/>
      <c r="V213" s="177" t="e">
        <f>IF(C213="",NA(),IF(OR(C213="Smelter not listed",C213="Smelter not yet identified"),MATCH($B213&amp;$D213,'Smelter Look-up'!$J:$J,0),MATCH($B213&amp;$C213,'Smelter Look-up'!$J:$J,0)))</f>
        <v>#N/A</v>
      </c>
      <c r="X213" s="140">
        <f t="shared" si="28"/>
        <v>0</v>
      </c>
      <c r="AB213" s="178" t="str">
        <f t="shared" si="29"/>
        <v>TinElemetal Refining, LLC</v>
      </c>
    </row>
    <row r="214" spans="1:28" s="140" customFormat="1" ht="409.5">
      <c r="A214" s="167" t="s">
        <v>2024</v>
      </c>
      <c r="B214" s="168" t="s">
        <v>131</v>
      </c>
      <c r="C214" s="169" t="s">
        <v>2025</v>
      </c>
      <c r="D214" s="170" t="s">
        <v>2026</v>
      </c>
      <c r="E214" s="168" t="s">
        <v>433</v>
      </c>
      <c r="F214" s="168" t="s">
        <v>2024</v>
      </c>
      <c r="G214" s="168" t="s">
        <v>142</v>
      </c>
      <c r="H214" s="171" t="s">
        <v>2027</v>
      </c>
      <c r="I214" s="172" t="s">
        <v>512</v>
      </c>
      <c r="J214" s="172" t="s">
        <v>838</v>
      </c>
      <c r="K214" s="173" t="s">
        <v>2028</v>
      </c>
      <c r="L214" s="173" t="s">
        <v>2029</v>
      </c>
      <c r="M214" s="173" t="s">
        <v>2030</v>
      </c>
      <c r="N214" s="173" t="s">
        <v>979</v>
      </c>
      <c r="O214" s="173" t="s">
        <v>2031</v>
      </c>
      <c r="P214" s="174" t="s">
        <v>715</v>
      </c>
      <c r="Q214" s="175" t="s">
        <v>2032</v>
      </c>
      <c r="R214" s="168" t="str">
        <f ca="1">IF(ISERROR($V214),"",OFFSET('Smelter Look-up'!$C$4,$V214-4,0)&amp;"")</f>
        <v>Estanho de Rondonia S.A.</v>
      </c>
      <c r="S214" s="167" t="str">
        <f t="shared" ca="1" si="27"/>
        <v>BR</v>
      </c>
      <c r="T214" s="167" t="str">
        <f ca="1">IF(B214="","",IF(ISERROR(MATCH($J214,SorP!$B$1:$B$6230,0)),"",INDIRECT("'SorP'!$A$"&amp;MATCH($J214,SorP!$B$1:$B$6230,0))))</f>
        <v>BR-RO</v>
      </c>
      <c r="U214" s="176"/>
      <c r="V214" s="177">
        <f>IF(C214="",NA(),IF(OR(C214="Smelter not listed",C214="Smelter not yet identified"),MATCH($B214&amp;$D214,'Smelter Look-up'!$J:$J,0),MATCH($B214&amp;$C214,'Smelter Look-up'!$J:$J,0)))</f>
        <v>423</v>
      </c>
      <c r="X214" s="140">
        <f t="shared" si="28"/>
        <v>0</v>
      </c>
      <c r="AB214" s="178" t="str">
        <f t="shared" si="29"/>
        <v>TinEstanho de Rondônia S.A.</v>
      </c>
    </row>
    <row r="215" spans="1:28" s="140" customFormat="1" ht="114.75">
      <c r="A215" s="167" t="s">
        <v>2033</v>
      </c>
      <c r="B215" s="168" t="s">
        <v>131</v>
      </c>
      <c r="C215" s="169" t="s">
        <v>2034</v>
      </c>
      <c r="D215" s="170" t="s">
        <v>2034</v>
      </c>
      <c r="E215" s="168" t="s">
        <v>433</v>
      </c>
      <c r="F215" s="168" t="s">
        <v>2033</v>
      </c>
      <c r="G215" s="168" t="s">
        <v>142</v>
      </c>
      <c r="H215" s="171" t="s">
        <v>114</v>
      </c>
      <c r="I215" s="172" t="s">
        <v>2035</v>
      </c>
      <c r="J215" s="172" t="s">
        <v>594</v>
      </c>
      <c r="K215" s="173" t="s">
        <v>2036</v>
      </c>
      <c r="L215" s="173" t="s">
        <v>2037</v>
      </c>
      <c r="M215" s="173" t="s">
        <v>2038</v>
      </c>
      <c r="N215" s="173" t="s">
        <v>2039</v>
      </c>
      <c r="O215" s="173" t="s">
        <v>2040</v>
      </c>
      <c r="P215" s="174" t="s">
        <v>715</v>
      </c>
      <c r="Q215" s="175" t="s">
        <v>2041</v>
      </c>
      <c r="R215" s="168" t="str">
        <f ca="1">IF(ISERROR($V215),"",OFFSET('Smelter Look-up'!$C$4,$V215-4,0)&amp;"")</f>
        <v>Fabrica Auricchio Industria e Comercio Ltda.</v>
      </c>
      <c r="S215" s="167" t="str">
        <f t="shared" ca="1" si="27"/>
        <v>BR</v>
      </c>
      <c r="T215" s="167" t="str">
        <f ca="1">IF(B215="","",IF(ISERROR(MATCH($J215,SorP!$B$1:$B$6230,0)),"",INDIRECT("'SorP'!$A$"&amp;MATCH($J215,SorP!$B$1:$B$6230,0))))</f>
        <v>BR-SP</v>
      </c>
      <c r="U215" s="176"/>
      <c r="V215" s="177">
        <f>IF(C215="",NA(),IF(OR(C215="Smelter not listed",C215="Smelter not yet identified"),MATCH($B215&amp;$D215,'Smelter Look-up'!$J:$J,0),MATCH($B215&amp;$C215,'Smelter Look-up'!$J:$J,0)))</f>
        <v>426</v>
      </c>
      <c r="X215" s="140">
        <f t="shared" si="28"/>
        <v>0</v>
      </c>
      <c r="AB215" s="178" t="str">
        <f t="shared" si="29"/>
        <v>TinFabrica Auricchio Industria e Comercio Ltda.</v>
      </c>
    </row>
    <row r="216" spans="1:28" s="140" customFormat="1" ht="76.5">
      <c r="A216" s="167" t="s">
        <v>2048</v>
      </c>
      <c r="B216" s="168" t="s">
        <v>131</v>
      </c>
      <c r="C216" s="169" t="s">
        <v>2049</v>
      </c>
      <c r="D216" s="170" t="s">
        <v>2049</v>
      </c>
      <c r="E216" s="168" t="s">
        <v>253</v>
      </c>
      <c r="F216" s="168" t="s">
        <v>2048</v>
      </c>
      <c r="G216" s="168" t="s">
        <v>114</v>
      </c>
      <c r="H216" s="171" t="s">
        <v>114</v>
      </c>
      <c r="I216" s="172"/>
      <c r="J216" s="172" t="s">
        <v>114</v>
      </c>
      <c r="K216" s="173"/>
      <c r="L216" s="173"/>
      <c r="M216" s="173"/>
      <c r="N216" s="173"/>
      <c r="O216" s="173"/>
      <c r="P216" s="174"/>
      <c r="Q216" s="175"/>
      <c r="R216" s="168" t="str">
        <f ca="1">IF(ISERROR($V216),"",OFFSET('Smelter Look-up'!$C$4,$V216-4,0)&amp;"")</f>
        <v/>
      </c>
      <c r="S216" s="167" t="str">
        <f t="shared" ref="S216:S241" ca="1" si="30">IF(B216="","",IF(ISERROR(MATCH($E216,CL,0)),"Unknown",INDIRECT("'C'!$A$"&amp;MATCH($E216,CL,0)+1)))</f>
        <v>ID</v>
      </c>
      <c r="T216" s="167" t="str">
        <f ca="1">IF(B216="","",IF(ISERROR(MATCH($J216,SorP!$B$1:$B$6230,0)),"",INDIRECT("'SorP'!$A$"&amp;MATCH($J216,SorP!$B$1:$B$6230,0))))</f>
        <v/>
      </c>
      <c r="U216" s="176"/>
      <c r="V216" s="177" t="e">
        <f>IF(C216="",NA(),IF(OR(C216="Smelter not listed",C216="Smelter not yet identified"),MATCH($B216&amp;$D216,'Smelter Look-up'!$J:$J,0),MATCH($B216&amp;$C216,'Smelter Look-up'!$J:$J,0)))</f>
        <v>#N/A</v>
      </c>
      <c r="X216" s="140">
        <f t="shared" ref="X216:X241" si="31">IF(AND(C216="Smelter not listed",OR(LEN(D216)=0,LEN(E216)=0)),1,0)</f>
        <v>0</v>
      </c>
      <c r="AB216" s="178" t="str">
        <f t="shared" ref="AB216:AB241" si="32">B216&amp;C216</f>
        <v>TinFuruuchi Chemical Corporation</v>
      </c>
    </row>
    <row r="217" spans="1:28" s="140" customFormat="1" ht="409.5">
      <c r="A217" s="167" t="s">
        <v>2054</v>
      </c>
      <c r="B217" s="168" t="s">
        <v>133</v>
      </c>
      <c r="C217" s="169" t="s">
        <v>2055</v>
      </c>
      <c r="D217" s="170" t="s">
        <v>2055</v>
      </c>
      <c r="E217" s="168" t="s">
        <v>394</v>
      </c>
      <c r="F217" s="168" t="s">
        <v>2054</v>
      </c>
      <c r="G217" s="168" t="s">
        <v>142</v>
      </c>
      <c r="H217" s="171" t="s">
        <v>2056</v>
      </c>
      <c r="I217" s="172" t="s">
        <v>2057</v>
      </c>
      <c r="J217" s="172" t="s">
        <v>502</v>
      </c>
      <c r="K217" s="173" t="s">
        <v>2058</v>
      </c>
      <c r="L217" s="173" t="s">
        <v>2059</v>
      </c>
      <c r="M217" s="173" t="s">
        <v>2060</v>
      </c>
      <c r="N217" s="173" t="s">
        <v>2061</v>
      </c>
      <c r="O217" s="173" t="s">
        <v>2062</v>
      </c>
      <c r="P217" s="174" t="s">
        <v>151</v>
      </c>
      <c r="Q217" s="175" t="s">
        <v>2063</v>
      </c>
      <c r="R217" s="168" t="str">
        <f ca="1">IF(ISERROR($V217),"",OFFSET('Smelter Look-up'!$C$4,$V217-4,0)&amp;"")</f>
        <v>T.C.A S.p.A</v>
      </c>
      <c r="S217" s="167" t="str">
        <f t="shared" ca="1" si="30"/>
        <v>IT</v>
      </c>
      <c r="T217" s="167" t="str">
        <f ca="1">IF(B217="","",IF(ISERROR(MATCH($J217,SorP!$B$1:$B$6230,0)),"",INDIRECT("'SorP'!$A$"&amp;MATCH($J217,SorP!$B$1:$B$6230,0))))</f>
        <v>IT-52</v>
      </c>
      <c r="U217" s="176"/>
      <c r="V217" s="177">
        <f>IF(C217="",NA(),IF(OR(C217="Smelter not listed",C217="Smelter not yet identified"),MATCH($B217&amp;$D217,'Smelter Look-up'!$J:$J,0),MATCH($B217&amp;$C217,'Smelter Look-up'!$J:$J,0)))</f>
        <v>269</v>
      </c>
      <c r="X217" s="140">
        <f t="shared" si="31"/>
        <v>0</v>
      </c>
      <c r="AB217" s="178" t="str">
        <f t="shared" si="32"/>
        <v>GoldT.C.A S.p.A</v>
      </c>
    </row>
    <row r="218" spans="1:28" s="140" customFormat="1" ht="25.5">
      <c r="A218" s="167" t="s">
        <v>2064</v>
      </c>
      <c r="B218" s="168" t="s">
        <v>133</v>
      </c>
      <c r="C218" s="169" t="s">
        <v>2065</v>
      </c>
      <c r="D218" s="170" t="s">
        <v>2065</v>
      </c>
      <c r="E218" s="168" t="s">
        <v>253</v>
      </c>
      <c r="F218" s="168" t="s">
        <v>2064</v>
      </c>
      <c r="G218" s="168" t="s">
        <v>142</v>
      </c>
      <c r="H218" s="171" t="s">
        <v>114</v>
      </c>
      <c r="I218" s="172" t="s">
        <v>196</v>
      </c>
      <c r="J218" s="172" t="s">
        <v>196</v>
      </c>
      <c r="K218" s="173"/>
      <c r="L218" s="173"/>
      <c r="M218" s="173"/>
      <c r="N218" s="173" t="s">
        <v>121</v>
      </c>
      <c r="O218" s="173" t="s">
        <v>121</v>
      </c>
      <c r="P218" s="174" t="s">
        <v>121</v>
      </c>
      <c r="Q218" s="175"/>
      <c r="R218" s="168" t="str">
        <f ca="1">IF(ISERROR($V218),"",OFFSET('Smelter Look-up'!$C$4,$V218-4,0)&amp;"")</f>
        <v/>
      </c>
      <c r="S218" s="167" t="str">
        <f t="shared" ca="1" si="30"/>
        <v>ID</v>
      </c>
      <c r="T218" s="167" t="str">
        <f ca="1">IF(B218="","",IF(ISERROR(MATCH($J218,SorP!$B$1:$B$6230,0)),"",INDIRECT("'SorP'!$A$"&amp;MATCH($J218,SorP!$B$1:$B$6230,0))))</f>
        <v/>
      </c>
      <c r="U218" s="176"/>
      <c r="V218" s="177" t="e">
        <f>IF(C218="",NA(),IF(OR(C218="Smelter not listed",C218="Smelter not yet identified"),MATCH($B218&amp;$D218,'Smelter Look-up'!$J:$J,0),MATCH($B218&amp;$C218,'Smelter Look-up'!$J:$J,0)))</f>
        <v>#N/A</v>
      </c>
      <c r="X218" s="140">
        <f t="shared" si="31"/>
        <v>0</v>
      </c>
      <c r="AB218" s="178" t="str">
        <f t="shared" si="32"/>
        <v>GoldTai Perng</v>
      </c>
    </row>
    <row r="219" spans="1:28" s="140" customFormat="1" ht="63.75">
      <c r="A219" s="167" t="s">
        <v>2066</v>
      </c>
      <c r="B219" s="168" t="s">
        <v>133</v>
      </c>
      <c r="C219" s="169" t="s">
        <v>2067</v>
      </c>
      <c r="D219" s="170" t="s">
        <v>2068</v>
      </c>
      <c r="E219" s="168" t="s">
        <v>369</v>
      </c>
      <c r="F219" s="168" t="s">
        <v>2066</v>
      </c>
      <c r="G219" s="168" t="s">
        <v>142</v>
      </c>
      <c r="H219" s="171" t="s">
        <v>114</v>
      </c>
      <c r="I219" s="172" t="s">
        <v>196</v>
      </c>
      <c r="J219" s="172" t="s">
        <v>196</v>
      </c>
      <c r="K219" s="173"/>
      <c r="L219" s="173"/>
      <c r="M219" s="173"/>
      <c r="N219" s="173" t="s">
        <v>121</v>
      </c>
      <c r="O219" s="173" t="s">
        <v>121</v>
      </c>
      <c r="P219" s="174" t="s">
        <v>121</v>
      </c>
      <c r="Q219" s="175"/>
      <c r="R219" s="168" t="str">
        <f ca="1">IF(ISERROR($V219),"",OFFSET('Smelter Look-up'!$C$4,$V219-4,0)&amp;"")</f>
        <v/>
      </c>
      <c r="S219" s="167" t="str">
        <f t="shared" ca="1" si="30"/>
        <v>TW</v>
      </c>
      <c r="T219" s="167" t="str">
        <f ca="1">IF(B219="","",IF(ISERROR(MATCH($J219,SorP!$B$1:$B$6230,0)),"",INDIRECT("'SorP'!$A$"&amp;MATCH($J219,SorP!$B$1:$B$6230,0))))</f>
        <v/>
      </c>
      <c r="U219" s="176"/>
      <c r="V219" s="177" t="e">
        <f>IF(C219="",NA(),IF(OR(C219="Smelter not listed",C219="Smelter not yet identified"),MATCH($B219&amp;$D219,'Smelter Look-up'!$J:$J,0),MATCH($B219&amp;$C219,'Smelter Look-up'!$J:$J,0)))</f>
        <v>#N/A</v>
      </c>
      <c r="X219" s="140">
        <f t="shared" si="31"/>
        <v>0</v>
      </c>
      <c r="AB219" s="178" t="str">
        <f t="shared" si="32"/>
        <v>GoldTAIWAN TOTAI CO., LTD.</v>
      </c>
    </row>
    <row r="220" spans="1:28" s="140" customFormat="1" ht="216.75">
      <c r="A220" s="167" t="s">
        <v>2069</v>
      </c>
      <c r="B220" s="168" t="s">
        <v>133</v>
      </c>
      <c r="C220" s="169" t="s">
        <v>2070</v>
      </c>
      <c r="D220" s="170" t="s">
        <v>2070</v>
      </c>
      <c r="E220" s="168" t="s">
        <v>288</v>
      </c>
      <c r="F220" s="168" t="s">
        <v>2069</v>
      </c>
      <c r="G220" s="168" t="s">
        <v>142</v>
      </c>
      <c r="H220" s="171" t="s">
        <v>2071</v>
      </c>
      <c r="I220" s="172" t="s">
        <v>2072</v>
      </c>
      <c r="J220" s="172" t="s">
        <v>2073</v>
      </c>
      <c r="K220" s="173" t="s">
        <v>2074</v>
      </c>
      <c r="L220" s="173" t="s">
        <v>2075</v>
      </c>
      <c r="M220" s="173" t="s">
        <v>2076</v>
      </c>
      <c r="N220" s="173" t="s">
        <v>2077</v>
      </c>
      <c r="O220" s="173" t="s">
        <v>2078</v>
      </c>
      <c r="P220" s="174" t="s">
        <v>151</v>
      </c>
      <c r="Q220" s="175" t="s">
        <v>2079</v>
      </c>
      <c r="R220" s="168" t="str">
        <f ca="1">IF(ISERROR($V220),"",OFFSET('Smelter Look-up'!$C$4,$V220-4,0)&amp;"")</f>
        <v>TOO Tau-Ken-Altyn</v>
      </c>
      <c r="S220" s="167" t="str">
        <f t="shared" ca="1" si="30"/>
        <v>KZ</v>
      </c>
      <c r="T220" s="167" t="str">
        <f ca="1">IF(B220="","",IF(ISERROR(MATCH($J220,SorP!$B$1:$B$6230,0)),"",INDIRECT("'SorP'!$A$"&amp;MATCH($J220,SorP!$B$1:$B$6230,0))))</f>
        <v>KZ-ALA</v>
      </c>
      <c r="U220" s="176"/>
      <c r="V220" s="177">
        <f>IF(C220="",NA(),IF(OR(C220="Smelter not listed",C220="Smelter not yet identified"),MATCH($B220&amp;$D220,'Smelter Look-up'!$J:$J,0),MATCH($B220&amp;$C220,'Smelter Look-up'!$J:$J,0)))</f>
        <v>287</v>
      </c>
      <c r="X220" s="140">
        <f t="shared" si="31"/>
        <v>0</v>
      </c>
      <c r="AB220" s="178" t="str">
        <f t="shared" si="32"/>
        <v>GoldTOO Tau-Ken-Altyn</v>
      </c>
    </row>
    <row r="221" spans="1:28" s="140" customFormat="1" ht="409.5">
      <c r="A221" s="167" t="s">
        <v>2080</v>
      </c>
      <c r="B221" s="168" t="s">
        <v>133</v>
      </c>
      <c r="C221" s="169" t="s">
        <v>2081</v>
      </c>
      <c r="D221" s="170" t="s">
        <v>2081</v>
      </c>
      <c r="E221" s="168" t="s">
        <v>155</v>
      </c>
      <c r="F221" s="168" t="s">
        <v>2080</v>
      </c>
      <c r="G221" s="168" t="s">
        <v>142</v>
      </c>
      <c r="H221" s="171" t="s">
        <v>2082</v>
      </c>
      <c r="I221" s="172" t="s">
        <v>2083</v>
      </c>
      <c r="J221" s="172" t="s">
        <v>265</v>
      </c>
      <c r="K221" s="173" t="s">
        <v>2084</v>
      </c>
      <c r="L221" s="173" t="s">
        <v>2085</v>
      </c>
      <c r="M221" s="173" t="s">
        <v>2086</v>
      </c>
      <c r="N221" s="173" t="s">
        <v>2087</v>
      </c>
      <c r="O221" s="173" t="s">
        <v>2088</v>
      </c>
      <c r="P221" s="174" t="s">
        <v>164</v>
      </c>
      <c r="Q221" s="175" t="s">
        <v>2089</v>
      </c>
      <c r="R221" s="168" t="str">
        <f ca="1">IF(ISERROR($V221),"",OFFSET('Smelter Look-up'!$C$4,$V221-4,0)&amp;"")</f>
        <v>Tokuriki Honten Co., Ltd.</v>
      </c>
      <c r="S221" s="167" t="str">
        <f t="shared" ca="1" si="30"/>
        <v>JP</v>
      </c>
      <c r="T221" s="167" t="str">
        <f ca="1">IF(B221="","",IF(ISERROR(MATCH($J221,SorP!$B$1:$B$6230,0)),"",INDIRECT("'SorP'!$A$"&amp;MATCH($J221,SorP!$B$1:$B$6230,0))))</f>
        <v>JP-11</v>
      </c>
      <c r="U221" s="176"/>
      <c r="V221" s="177">
        <f>IF(C221="",NA(),IF(OR(C221="Smelter not listed",C221="Smelter not yet identified"),MATCH($B221&amp;$D221,'Smelter Look-up'!$J:$J,0),MATCH($B221&amp;$C221,'Smelter Look-up'!$J:$J,0)))</f>
        <v>283</v>
      </c>
      <c r="X221" s="140">
        <f t="shared" si="31"/>
        <v>0</v>
      </c>
      <c r="AB221" s="178" t="str">
        <f t="shared" si="32"/>
        <v>GoldTokuriki Honten Co., Ltd.</v>
      </c>
    </row>
    <row r="222" spans="1:28" s="140" customFormat="1" ht="293.25">
      <c r="A222" s="167" t="s">
        <v>2090</v>
      </c>
      <c r="B222" s="168" t="s">
        <v>133</v>
      </c>
      <c r="C222" s="169" t="s">
        <v>2091</v>
      </c>
      <c r="D222" s="170" t="s">
        <v>2091</v>
      </c>
      <c r="E222" s="168" t="s">
        <v>192</v>
      </c>
      <c r="F222" s="168" t="s">
        <v>2090</v>
      </c>
      <c r="G222" s="168" t="s">
        <v>142</v>
      </c>
      <c r="H222" s="171" t="s">
        <v>2092</v>
      </c>
      <c r="I222" s="172" t="s">
        <v>2093</v>
      </c>
      <c r="J222" s="172" t="s">
        <v>2094</v>
      </c>
      <c r="K222" s="173" t="s">
        <v>2095</v>
      </c>
      <c r="L222" s="173" t="s">
        <v>2096</v>
      </c>
      <c r="M222" s="173" t="s">
        <v>173</v>
      </c>
      <c r="N222" s="173" t="s">
        <v>174</v>
      </c>
      <c r="O222" s="173" t="s">
        <v>2097</v>
      </c>
      <c r="P222" s="174" t="s">
        <v>175</v>
      </c>
      <c r="Q222" s="175" t="s">
        <v>196</v>
      </c>
      <c r="R222" s="168" t="str">
        <f ca="1">IF(ISERROR($V222),"",OFFSET('Smelter Look-up'!$C$4,$V222-4,0)&amp;"")</f>
        <v>Tongling Nonferrous Metals Group Co., Ltd.</v>
      </c>
      <c r="S222" s="167" t="str">
        <f t="shared" ca="1" si="30"/>
        <v>CN</v>
      </c>
      <c r="T222" s="167" t="str">
        <f ca="1">IF(B222="","",IF(ISERROR(MATCH($J222,SorP!$B$1:$B$6230,0)),"",INDIRECT("'SorP'!$A$"&amp;MATCH($J222,SorP!$B$1:$B$6230,0))))</f>
        <v>CN-AH</v>
      </c>
      <c r="U222" s="176"/>
      <c r="V222" s="177">
        <f>IF(C222="",NA(),IF(OR(C222="Smelter not listed",C222="Smelter not yet identified"),MATCH($B222&amp;$D222,'Smelter Look-up'!$J:$J,0),MATCH($B222&amp;$C222,'Smelter Look-up'!$J:$J,0)))</f>
        <v>284</v>
      </c>
      <c r="X222" s="140">
        <f t="shared" si="31"/>
        <v>0</v>
      </c>
      <c r="AB222" s="178" t="str">
        <f t="shared" si="32"/>
        <v>GoldTongling Nonferrous Metals Group Co., Ltd.</v>
      </c>
    </row>
    <row r="223" spans="1:28" s="140" customFormat="1" ht="409.5">
      <c r="A223" s="167" t="s">
        <v>2098</v>
      </c>
      <c r="B223" s="168" t="s">
        <v>133</v>
      </c>
      <c r="C223" s="169" t="s">
        <v>2099</v>
      </c>
      <c r="D223" s="170" t="s">
        <v>2100</v>
      </c>
      <c r="E223" s="168" t="s">
        <v>443</v>
      </c>
      <c r="F223" s="168" t="s">
        <v>2098</v>
      </c>
      <c r="G223" s="168" t="s">
        <v>142</v>
      </c>
      <c r="H223" s="171" t="s">
        <v>2101</v>
      </c>
      <c r="I223" s="172" t="s">
        <v>2102</v>
      </c>
      <c r="J223" s="172" t="s">
        <v>445</v>
      </c>
      <c r="K223" s="173" t="s">
        <v>2103</v>
      </c>
      <c r="L223" s="173" t="s">
        <v>2104</v>
      </c>
      <c r="M223" s="173" t="s">
        <v>2105</v>
      </c>
      <c r="N223" s="173" t="s">
        <v>2106</v>
      </c>
      <c r="O223" s="173" t="s">
        <v>2107</v>
      </c>
      <c r="P223" s="174" t="s">
        <v>151</v>
      </c>
      <c r="Q223" s="175" t="s">
        <v>2108</v>
      </c>
      <c r="R223" s="168" t="str">
        <f ca="1">IF(ISERROR($V223),"",OFFSET('Smelter Look-up'!$C$4,$V223-4,0)&amp;"")</f>
        <v/>
      </c>
      <c r="S223" s="167" t="str">
        <f t="shared" ca="1" si="30"/>
        <v>CH</v>
      </c>
      <c r="T223" s="167" t="str">
        <f ca="1">IF(B223="","",IF(ISERROR(MATCH($J223,SorP!$B$1:$B$6230,0)),"",INDIRECT("'SorP'!$A$"&amp;MATCH($J223,SorP!$B$1:$B$6230,0))))</f>
        <v>CH-TI</v>
      </c>
      <c r="U223" s="176"/>
      <c r="V223" s="177" t="e">
        <f>IF(C223="",NA(),IF(OR(C223="Smelter not listed",C223="Smelter not yet identified"),MATCH($B223&amp;$D223,'Smelter Look-up'!$J:$J,0),MATCH($B223&amp;$C223,'Smelter Look-up'!$J:$J,0)))</f>
        <v>#N/A</v>
      </c>
      <c r="X223" s="140">
        <f t="shared" si="31"/>
        <v>0</v>
      </c>
      <c r="AB223" s="178" t="str">
        <f t="shared" si="32"/>
        <v>GoldValcambi SA</v>
      </c>
    </row>
    <row r="224" spans="1:28" s="140" customFormat="1" ht="38.25">
      <c r="A224" s="167" t="s">
        <v>2109</v>
      </c>
      <c r="B224" s="168" t="s">
        <v>133</v>
      </c>
      <c r="C224" s="169" t="s">
        <v>2110</v>
      </c>
      <c r="D224" s="170" t="s">
        <v>2110</v>
      </c>
      <c r="E224" s="168" t="s">
        <v>931</v>
      </c>
      <c r="F224" s="168" t="s">
        <v>2109</v>
      </c>
      <c r="G224" s="168" t="s">
        <v>142</v>
      </c>
      <c r="H224" s="171" t="s">
        <v>114</v>
      </c>
      <c r="I224" s="172" t="s">
        <v>933</v>
      </c>
      <c r="J224" s="172" t="s">
        <v>1793</v>
      </c>
      <c r="K224" s="173"/>
      <c r="L224" s="173"/>
      <c r="M224" s="173"/>
      <c r="N224" s="173" t="s">
        <v>121</v>
      </c>
      <c r="O224" s="173" t="s">
        <v>475</v>
      </c>
      <c r="P224" s="174" t="s">
        <v>121</v>
      </c>
      <c r="Q224" s="175" t="s">
        <v>196</v>
      </c>
      <c r="R224" s="168" t="str">
        <f ca="1">IF(ISERROR($V224),"",OFFSET('Smelter Look-up'!$C$4,$V224-4,0)&amp;"")</f>
        <v>Value Trading</v>
      </c>
      <c r="S224" s="167" t="str">
        <f t="shared" ca="1" si="30"/>
        <v>BE</v>
      </c>
      <c r="T224" s="167" t="str">
        <f ca="1">IF(B224="","",IF(ISERROR(MATCH($J224,SorP!$B$1:$B$6230,0)),"",INDIRECT("'SorP'!$A$"&amp;MATCH($J224,SorP!$B$1:$B$6230,0))))</f>
        <v>BE-VAN</v>
      </c>
      <c r="U224" s="176"/>
      <c r="V224" s="177">
        <f>IF(C224="",NA(),IF(OR(C224="Smelter not listed",C224="Smelter not yet identified"),MATCH($B224&amp;$D224,'Smelter Look-up'!$J:$J,0),MATCH($B224&amp;$C224,'Smelter Look-up'!$J:$J,0)))</f>
        <v>296</v>
      </c>
      <c r="X224" s="140">
        <f t="shared" si="31"/>
        <v>0</v>
      </c>
      <c r="AB224" s="178" t="str">
        <f t="shared" si="32"/>
        <v>GoldValue Trading</v>
      </c>
    </row>
    <row r="225" spans="1:28" s="140" customFormat="1" ht="89.25">
      <c r="A225" s="167" t="s">
        <v>2111</v>
      </c>
      <c r="B225" s="168" t="s">
        <v>133</v>
      </c>
      <c r="C225" s="169" t="s">
        <v>2112</v>
      </c>
      <c r="D225" s="170" t="s">
        <v>2113</v>
      </c>
      <c r="E225" s="168" t="s">
        <v>192</v>
      </c>
      <c r="F225" s="168" t="s">
        <v>2111</v>
      </c>
      <c r="G225" s="168" t="s">
        <v>142</v>
      </c>
      <c r="H225" s="171" t="s">
        <v>114</v>
      </c>
      <c r="I225" s="172" t="s">
        <v>196</v>
      </c>
      <c r="J225" s="172" t="s">
        <v>196</v>
      </c>
      <c r="K225" s="173"/>
      <c r="L225" s="173"/>
      <c r="M225" s="173"/>
      <c r="N225" s="173" t="s">
        <v>121</v>
      </c>
      <c r="O225" s="173" t="s">
        <v>121</v>
      </c>
      <c r="P225" s="174" t="s">
        <v>121</v>
      </c>
      <c r="Q225" s="175"/>
      <c r="R225" s="168" t="str">
        <f ca="1">IF(ISERROR($V225),"",OFFSET('Smelter Look-up'!$C$4,$V225-4,0)&amp;"")</f>
        <v/>
      </c>
      <c r="S225" s="167" t="str">
        <f t="shared" ca="1" si="30"/>
        <v>CN</v>
      </c>
      <c r="T225" s="167" t="str">
        <f ca="1">IF(B225="","",IF(ISERROR(MATCH($J225,SorP!$B$1:$B$6230,0)),"",INDIRECT("'SorP'!$A$"&amp;MATCH($J225,SorP!$B$1:$B$6230,0))))</f>
        <v/>
      </c>
      <c r="U225" s="176"/>
      <c r="V225" s="177" t="e">
        <f>IF(C225="",NA(),IF(OR(C225="Smelter not listed",C225="Smelter not yet identified"),MATCH($B225&amp;$D225,'Smelter Look-up'!$J:$J,0),MATCH($B225&amp;$C225,'Smelter Look-up'!$J:$J,0)))</f>
        <v>#N/A</v>
      </c>
      <c r="X225" s="140">
        <f t="shared" si="31"/>
        <v>0</v>
      </c>
      <c r="AB225" s="178" t="str">
        <f t="shared" si="32"/>
        <v>GoldViagra Di precious metals (Zhaoyuan) Co., Ltd.</v>
      </c>
    </row>
    <row r="226" spans="1:28" s="140" customFormat="1" ht="25.5">
      <c r="A226" s="167" t="s">
        <v>2114</v>
      </c>
      <c r="B226" s="168" t="s">
        <v>133</v>
      </c>
      <c r="C226" s="169" t="s">
        <v>2115</v>
      </c>
      <c r="D226" s="170" t="s">
        <v>2116</v>
      </c>
      <c r="E226" s="168" t="s">
        <v>192</v>
      </c>
      <c r="F226" s="168" t="s">
        <v>2114</v>
      </c>
      <c r="G226" s="168" t="s">
        <v>142</v>
      </c>
      <c r="H226" s="171" t="s">
        <v>114</v>
      </c>
      <c r="I226" s="172" t="s">
        <v>196</v>
      </c>
      <c r="J226" s="172" t="s">
        <v>196</v>
      </c>
      <c r="K226" s="173"/>
      <c r="L226" s="173"/>
      <c r="M226" s="173"/>
      <c r="N226" s="173" t="s">
        <v>121</v>
      </c>
      <c r="O226" s="173" t="s">
        <v>121</v>
      </c>
      <c r="P226" s="174" t="s">
        <v>121</v>
      </c>
      <c r="Q226" s="175"/>
      <c r="R226" s="168" t="str">
        <f ca="1">IF(ISERROR($V226),"",OFFSET('Smelter Look-up'!$C$4,$V226-4,0)&amp;"")</f>
        <v/>
      </c>
      <c r="S226" s="167" t="str">
        <f t="shared" ca="1" si="30"/>
        <v>CN</v>
      </c>
      <c r="T226" s="167" t="str">
        <f ca="1">IF(B226="","",IF(ISERROR(MATCH($J226,SorP!$B$1:$B$6230,0)),"",INDIRECT("'SorP'!$A$"&amp;MATCH($J226,SorP!$B$1:$B$6230,0))))</f>
        <v/>
      </c>
      <c r="U226" s="176"/>
      <c r="V226" s="177" t="e">
        <f>IF(C226="",NA(),IF(OR(C226="Smelter not listed",C226="Smelter not yet identified"),MATCH($B226&amp;$D226,'Smelter Look-up'!$J:$J,0),MATCH($B226&amp;$C226,'Smelter Look-up'!$J:$J,0)))</f>
        <v>#N/A</v>
      </c>
      <c r="X226" s="140">
        <f t="shared" si="31"/>
        <v>0</v>
      </c>
      <c r="AB226" s="178" t="str">
        <f t="shared" si="32"/>
        <v>GoldWANG TING</v>
      </c>
    </row>
    <row r="227" spans="1:28" s="140" customFormat="1" ht="38.25">
      <c r="A227" s="167" t="s">
        <v>2117</v>
      </c>
      <c r="B227" s="168" t="s">
        <v>133</v>
      </c>
      <c r="C227" s="169" t="s">
        <v>2118</v>
      </c>
      <c r="D227" s="170" t="s">
        <v>2118</v>
      </c>
      <c r="E227" s="168" t="s">
        <v>864</v>
      </c>
      <c r="F227" s="168" t="s">
        <v>2117</v>
      </c>
      <c r="G227" s="168" t="s">
        <v>142</v>
      </c>
      <c r="H227" s="171" t="s">
        <v>114</v>
      </c>
      <c r="I227" s="172" t="s">
        <v>2119</v>
      </c>
      <c r="J227" s="172" t="s">
        <v>2120</v>
      </c>
      <c r="K227" s="173" t="s">
        <v>2121</v>
      </c>
      <c r="L227" s="173" t="s">
        <v>2121</v>
      </c>
      <c r="M227" s="173" t="s">
        <v>219</v>
      </c>
      <c r="N227" s="173" t="s">
        <v>121</v>
      </c>
      <c r="O227" s="173" t="s">
        <v>475</v>
      </c>
      <c r="P227" s="174" t="s">
        <v>121</v>
      </c>
      <c r="Q227" s="175" t="s">
        <v>2122</v>
      </c>
      <c r="R227" s="168" t="str">
        <f ca="1">IF(ISERROR($V227),"",OFFSET('Smelter Look-up'!$C$4,$V227-4,0)&amp;"")</f>
        <v>WEEEREFINING</v>
      </c>
      <c r="S227" s="167" t="str">
        <f t="shared" ca="1" si="30"/>
        <v>FR</v>
      </c>
      <c r="T227" s="167" t="str">
        <f ca="1">IF(B227="","",IF(ISERROR(MATCH($J227,SorP!$B$1:$B$6230,0)),"",INDIRECT("'SorP'!$A$"&amp;MATCH($J227,SorP!$B$1:$B$6230,0))))</f>
        <v>FR-NOR</v>
      </c>
      <c r="U227" s="176"/>
      <c r="V227" s="177">
        <f>IF(C227="",NA(),IF(OR(C227="Smelter not listed",C227="Smelter not yet identified"),MATCH($B227&amp;$D227,'Smelter Look-up'!$J:$J,0),MATCH($B227&amp;$C227,'Smelter Look-up'!$J:$J,0)))</f>
        <v>297</v>
      </c>
      <c r="X227" s="140">
        <f t="shared" si="31"/>
        <v>0</v>
      </c>
      <c r="AB227" s="178" t="str">
        <f t="shared" si="32"/>
        <v>GoldWEEEREFINING</v>
      </c>
    </row>
    <row r="228" spans="1:28" s="140" customFormat="1" ht="409.5">
      <c r="A228" s="167" t="s">
        <v>2124</v>
      </c>
      <c r="B228" s="168" t="s">
        <v>130</v>
      </c>
      <c r="C228" s="169" t="s">
        <v>2125</v>
      </c>
      <c r="D228" s="170" t="s">
        <v>2125</v>
      </c>
      <c r="E228" s="168" t="s">
        <v>192</v>
      </c>
      <c r="F228" s="168" t="s">
        <v>2124</v>
      </c>
      <c r="G228" s="168" t="s">
        <v>142</v>
      </c>
      <c r="H228" s="171" t="s">
        <v>2126</v>
      </c>
      <c r="I228" s="172" t="s">
        <v>2127</v>
      </c>
      <c r="J228" s="172" t="s">
        <v>771</v>
      </c>
      <c r="K228" s="173" t="s">
        <v>2128</v>
      </c>
      <c r="L228" s="173" t="s">
        <v>2129</v>
      </c>
      <c r="M228" s="173" t="s">
        <v>2130</v>
      </c>
      <c r="N228" s="173" t="s">
        <v>2131</v>
      </c>
      <c r="O228" s="173" t="s">
        <v>2132</v>
      </c>
      <c r="P228" s="174" t="s">
        <v>715</v>
      </c>
      <c r="Q228" s="175" t="s">
        <v>2133</v>
      </c>
      <c r="R228" s="168" t="str">
        <f ca="1">IF(ISERROR($V228),"",OFFSET('Smelter Look-up'!$C$4,$V228-4,0)&amp;"")</f>
        <v>Jiangxi Dinghai Tantalum &amp; Niobium Co., Ltd.</v>
      </c>
      <c r="S228" s="167" t="str">
        <f t="shared" ca="1" si="30"/>
        <v>CN</v>
      </c>
      <c r="T228" s="167" t="str">
        <f ca="1">IF(B228="","",IF(ISERROR(MATCH($J228,SorP!$B$1:$B$6230,0)),"",INDIRECT("'SorP'!$A$"&amp;MATCH($J228,SorP!$B$1:$B$6230,0))))</f>
        <v>CN-JX</v>
      </c>
      <c r="U228" s="176"/>
      <c r="V228" s="177">
        <f>IF(C228="",NA(),IF(OR(C228="Smelter not listed",C228="Smelter not yet identified"),MATCH($B228&amp;$D228,'Smelter Look-up'!$J:$J,0),MATCH($B228&amp;$C228,'Smelter Look-up'!$J:$J,0)))</f>
        <v>342</v>
      </c>
      <c r="X228" s="140">
        <f t="shared" si="31"/>
        <v>0</v>
      </c>
      <c r="AB228" s="178" t="str">
        <f t="shared" si="32"/>
        <v>TantalumJiangxi Dinghai Tantalum &amp; Niobium Co., Ltd.</v>
      </c>
    </row>
    <row r="229" spans="1:28" s="140" customFormat="1" ht="409.5">
      <c r="A229" s="167" t="s">
        <v>2134</v>
      </c>
      <c r="B229" s="168" t="s">
        <v>130</v>
      </c>
      <c r="C229" s="169" t="s">
        <v>2135</v>
      </c>
      <c r="D229" s="170" t="s">
        <v>2135</v>
      </c>
      <c r="E229" s="168" t="s">
        <v>192</v>
      </c>
      <c r="F229" s="168" t="s">
        <v>2134</v>
      </c>
      <c r="G229" s="168" t="s">
        <v>142</v>
      </c>
      <c r="H229" s="171" t="s">
        <v>2136</v>
      </c>
      <c r="I229" s="172" t="s">
        <v>259</v>
      </c>
      <c r="J229" s="172" t="s">
        <v>771</v>
      </c>
      <c r="K229" s="173" t="s">
        <v>2137</v>
      </c>
      <c r="L229" s="173" t="s">
        <v>2138</v>
      </c>
      <c r="M229" s="173" t="s">
        <v>2139</v>
      </c>
      <c r="N229" s="173" t="s">
        <v>2140</v>
      </c>
      <c r="O229" s="173" t="s">
        <v>2141</v>
      </c>
      <c r="P229" s="174" t="s">
        <v>715</v>
      </c>
      <c r="Q229" s="175" t="s">
        <v>2142</v>
      </c>
      <c r="R229" s="168" t="str">
        <f ca="1">IF(ISERROR($V229),"",OFFSET('Smelter Look-up'!$C$4,$V229-4,0)&amp;"")</f>
        <v>Jiangxi Tuohong New Raw Material</v>
      </c>
      <c r="S229" s="167" t="str">
        <f t="shared" ca="1" si="30"/>
        <v>CN</v>
      </c>
      <c r="T229" s="167" t="str">
        <f ca="1">IF(B229="","",IF(ISERROR(MATCH($J229,SorP!$B$1:$B$6230,0)),"",INDIRECT("'SorP'!$A$"&amp;MATCH($J229,SorP!$B$1:$B$6230,0))))</f>
        <v>CN-JX</v>
      </c>
      <c r="U229" s="176"/>
      <c r="V229" s="177">
        <f>IF(C229="",NA(),IF(OR(C229="Smelter not listed",C229="Smelter not yet identified"),MATCH($B229&amp;$D229,'Smelter Look-up'!$J:$J,0),MATCH($B229&amp;$C229,'Smelter Look-up'!$J:$J,0)))</f>
        <v>343</v>
      </c>
      <c r="X229" s="140">
        <f t="shared" si="31"/>
        <v>0</v>
      </c>
      <c r="AB229" s="178" t="str">
        <f t="shared" si="32"/>
        <v>TantalumJiangxi Tuohong New Raw Material</v>
      </c>
    </row>
    <row r="230" spans="1:28" s="140" customFormat="1" ht="409.5">
      <c r="A230" s="167" t="s">
        <v>2143</v>
      </c>
      <c r="B230" s="168" t="s">
        <v>130</v>
      </c>
      <c r="C230" s="169" t="s">
        <v>2144</v>
      </c>
      <c r="D230" s="170" t="s">
        <v>2144</v>
      </c>
      <c r="E230" s="168" t="s">
        <v>192</v>
      </c>
      <c r="F230" s="168" t="s">
        <v>2143</v>
      </c>
      <c r="G230" s="168" t="s">
        <v>142</v>
      </c>
      <c r="H230" s="171" t="s">
        <v>2145</v>
      </c>
      <c r="I230" s="172" t="s">
        <v>770</v>
      </c>
      <c r="J230" s="172" t="s">
        <v>771</v>
      </c>
      <c r="K230" s="173" t="s">
        <v>2146</v>
      </c>
      <c r="L230" s="173" t="s">
        <v>2147</v>
      </c>
      <c r="M230" s="173" t="s">
        <v>2148</v>
      </c>
      <c r="N230" s="173" t="s">
        <v>2149</v>
      </c>
      <c r="O230" s="173" t="s">
        <v>2150</v>
      </c>
      <c r="P230" s="174" t="s">
        <v>715</v>
      </c>
      <c r="Q230" s="175" t="s">
        <v>2151</v>
      </c>
      <c r="R230" s="168" t="str">
        <f ca="1">IF(ISERROR($V230),"",OFFSET('Smelter Look-up'!$C$4,$V230-4,0)&amp;"")</f>
        <v>JiuJiang JinXin Nonferrous Metals Co., Ltd.</v>
      </c>
      <c r="S230" s="167" t="str">
        <f t="shared" ca="1" si="30"/>
        <v>CN</v>
      </c>
      <c r="T230" s="167" t="str">
        <f ca="1">IF(B230="","",IF(ISERROR(MATCH($J230,SorP!$B$1:$B$6230,0)),"",INDIRECT("'SorP'!$A$"&amp;MATCH($J230,SorP!$B$1:$B$6230,0))))</f>
        <v>CN-JX</v>
      </c>
      <c r="U230" s="176"/>
      <c r="V230" s="177">
        <f>IF(C230="",NA(),IF(OR(C230="Smelter not listed",C230="Smelter not yet identified"),MATCH($B230&amp;$D230,'Smelter Look-up'!$J:$J,0),MATCH($B230&amp;$C230,'Smelter Look-up'!$J:$J,0)))</f>
        <v>344</v>
      </c>
      <c r="X230" s="140">
        <f t="shared" si="31"/>
        <v>0</v>
      </c>
      <c r="AB230" s="178" t="str">
        <f t="shared" si="32"/>
        <v>TantalumJiuJiang JinXin Nonferrous Metals Co., Ltd.</v>
      </c>
    </row>
    <row r="231" spans="1:28" s="140" customFormat="1" ht="127.5">
      <c r="A231" s="167" t="s">
        <v>2152</v>
      </c>
      <c r="B231" s="168" t="s">
        <v>131</v>
      </c>
      <c r="C231" s="169" t="s">
        <v>2153</v>
      </c>
      <c r="D231" s="170" t="s">
        <v>2153</v>
      </c>
      <c r="E231" s="168" t="s">
        <v>192</v>
      </c>
      <c r="F231" s="168" t="s">
        <v>2152</v>
      </c>
      <c r="G231" s="168" t="s">
        <v>142</v>
      </c>
      <c r="H231" s="171" t="s">
        <v>2154</v>
      </c>
      <c r="I231" s="172" t="s">
        <v>2155</v>
      </c>
      <c r="J231" s="172" t="s">
        <v>382</v>
      </c>
      <c r="K231" s="173" t="s">
        <v>2156</v>
      </c>
      <c r="L231" s="173" t="s">
        <v>2157</v>
      </c>
      <c r="M231" s="173"/>
      <c r="N231" s="173" t="s">
        <v>2158</v>
      </c>
      <c r="O231" s="173" t="s">
        <v>2159</v>
      </c>
      <c r="P231" s="174" t="s">
        <v>175</v>
      </c>
      <c r="Q231" s="175" t="s">
        <v>196</v>
      </c>
      <c r="R231" s="168" t="str">
        <f ca="1">IF(ISERROR($V231),"",OFFSET('Smelter Look-up'!$C$4,$V231-4,0)&amp;"")</f>
        <v>Dongguan CiEXPO Environmental Engineering Co., Ltd.</v>
      </c>
      <c r="S231" s="167" t="str">
        <f t="shared" ca="1" si="30"/>
        <v>CN</v>
      </c>
      <c r="T231" s="167" t="str">
        <f ca="1">IF(B231="","",IF(ISERROR(MATCH($J231,SorP!$B$1:$B$6230,0)),"",INDIRECT("'SorP'!$A$"&amp;MATCH($J231,SorP!$B$1:$B$6230,0))))</f>
        <v>CN-GD</v>
      </c>
      <c r="U231" s="176"/>
      <c r="V231" s="177">
        <f>IF(C231="",NA(),IF(OR(C231="Smelter not listed",C231="Smelter not yet identified"),MATCH($B231&amp;$D231,'Smelter Look-up'!$J:$J,0),MATCH($B231&amp;$C231,'Smelter Look-up'!$J:$J,0)))</f>
        <v>413</v>
      </c>
      <c r="X231" s="140">
        <f t="shared" si="31"/>
        <v>0</v>
      </c>
      <c r="AB231" s="178" t="str">
        <f t="shared" si="32"/>
        <v>TinDongguan CiEXPO Environmental Engineering Co., Ltd.</v>
      </c>
    </row>
    <row r="232" spans="1:28" s="140" customFormat="1" ht="409.5">
      <c r="A232" s="167" t="s">
        <v>2160</v>
      </c>
      <c r="B232" s="168" t="s">
        <v>131</v>
      </c>
      <c r="C232" s="169" t="s">
        <v>1291</v>
      </c>
      <c r="D232" s="170" t="s">
        <v>1426</v>
      </c>
      <c r="E232" s="168" t="s">
        <v>155</v>
      </c>
      <c r="F232" s="168" t="s">
        <v>2160</v>
      </c>
      <c r="G232" s="168" t="s">
        <v>142</v>
      </c>
      <c r="H232" s="171" t="s">
        <v>2161</v>
      </c>
      <c r="I232" s="172" t="s">
        <v>277</v>
      </c>
      <c r="J232" s="172" t="s">
        <v>277</v>
      </c>
      <c r="K232" s="173" t="s">
        <v>2162</v>
      </c>
      <c r="L232" s="173" t="s">
        <v>2163</v>
      </c>
      <c r="M232" s="173" t="s">
        <v>2164</v>
      </c>
      <c r="N232" s="173" t="s">
        <v>2165</v>
      </c>
      <c r="O232" s="173" t="s">
        <v>2166</v>
      </c>
      <c r="P232" s="174" t="s">
        <v>164</v>
      </c>
      <c r="Q232" s="175" t="s">
        <v>2167</v>
      </c>
      <c r="R232" s="168" t="str">
        <f ca="1">IF(ISERROR($V232),"",OFFSET('Smelter Look-up'!$C$4,$V232-4,0)&amp;"")</f>
        <v>PT Babel Surya Alam Lestari</v>
      </c>
      <c r="S232" s="167" t="str">
        <f t="shared" ca="1" si="30"/>
        <v>JP</v>
      </c>
      <c r="T232" s="167" t="str">
        <f ca="1">IF(B232="","",IF(ISERROR(MATCH($J232,SorP!$B$1:$B$6230,0)),"",INDIRECT("'SorP'!$A$"&amp;MATCH($J232,SorP!$B$1:$B$6230,0))))</f>
        <v>JP-13</v>
      </c>
      <c r="U232" s="176"/>
      <c r="V232" s="177">
        <f>IF(C232="",NA(),IF(OR(C232="Smelter not listed",C232="Smelter not yet identified"),MATCH($B232&amp;$D232,'Smelter Look-up'!$J:$J,0),MATCH($B232&amp;$C232,'Smelter Look-up'!$J:$J,0)))</f>
        <v>487</v>
      </c>
      <c r="X232" s="140">
        <f t="shared" si="31"/>
        <v>0</v>
      </c>
      <c r="AB232" s="178" t="str">
        <f t="shared" si="32"/>
        <v>TinPT Babel Surya Alam Lestari</v>
      </c>
    </row>
    <row r="233" spans="1:28" s="140" customFormat="1" ht="242.25">
      <c r="A233" s="167" t="s">
        <v>2168</v>
      </c>
      <c r="B233" s="168" t="s">
        <v>131</v>
      </c>
      <c r="C233" s="169" t="s">
        <v>1974</v>
      </c>
      <c r="D233" s="170" t="s">
        <v>1974</v>
      </c>
      <c r="E233" s="168" t="s">
        <v>583</v>
      </c>
      <c r="F233" s="168" t="s">
        <v>2168</v>
      </c>
      <c r="G233" s="168" t="s">
        <v>142</v>
      </c>
      <c r="H233" s="171" t="s">
        <v>1975</v>
      </c>
      <c r="I233" s="172" t="s">
        <v>1976</v>
      </c>
      <c r="J233" s="172" t="s">
        <v>1977</v>
      </c>
      <c r="K233" s="173" t="s">
        <v>1978</v>
      </c>
      <c r="L233" s="173" t="s">
        <v>1979</v>
      </c>
      <c r="M233" s="173"/>
      <c r="N233" s="173" t="s">
        <v>2169</v>
      </c>
      <c r="O233" s="173" t="s">
        <v>2170</v>
      </c>
      <c r="P233" s="174" t="s">
        <v>1279</v>
      </c>
      <c r="Q233" s="175" t="s">
        <v>196</v>
      </c>
      <c r="R233" s="168" t="str">
        <f ca="1">IF(ISERROR($V233),"",OFFSET('Smelter Look-up'!$C$4,$V233-4,0)&amp;"")</f>
        <v>Modeltech Sdn Bhd</v>
      </c>
      <c r="S233" s="167" t="str">
        <f t="shared" ca="1" si="30"/>
        <v>MY</v>
      </c>
      <c r="T233" s="167" t="str">
        <f ca="1">IF(B233="","",IF(ISERROR(MATCH($J233,SorP!$B$1:$B$6230,0)),"",INDIRECT("'SorP'!$A$"&amp;MATCH($J233,SorP!$B$1:$B$6230,0))))</f>
        <v>MY-04</v>
      </c>
      <c r="U233" s="176"/>
      <c r="V233" s="177">
        <f>IF(C233="",NA(),IF(OR(C233="Smelter not listed",C233="Smelter not yet identified"),MATCH($B233&amp;$D233,'Smelter Look-up'!$J:$J,0),MATCH($B233&amp;$C233,'Smelter Look-up'!$J:$J,0)))</f>
        <v>470</v>
      </c>
      <c r="X233" s="140">
        <f t="shared" si="31"/>
        <v>0</v>
      </c>
      <c r="AB233" s="178" t="str">
        <f t="shared" si="32"/>
        <v>TinModeltech Sdn Bhd</v>
      </c>
    </row>
    <row r="234" spans="1:28" s="140" customFormat="1" ht="344.25">
      <c r="A234" s="167" t="s">
        <v>2174</v>
      </c>
      <c r="B234" s="168" t="s">
        <v>131</v>
      </c>
      <c r="C234" s="169" t="s">
        <v>2175</v>
      </c>
      <c r="D234" s="170" t="s">
        <v>2175</v>
      </c>
      <c r="E234" s="168" t="s">
        <v>1125</v>
      </c>
      <c r="F234" s="168" t="s">
        <v>2174</v>
      </c>
      <c r="G234" s="168" t="s">
        <v>142</v>
      </c>
      <c r="H234" s="171" t="s">
        <v>2176</v>
      </c>
      <c r="I234" s="172" t="s">
        <v>1126</v>
      </c>
      <c r="J234" s="172" t="s">
        <v>1127</v>
      </c>
      <c r="K234" s="173" t="s">
        <v>2177</v>
      </c>
      <c r="L234" s="173" t="s">
        <v>2178</v>
      </c>
      <c r="M234" s="173"/>
      <c r="N234" s="173" t="s">
        <v>229</v>
      </c>
      <c r="O234" s="173" t="s">
        <v>2179</v>
      </c>
      <c r="P234" s="174" t="s">
        <v>175</v>
      </c>
      <c r="Q234" s="175" t="s">
        <v>2021</v>
      </c>
      <c r="R234" s="168" t="str">
        <f ca="1">IF(ISERROR($V234),"",OFFSET('Smelter Look-up'!$C$4,$V234-4,0)&amp;"")</f>
        <v>Nghe Tinh Non-Ferrous Metals Joint Stock Company</v>
      </c>
      <c r="S234" s="167" t="str">
        <f t="shared" ca="1" si="30"/>
        <v>VN</v>
      </c>
      <c r="T234" s="167" t="str">
        <f ca="1">IF(B234="","",IF(ISERROR(MATCH($J234,SorP!$B$1:$B$6230,0)),"",INDIRECT("'SorP'!$A$"&amp;MATCH($J234,SorP!$B$1:$B$6230,0))))</f>
        <v>VN-22</v>
      </c>
      <c r="U234" s="176"/>
      <c r="V234" s="177">
        <f>IF(C234="",NA(),IF(OR(C234="Smelter not listed",C234="Smelter not yet identified"),MATCH($B234&amp;$D234,'Smelter Look-up'!$J:$J,0),MATCH($B234&amp;$C234,'Smelter Look-up'!$J:$J,0)))</f>
        <v>474</v>
      </c>
      <c r="X234" s="140">
        <f t="shared" si="31"/>
        <v>0</v>
      </c>
      <c r="AB234" s="178" t="str">
        <f t="shared" si="32"/>
        <v>TinNghe Tinh Non-Ferrous Metals Joint Stock Company</v>
      </c>
    </row>
    <row r="235" spans="1:28" s="140" customFormat="1" ht="51">
      <c r="A235" s="167" t="s">
        <v>2180</v>
      </c>
      <c r="B235" s="168" t="s">
        <v>131</v>
      </c>
      <c r="C235" s="169" t="s">
        <v>681</v>
      </c>
      <c r="D235" s="170" t="s">
        <v>681</v>
      </c>
      <c r="E235" s="168" t="s">
        <v>192</v>
      </c>
      <c r="F235" s="168" t="s">
        <v>2180</v>
      </c>
      <c r="G235" s="168" t="s">
        <v>114</v>
      </c>
      <c r="H235" s="171" t="s">
        <v>114</v>
      </c>
      <c r="I235" s="172"/>
      <c r="J235" s="172" t="s">
        <v>114</v>
      </c>
      <c r="K235" s="173"/>
      <c r="L235" s="173"/>
      <c r="M235" s="173"/>
      <c r="N235" s="173"/>
      <c r="O235" s="173"/>
      <c r="P235" s="174"/>
      <c r="Q235" s="175"/>
      <c r="R235" s="168" t="str">
        <f ca="1">IF(ISERROR($V235),"",OFFSET('Smelter Look-up'!$C$4,$V235-4,0)&amp;"")</f>
        <v/>
      </c>
      <c r="S235" s="167" t="str">
        <f t="shared" ca="1" si="30"/>
        <v>CN</v>
      </c>
      <c r="T235" s="167" t="str">
        <f ca="1">IF(B235="","",IF(ISERROR(MATCH($J235,SorP!$B$1:$B$6230,0)),"",INDIRECT("'SorP'!$A$"&amp;MATCH($J235,SorP!$B$1:$B$6230,0))))</f>
        <v/>
      </c>
      <c r="U235" s="176"/>
      <c r="V235" s="177" t="e">
        <f>IF(C235="",NA(),IF(OR(C235="Smelter not listed",C235="Smelter not yet identified"),MATCH($B235&amp;$D235,'Smelter Look-up'!$J:$J,0),MATCH($B235&amp;$C235,'Smelter Look-up'!$J:$J,0)))</f>
        <v>#N/A</v>
      </c>
      <c r="X235" s="140">
        <f t="shared" si="31"/>
        <v>0</v>
      </c>
      <c r="AB235" s="178" t="str">
        <f t="shared" si="32"/>
        <v>TinNihon Superior Co., Ltd.</v>
      </c>
    </row>
    <row r="236" spans="1:28" s="140" customFormat="1" ht="409.5">
      <c r="A236" s="167" t="s">
        <v>2183</v>
      </c>
      <c r="B236" s="168" t="s">
        <v>131</v>
      </c>
      <c r="C236" s="169" t="s">
        <v>2184</v>
      </c>
      <c r="D236" s="170" t="s">
        <v>2184</v>
      </c>
      <c r="E236" s="168" t="s">
        <v>1047</v>
      </c>
      <c r="F236" s="168" t="s">
        <v>2183</v>
      </c>
      <c r="G236" s="168" t="s">
        <v>142</v>
      </c>
      <c r="H236" s="171" t="s">
        <v>2185</v>
      </c>
      <c r="I236" s="172" t="s">
        <v>2186</v>
      </c>
      <c r="J236" s="172" t="s">
        <v>2187</v>
      </c>
      <c r="K236" s="173" t="s">
        <v>2188</v>
      </c>
      <c r="L236" s="173" t="s">
        <v>2189</v>
      </c>
      <c r="M236" s="173" t="s">
        <v>2190</v>
      </c>
      <c r="N236" s="173" t="s">
        <v>2191</v>
      </c>
      <c r="O236" s="173" t="s">
        <v>2192</v>
      </c>
      <c r="P236" s="174" t="s">
        <v>164</v>
      </c>
      <c r="Q236" s="175" t="s">
        <v>2193</v>
      </c>
      <c r="R236" s="168" t="str">
        <f ca="1">IF(ISERROR($V236),"",OFFSET('Smelter Look-up'!$C$4,$V236-4,0)&amp;"")</f>
        <v>O.M. Manufacturing (Thailand) Co., Ltd.</v>
      </c>
      <c r="S236" s="167" t="str">
        <f t="shared" ca="1" si="30"/>
        <v>TH</v>
      </c>
      <c r="T236" s="167" t="str">
        <f ca="1">IF(B236="","",IF(ISERROR(MATCH($J236,SorP!$B$1:$B$6230,0)),"",INDIRECT("'SorP'!$A$"&amp;MATCH($J236,SorP!$B$1:$B$6230,0))))</f>
        <v>TH-20</v>
      </c>
      <c r="U236" s="176"/>
      <c r="V236" s="177">
        <f>IF(C236="",NA(),IF(OR(C236="Smelter not listed",C236="Smelter not yet identified"),MATCH($B236&amp;$D236,'Smelter Look-up'!$J:$J,0),MATCH($B236&amp;$C236,'Smelter Look-up'!$J:$J,0)))</f>
        <v>476</v>
      </c>
      <c r="X236" s="140">
        <f t="shared" si="31"/>
        <v>0</v>
      </c>
      <c r="AB236" s="178" t="str">
        <f t="shared" si="32"/>
        <v>TinO.M. Manufacturing (Thailand) Co., Ltd.</v>
      </c>
    </row>
    <row r="237" spans="1:28" s="140" customFormat="1" ht="229.5">
      <c r="A237" s="167" t="s">
        <v>2194</v>
      </c>
      <c r="B237" s="168" t="s">
        <v>133</v>
      </c>
      <c r="C237" s="169" t="s">
        <v>2195</v>
      </c>
      <c r="D237" s="170" t="s">
        <v>2195</v>
      </c>
      <c r="E237" s="168" t="s">
        <v>857</v>
      </c>
      <c r="F237" s="168" t="s">
        <v>2194</v>
      </c>
      <c r="G237" s="168" t="s">
        <v>142</v>
      </c>
      <c r="H237" s="171" t="s">
        <v>2196</v>
      </c>
      <c r="I237" s="172" t="s">
        <v>2197</v>
      </c>
      <c r="J237" s="172" t="s">
        <v>2198</v>
      </c>
      <c r="K237" s="173" t="s">
        <v>2199</v>
      </c>
      <c r="L237" s="173" t="s">
        <v>2200</v>
      </c>
      <c r="M237" s="173"/>
      <c r="N237" s="173" t="s">
        <v>174</v>
      </c>
      <c r="O237" s="173" t="s">
        <v>2201</v>
      </c>
      <c r="P237" s="174" t="s">
        <v>175</v>
      </c>
      <c r="Q237" s="175" t="s">
        <v>196</v>
      </c>
      <c r="R237" s="168" t="str">
        <f ca="1">IF(ISERROR($V237),"",OFFSET('Smelter Look-up'!$C$4,$V237-4,0)&amp;"")</f>
        <v>Morris and Watson</v>
      </c>
      <c r="S237" s="167" t="str">
        <f t="shared" ca="1" si="30"/>
        <v>NZ</v>
      </c>
      <c r="T237" s="167" t="str">
        <f ca="1">IF(B237="","",IF(ISERROR(MATCH($J237,SorP!$B$1:$B$6230,0)),"",INDIRECT("'SorP'!$A$"&amp;MATCH($J237,SorP!$B$1:$B$6230,0))))</f>
        <v>NZ-AUK</v>
      </c>
      <c r="U237" s="176"/>
      <c r="V237" s="177">
        <f>IF(C237="",NA(),IF(OR(C237="Smelter not listed",C237="Smelter not yet identified"),MATCH($B237&amp;$D237,'Smelter Look-up'!$J:$J,0),MATCH($B237&amp;$C237,'Smelter Look-up'!$J:$J,0)))</f>
        <v>187</v>
      </c>
      <c r="X237" s="140">
        <f t="shared" si="31"/>
        <v>0</v>
      </c>
      <c r="AB237" s="178" t="str">
        <f t="shared" si="32"/>
        <v>GoldMorris and Watson</v>
      </c>
    </row>
    <row r="238" spans="1:28" s="140" customFormat="1" ht="409.5">
      <c r="A238" s="167" t="s">
        <v>2205</v>
      </c>
      <c r="B238" s="168" t="s">
        <v>133</v>
      </c>
      <c r="C238" s="169" t="s">
        <v>2203</v>
      </c>
      <c r="D238" s="170" t="s">
        <v>2203</v>
      </c>
      <c r="E238" s="168" t="s">
        <v>459</v>
      </c>
      <c r="F238" s="168" t="s">
        <v>2205</v>
      </c>
      <c r="G238" s="168" t="s">
        <v>142</v>
      </c>
      <c r="H238" s="171" t="s">
        <v>2206</v>
      </c>
      <c r="I238" s="172" t="s">
        <v>2204</v>
      </c>
      <c r="J238" s="172" t="s">
        <v>953</v>
      </c>
      <c r="K238" s="173" t="s">
        <v>2207</v>
      </c>
      <c r="L238" s="173" t="s">
        <v>2208</v>
      </c>
      <c r="M238" s="173" t="s">
        <v>2209</v>
      </c>
      <c r="N238" s="173" t="s">
        <v>2210</v>
      </c>
      <c r="O238" s="173" t="s">
        <v>2211</v>
      </c>
      <c r="P238" s="174" t="s">
        <v>175</v>
      </c>
      <c r="Q238" s="175" t="s">
        <v>2212</v>
      </c>
      <c r="R238" s="168" t="str">
        <f ca="1">IF(ISERROR($V238),"",OFFSET('Smelter Look-up'!$C$4,$V238-4,0)&amp;"")</f>
        <v>Moscow Special Alloys Processing Plant</v>
      </c>
      <c r="S238" s="167" t="str">
        <f t="shared" ca="1" si="30"/>
        <v>RU</v>
      </c>
      <c r="T238" s="167" t="str">
        <f ca="1">IF(B238="","",IF(ISERROR(MATCH($J238,SorP!$B$1:$B$6230,0)),"",INDIRECT("'SorP'!$A$"&amp;MATCH($J238,SorP!$B$1:$B$6230,0))))</f>
        <v>RU-MOW</v>
      </c>
      <c r="U238" s="176"/>
      <c r="V238" s="177">
        <f>IF(C238="",NA(),IF(OR(C238="Smelter not listed",C238="Smelter not yet identified"),MATCH($B238&amp;$D238,'Smelter Look-up'!$J:$J,0),MATCH($B238&amp;$C238,'Smelter Look-up'!$J:$J,0)))</f>
        <v>188</v>
      </c>
      <c r="X238" s="140">
        <f t="shared" si="31"/>
        <v>0</v>
      </c>
      <c r="AB238" s="178" t="str">
        <f t="shared" si="32"/>
        <v>GoldMoscow Special Alloys Processing Plant</v>
      </c>
    </row>
    <row r="239" spans="1:28" s="140" customFormat="1" ht="409.5">
      <c r="A239" s="167" t="s">
        <v>2213</v>
      </c>
      <c r="B239" s="168" t="s">
        <v>133</v>
      </c>
      <c r="C239" s="169" t="s">
        <v>2214</v>
      </c>
      <c r="D239" s="170" t="s">
        <v>2214</v>
      </c>
      <c r="E239" s="168" t="s">
        <v>2215</v>
      </c>
      <c r="F239" s="168" t="s">
        <v>2213</v>
      </c>
      <c r="G239" s="168" t="s">
        <v>142</v>
      </c>
      <c r="H239" s="171" t="s">
        <v>2216</v>
      </c>
      <c r="I239" s="172" t="s">
        <v>2217</v>
      </c>
      <c r="J239" s="172" t="s">
        <v>2218</v>
      </c>
      <c r="K239" s="173" t="s">
        <v>2219</v>
      </c>
      <c r="L239" s="173" t="s">
        <v>2220</v>
      </c>
      <c r="M239" s="173" t="s">
        <v>2221</v>
      </c>
      <c r="N239" s="173" t="s">
        <v>2222</v>
      </c>
      <c r="O239" s="173" t="s">
        <v>2223</v>
      </c>
      <c r="P239" s="174" t="s">
        <v>164</v>
      </c>
      <c r="Q239" s="175" t="s">
        <v>2224</v>
      </c>
      <c r="R239" s="168" t="str">
        <f ca="1">IF(ISERROR($V239),"",OFFSET('Smelter Look-up'!$C$4,$V239-4,0)&amp;"")</f>
        <v>SAFINA A.S.</v>
      </c>
      <c r="S239" s="167" t="str">
        <f t="shared" ca="1" si="30"/>
        <v>Unknown</v>
      </c>
      <c r="T239" s="167" t="str">
        <f ca="1">IF(B239="","",IF(ISERROR(MATCH($J239,SorP!$B$1:$B$6230,0)),"",INDIRECT("'SorP'!$A$"&amp;MATCH($J239,SorP!$B$1:$B$6230,0))))</f>
        <v>CZ-20A</v>
      </c>
      <c r="U239" s="176"/>
      <c r="V239" s="177">
        <f>IF(C239="",NA(),IF(OR(C239="Smelter not listed",C239="Smelter not yet identified"),MATCH($B239&amp;$D239,'Smelter Look-up'!$J:$J,0),MATCH($B239&amp;$C239,'Smelter Look-up'!$J:$J,0)))</f>
        <v>224</v>
      </c>
      <c r="X239" s="140">
        <f t="shared" si="31"/>
        <v>0</v>
      </c>
      <c r="AB239" s="178" t="str">
        <f t="shared" si="32"/>
        <v>GoldSAFINA A.S.</v>
      </c>
    </row>
    <row r="240" spans="1:28" s="140" customFormat="1" ht="242.25">
      <c r="A240" s="167" t="s">
        <v>2225</v>
      </c>
      <c r="B240" s="168" t="s">
        <v>133</v>
      </c>
      <c r="C240" s="169" t="s">
        <v>2226</v>
      </c>
      <c r="D240" s="170" t="s">
        <v>2226</v>
      </c>
      <c r="E240" s="168" t="s">
        <v>226</v>
      </c>
      <c r="F240" s="168" t="s">
        <v>2225</v>
      </c>
      <c r="G240" s="168" t="s">
        <v>142</v>
      </c>
      <c r="H240" s="171" t="s">
        <v>2227</v>
      </c>
      <c r="I240" s="172" t="s">
        <v>2228</v>
      </c>
      <c r="J240" s="172" t="s">
        <v>2229</v>
      </c>
      <c r="K240" s="173" t="s">
        <v>2230</v>
      </c>
      <c r="L240" s="173" t="s">
        <v>2231</v>
      </c>
      <c r="M240" s="173"/>
      <c r="N240" s="173" t="s">
        <v>174</v>
      </c>
      <c r="O240" s="173" t="s">
        <v>2232</v>
      </c>
      <c r="P240" s="174" t="s">
        <v>175</v>
      </c>
      <c r="Q240" s="175" t="s">
        <v>196</v>
      </c>
      <c r="R240" s="168" t="str">
        <f ca="1">IF(ISERROR($V240),"",OFFSET('Smelter Look-up'!$C$4,$V240-4,0)&amp;"")</f>
        <v>Sai Refinery</v>
      </c>
      <c r="S240" s="167" t="str">
        <f t="shared" ca="1" si="30"/>
        <v>IN</v>
      </c>
      <c r="T240" s="167" t="str">
        <f ca="1">IF(B240="","",IF(ISERROR(MATCH($J240,SorP!$B$1:$B$6230,0)),"",INDIRECT("'SorP'!$A$"&amp;MATCH($J240,SorP!$B$1:$B$6230,0))))</f>
        <v>IN-HP</v>
      </c>
      <c r="U240" s="176"/>
      <c r="V240" s="177">
        <f>IF(C240="",NA(),IF(OR(C240="Smelter not listed",C240="Smelter not yet identified"),MATCH($B240&amp;$D240,'Smelter Look-up'!$J:$J,0),MATCH($B240&amp;$C240,'Smelter Look-up'!$J:$J,0)))</f>
        <v>226</v>
      </c>
      <c r="X240" s="140">
        <f t="shared" si="31"/>
        <v>0</v>
      </c>
      <c r="AB240" s="178" t="str">
        <f t="shared" si="32"/>
        <v>GoldSai Refinery</v>
      </c>
    </row>
    <row r="241" spans="1:28" s="140" customFormat="1" ht="306">
      <c r="A241" s="167" t="s">
        <v>2233</v>
      </c>
      <c r="B241" s="168" t="s">
        <v>133</v>
      </c>
      <c r="C241" s="169" t="s">
        <v>2234</v>
      </c>
      <c r="D241" s="170" t="s">
        <v>2234</v>
      </c>
      <c r="E241" s="168" t="s">
        <v>192</v>
      </c>
      <c r="F241" s="168" t="s">
        <v>2233</v>
      </c>
      <c r="G241" s="168" t="s">
        <v>142</v>
      </c>
      <c r="H241" s="171" t="s">
        <v>2235</v>
      </c>
      <c r="I241" s="172" t="s">
        <v>448</v>
      </c>
      <c r="J241" s="172" t="s">
        <v>419</v>
      </c>
      <c r="K241" s="173" t="s">
        <v>2236</v>
      </c>
      <c r="L241" s="173" t="s">
        <v>2237</v>
      </c>
      <c r="M241" s="173"/>
      <c r="N241" s="173" t="s">
        <v>220</v>
      </c>
      <c r="O241" s="173" t="s">
        <v>2238</v>
      </c>
      <c r="P241" s="174" t="s">
        <v>175</v>
      </c>
      <c r="Q241" s="175" t="s">
        <v>196</v>
      </c>
      <c r="R241" s="168" t="str">
        <f ca="1">IF(ISERROR($V241),"",OFFSET('Smelter Look-up'!$C$4,$V241-4,0)&amp;"")</f>
        <v>Shandong Tiancheng Biological Gold Industrial Co., Ltd.</v>
      </c>
      <c r="S241" s="167" t="str">
        <f t="shared" ca="1" si="30"/>
        <v>CN</v>
      </c>
      <c r="T241" s="167" t="str">
        <f ca="1">IF(B241="","",IF(ISERROR(MATCH($J241,SorP!$B$1:$B$6230,0)),"",INDIRECT("'SorP'!$A$"&amp;MATCH($J241,SorP!$B$1:$B$6230,0))))</f>
        <v>CN-SD</v>
      </c>
      <c r="U241" s="176"/>
      <c r="V241" s="177">
        <f>IF(C241="",NA(),IF(OR(C241="Smelter not listed",C241="Smelter not yet identified"),MATCH($B241&amp;$D241,'Smelter Look-up'!$J:$J,0),MATCH($B241&amp;$C241,'Smelter Look-up'!$J:$J,0)))</f>
        <v>245</v>
      </c>
      <c r="X241" s="140">
        <f t="shared" si="31"/>
        <v>0</v>
      </c>
      <c r="AB241" s="178" t="str">
        <f t="shared" si="32"/>
        <v>GoldShandong Tiancheng Biological Gold Industrial Co., Ltd.</v>
      </c>
    </row>
    <row r="242" spans="1:28" s="140" customFormat="1" ht="409.5">
      <c r="A242" s="167" t="s">
        <v>2239</v>
      </c>
      <c r="B242" s="168" t="s">
        <v>133</v>
      </c>
      <c r="C242" s="169" t="s">
        <v>2240</v>
      </c>
      <c r="D242" s="170" t="s">
        <v>2240</v>
      </c>
      <c r="E242" s="168" t="s">
        <v>192</v>
      </c>
      <c r="F242" s="168" t="s">
        <v>2239</v>
      </c>
      <c r="G242" s="168" t="s">
        <v>142</v>
      </c>
      <c r="H242" s="171" t="s">
        <v>2241</v>
      </c>
      <c r="I242" s="172" t="s">
        <v>2242</v>
      </c>
      <c r="J242" s="172" t="s">
        <v>2243</v>
      </c>
      <c r="K242" s="173" t="s">
        <v>2244</v>
      </c>
      <c r="L242" s="173" t="s">
        <v>2245</v>
      </c>
      <c r="M242" s="173" t="s">
        <v>2246</v>
      </c>
      <c r="N242" s="173" t="s">
        <v>2247</v>
      </c>
      <c r="O242" s="173" t="s">
        <v>2248</v>
      </c>
      <c r="P242" s="174" t="s">
        <v>151</v>
      </c>
      <c r="Q242" s="175" t="s">
        <v>2249</v>
      </c>
      <c r="R242" s="168" t="str">
        <f ca="1">IF(ISERROR($V242),"",OFFSET('Smelter Look-up'!$C$4,$V242-4,0)&amp;"")</f>
        <v>Sichuan Tianze Precious Metals Co., Ltd.</v>
      </c>
      <c r="S242" s="167" t="str">
        <f t="shared" ref="S242:S269" ca="1" si="33">IF(B242="","",IF(ISERROR(MATCH($E242,CL,0)),"Unknown",INDIRECT("'C'!$A$"&amp;MATCH($E242,CL,0)+1)))</f>
        <v>CN</v>
      </c>
      <c r="T242" s="167" t="str">
        <f ca="1">IF(B242="","",IF(ISERROR(MATCH($J242,SorP!$B$1:$B$6230,0)),"",INDIRECT("'SorP'!$A$"&amp;MATCH($J242,SorP!$B$1:$B$6230,0))))</f>
        <v>CN-SC</v>
      </c>
      <c r="U242" s="176"/>
      <c r="V242" s="177">
        <f>IF(C242="",NA(),IF(OR(C242="Smelter not listed",C242="Smelter not yet identified"),MATCH($B242&amp;$D242,'Smelter Look-up'!$J:$J,0),MATCH($B242&amp;$C242,'Smelter Look-up'!$J:$J,0)))</f>
        <v>253</v>
      </c>
      <c r="X242" s="140">
        <f t="shared" ref="X242:X269" si="34">IF(AND(C242="Smelter not listed",OR(LEN(D242)=0,LEN(E242)=0)),1,0)</f>
        <v>0</v>
      </c>
      <c r="AB242" s="178" t="str">
        <f t="shared" ref="AB242:AB269" si="35">B242&amp;C242</f>
        <v>GoldSichuan Tianze Precious Metals Co., Ltd.</v>
      </c>
    </row>
    <row r="243" spans="1:28" s="140" customFormat="1" ht="409.5">
      <c r="A243" s="167" t="s">
        <v>2250</v>
      </c>
      <c r="B243" s="168" t="s">
        <v>133</v>
      </c>
      <c r="C243" s="169" t="s">
        <v>2251</v>
      </c>
      <c r="D243" s="170" t="s">
        <v>2252</v>
      </c>
      <c r="E243" s="168" t="s">
        <v>155</v>
      </c>
      <c r="F243" s="168" t="s">
        <v>2250</v>
      </c>
      <c r="G243" s="168" t="s">
        <v>142</v>
      </c>
      <c r="H243" s="171" t="s">
        <v>2253</v>
      </c>
      <c r="I243" s="172" t="s">
        <v>2254</v>
      </c>
      <c r="J243" s="172" t="s">
        <v>2255</v>
      </c>
      <c r="K243" s="173" t="s">
        <v>2256</v>
      </c>
      <c r="L243" s="173" t="s">
        <v>2257</v>
      </c>
      <c r="M243" s="173" t="s">
        <v>2258</v>
      </c>
      <c r="N243" s="173" t="s">
        <v>2259</v>
      </c>
      <c r="O243" s="173" t="s">
        <v>2260</v>
      </c>
      <c r="P243" s="174" t="s">
        <v>151</v>
      </c>
      <c r="Q243" s="175" t="s">
        <v>2261</v>
      </c>
      <c r="R243" s="168" t="str">
        <f ca="1">IF(ISERROR($V243),"",OFFSET('Smelter Look-up'!$C$4,$V243-4,0)&amp;"")</f>
        <v>Yamakin Co., Ltd.</v>
      </c>
      <c r="S243" s="167" t="str">
        <f t="shared" ca="1" si="33"/>
        <v>JP</v>
      </c>
      <c r="T243" s="167" t="str">
        <f ca="1">IF(B243="","",IF(ISERROR(MATCH($J243,SorP!$B$1:$B$6230,0)),"",INDIRECT("'SorP'!$A$"&amp;MATCH($J243,SorP!$B$1:$B$6230,0))))</f>
        <v>JP-39</v>
      </c>
      <c r="U243" s="176"/>
      <c r="V243" s="177">
        <f>IF(C243="",NA(),IF(OR(C243="Smelter not listed",C243="Smelter not yet identified"),MATCH($B243&amp;$D243,'Smelter Look-up'!$J:$J,0),MATCH($B243&amp;$C243,'Smelter Look-up'!$J:$J,0)))</f>
        <v>305</v>
      </c>
      <c r="X243" s="140">
        <f t="shared" si="34"/>
        <v>0</v>
      </c>
      <c r="AB243" s="178" t="str">
        <f t="shared" si="35"/>
        <v>GoldYamamoto Precision Metals</v>
      </c>
    </row>
    <row r="244" spans="1:28" s="140" customFormat="1" ht="76.5">
      <c r="A244" s="167" t="s">
        <v>2262</v>
      </c>
      <c r="B244" s="168" t="s">
        <v>133</v>
      </c>
      <c r="C244" s="169" t="s">
        <v>2263</v>
      </c>
      <c r="D244" s="170" t="s">
        <v>2263</v>
      </c>
      <c r="E244" s="168" t="s">
        <v>155</v>
      </c>
      <c r="F244" s="168" t="s">
        <v>2262</v>
      </c>
      <c r="G244" s="168" t="s">
        <v>142</v>
      </c>
      <c r="H244" s="171" t="s">
        <v>114</v>
      </c>
      <c r="I244" s="172" t="s">
        <v>196</v>
      </c>
      <c r="J244" s="172" t="s">
        <v>196</v>
      </c>
      <c r="K244" s="173"/>
      <c r="L244" s="173"/>
      <c r="M244" s="173"/>
      <c r="N244" s="173" t="s">
        <v>121</v>
      </c>
      <c r="O244" s="173" t="s">
        <v>121</v>
      </c>
      <c r="P244" s="174" t="s">
        <v>121</v>
      </c>
      <c r="Q244" s="175"/>
      <c r="R244" s="168" t="str">
        <f ca="1">IF(ISERROR($V244),"",OFFSET('Smelter Look-up'!$C$4,$V244-4,0)&amp;"")</f>
        <v/>
      </c>
      <c r="S244" s="167" t="str">
        <f t="shared" ca="1" si="33"/>
        <v>JP</v>
      </c>
      <c r="T244" s="167" t="str">
        <f ca="1">IF(B244="","",IF(ISERROR(MATCH($J244,SorP!$B$1:$B$6230,0)),"",INDIRECT("'SorP'!$A$"&amp;MATCH($J244,SorP!$B$1:$B$6230,0))))</f>
        <v/>
      </c>
      <c r="U244" s="176"/>
      <c r="V244" s="177" t="e">
        <f>IF(C244="",NA(),IF(OR(C244="Smelter not listed",C244="Smelter not yet identified"),MATCH($B244&amp;$D244,'Smelter Look-up'!$J:$J,0),MATCH($B244&amp;$C244,'Smelter Look-up'!$J:$J,0)))</f>
        <v>#N/A</v>
      </c>
      <c r="X244" s="140">
        <f t="shared" si="34"/>
        <v>0</v>
      </c>
      <c r="AB244" s="178" t="str">
        <f t="shared" si="35"/>
        <v>GoldYamato Denki Ind. Co., Ltd.</v>
      </c>
    </row>
    <row r="245" spans="1:28" s="140" customFormat="1" ht="409.5">
      <c r="A245" s="167" t="s">
        <v>2264</v>
      </c>
      <c r="B245" s="168" t="s">
        <v>133</v>
      </c>
      <c r="C245" s="169" t="s">
        <v>2265</v>
      </c>
      <c r="D245" s="170" t="s">
        <v>2265</v>
      </c>
      <c r="E245" s="168" t="s">
        <v>155</v>
      </c>
      <c r="F245" s="168" t="s">
        <v>2264</v>
      </c>
      <c r="G245" s="168" t="s">
        <v>142</v>
      </c>
      <c r="H245" s="171" t="s">
        <v>2266</v>
      </c>
      <c r="I245" s="172" t="s">
        <v>2267</v>
      </c>
      <c r="J245" s="172" t="s">
        <v>811</v>
      </c>
      <c r="K245" s="173" t="s">
        <v>2268</v>
      </c>
      <c r="L245" s="173" t="s">
        <v>2269</v>
      </c>
      <c r="M245" s="173" t="s">
        <v>2270</v>
      </c>
      <c r="N245" s="173" t="s">
        <v>2271</v>
      </c>
      <c r="O245" s="173" t="s">
        <v>2272</v>
      </c>
      <c r="P245" s="174" t="s">
        <v>164</v>
      </c>
      <c r="Q245" s="175" t="s">
        <v>2273</v>
      </c>
      <c r="R245" s="168" t="str">
        <f ca="1">IF(ISERROR($V245),"",OFFSET('Smelter Look-up'!$C$4,$V245-4,0)&amp;"")</f>
        <v>Yokohama Metal Co., Ltd.</v>
      </c>
      <c r="S245" s="167" t="str">
        <f t="shared" ca="1" si="33"/>
        <v>JP</v>
      </c>
      <c r="T245" s="167" t="str">
        <f ca="1">IF(B245="","",IF(ISERROR(MATCH($J245,SorP!$B$1:$B$6230,0)),"",INDIRECT("'SorP'!$A$"&amp;MATCH($J245,SorP!$B$1:$B$6230,0))))</f>
        <v>JP-14</v>
      </c>
      <c r="U245" s="176"/>
      <c r="V245" s="177">
        <f>IF(C245="",NA(),IF(OR(C245="Smelter not listed",C245="Smelter not yet identified"),MATCH($B245&amp;$D245,'Smelter Look-up'!$J:$J,0),MATCH($B245&amp;$C245,'Smelter Look-up'!$J:$J,0)))</f>
        <v>307</v>
      </c>
      <c r="X245" s="140">
        <f t="shared" si="34"/>
        <v>0</v>
      </c>
      <c r="AB245" s="178" t="str">
        <f t="shared" si="35"/>
        <v>GoldYokohama Metal Co., Ltd.</v>
      </c>
    </row>
    <row r="246" spans="1:28" s="140" customFormat="1" ht="409.5">
      <c r="A246" s="167" t="s">
        <v>2276</v>
      </c>
      <c r="B246" s="168" t="s">
        <v>131</v>
      </c>
      <c r="C246" s="169" t="s">
        <v>2277</v>
      </c>
      <c r="D246" s="170" t="s">
        <v>2277</v>
      </c>
      <c r="E246" s="168" t="s">
        <v>433</v>
      </c>
      <c r="F246" s="168" t="s">
        <v>2276</v>
      </c>
      <c r="G246" s="168" t="s">
        <v>142</v>
      </c>
      <c r="H246" s="171" t="s">
        <v>2278</v>
      </c>
      <c r="I246" s="172" t="s">
        <v>2279</v>
      </c>
      <c r="J246" s="172" t="s">
        <v>594</v>
      </c>
      <c r="K246" s="173" t="s">
        <v>2280</v>
      </c>
      <c r="L246" s="173" t="s">
        <v>2281</v>
      </c>
      <c r="M246" s="173" t="s">
        <v>219</v>
      </c>
      <c r="N246" s="173" t="s">
        <v>220</v>
      </c>
      <c r="O246" s="173" t="s">
        <v>2282</v>
      </c>
      <c r="P246" s="174" t="s">
        <v>175</v>
      </c>
      <c r="Q246" s="175" t="s">
        <v>2283</v>
      </c>
      <c r="R246" s="168" t="str">
        <f ca="1">IF(ISERROR($V246),"",OFFSET('Smelter Look-up'!$C$4,$V246-4,0)&amp;"")</f>
        <v>Super Ligas</v>
      </c>
      <c r="S246" s="167" t="str">
        <f t="shared" ca="1" si="33"/>
        <v>BR</v>
      </c>
      <c r="T246" s="167" t="str">
        <f ca="1">IF(B246="","",IF(ISERROR(MATCH($J246,SorP!$B$1:$B$6230,0)),"",INDIRECT("'SorP'!$A$"&amp;MATCH($J246,SorP!$B$1:$B$6230,0))))</f>
        <v>BR-SP</v>
      </c>
      <c r="U246" s="176"/>
      <c r="V246" s="177">
        <f>IF(C246="",NA(),IF(OR(C246="Smelter not listed",C246="Smelter not yet identified"),MATCH($B246&amp;$D246,'Smelter Look-up'!$J:$J,0),MATCH($B246&amp;$C246,'Smelter Look-up'!$J:$J,0)))</f>
        <v>519</v>
      </c>
      <c r="X246" s="140">
        <f t="shared" si="34"/>
        <v>0</v>
      </c>
      <c r="AB246" s="178" t="str">
        <f t="shared" si="35"/>
        <v>TinSuper Ligas</v>
      </c>
    </row>
    <row r="247" spans="1:28" s="140" customFormat="1" ht="89.25">
      <c r="A247" s="167" t="s">
        <v>2284</v>
      </c>
      <c r="B247" s="168" t="s">
        <v>131</v>
      </c>
      <c r="C247" s="169" t="s">
        <v>2285</v>
      </c>
      <c r="D247" s="170" t="s">
        <v>2285</v>
      </c>
      <c r="E247" s="168" t="s">
        <v>192</v>
      </c>
      <c r="F247" s="168" t="s">
        <v>2284</v>
      </c>
      <c r="G247" s="168" t="s">
        <v>142</v>
      </c>
      <c r="H247" s="171" t="s">
        <v>114</v>
      </c>
      <c r="I247" s="172" t="s">
        <v>196</v>
      </c>
      <c r="J247" s="172" t="s">
        <v>196</v>
      </c>
      <c r="K247" s="173"/>
      <c r="L247" s="173"/>
      <c r="M247" s="173"/>
      <c r="N247" s="173" t="s">
        <v>121</v>
      </c>
      <c r="O247" s="173" t="s">
        <v>121</v>
      </c>
      <c r="P247" s="174" t="s">
        <v>121</v>
      </c>
      <c r="Q247" s="175"/>
      <c r="R247" s="168" t="str">
        <f ca="1">IF(ISERROR($V247),"",OFFSET('Smelter Look-up'!$C$4,$V247-4,0)&amp;"")</f>
        <v/>
      </c>
      <c r="S247" s="167" t="str">
        <f t="shared" ca="1" si="33"/>
        <v>CN</v>
      </c>
      <c r="T247" s="167" t="str">
        <f ca="1">IF(B247="","",IF(ISERROR(MATCH($J247,SorP!$B$1:$B$6230,0)),"",INDIRECT("'SorP'!$A$"&amp;MATCH($J247,SorP!$B$1:$B$6230,0))))</f>
        <v/>
      </c>
      <c r="U247" s="176"/>
      <c r="V247" s="177" t="e">
        <f>IF(C247="",NA(),IF(OR(C247="Smelter not listed",C247="Smelter not yet identified"),MATCH($B247&amp;$D247,'Smelter Look-up'!$J:$J,0),MATCH($B247&amp;$C247,'Smelter Look-up'!$J:$J,0)))</f>
        <v>#N/A</v>
      </c>
      <c r="X247" s="140">
        <f t="shared" si="34"/>
        <v>0</v>
      </c>
      <c r="AB247" s="178" t="str">
        <f t="shared" si="35"/>
        <v>TinSuzhou Nuonengda Chemical Co., Ltd.</v>
      </c>
    </row>
    <row r="248" spans="1:28" s="140" customFormat="1" ht="89.25">
      <c r="A248" s="167" t="s">
        <v>2286</v>
      </c>
      <c r="B248" s="168" t="s">
        <v>131</v>
      </c>
      <c r="C248" s="169" t="s">
        <v>2287</v>
      </c>
      <c r="D248" s="170" t="s">
        <v>2287</v>
      </c>
      <c r="E248" s="168" t="s">
        <v>192</v>
      </c>
      <c r="F248" s="168" t="s">
        <v>2286</v>
      </c>
      <c r="G248" s="168" t="s">
        <v>142</v>
      </c>
      <c r="H248" s="171" t="s">
        <v>114</v>
      </c>
      <c r="I248" s="172" t="s">
        <v>114</v>
      </c>
      <c r="J248" s="172" t="s">
        <v>114</v>
      </c>
      <c r="K248" s="173"/>
      <c r="L248" s="173"/>
      <c r="M248" s="173"/>
      <c r="N248" s="173" t="s">
        <v>121</v>
      </c>
      <c r="O248" s="173" t="s">
        <v>121</v>
      </c>
      <c r="P248" s="174" t="s">
        <v>121</v>
      </c>
      <c r="Q248" s="175"/>
      <c r="R248" s="168" t="str">
        <f ca="1">IF(ISERROR($V248),"",OFFSET('Smelter Look-up'!$C$4,$V248-4,0)&amp;"")</f>
        <v/>
      </c>
      <c r="S248" s="167" t="str">
        <f t="shared" ca="1" si="33"/>
        <v>CN</v>
      </c>
      <c r="T248" s="167" t="str">
        <f ca="1">IF(B248="","",IF(ISERROR(MATCH($J248,SorP!$B$1:$B$6230,0)),"",INDIRECT("'SorP'!$A$"&amp;MATCH($J248,SorP!$B$1:$B$6230,0))))</f>
        <v/>
      </c>
      <c r="U248" s="176"/>
      <c r="V248" s="177" t="e">
        <f>IF(C248="",NA(),IF(OR(C248="Smelter not listed",C248="Smelter not yet identified"),MATCH($B248&amp;$D248,'Smelter Look-up'!$J:$J,0),MATCH($B248&amp;$C248,'Smelter Look-up'!$J:$J,0)))</f>
        <v>#N/A</v>
      </c>
      <c r="X248" s="140">
        <f t="shared" si="34"/>
        <v>0</v>
      </c>
      <c r="AB248" s="178" t="str">
        <f t="shared" si="35"/>
        <v>TinTaicang City Nancang Metal Material Co., Ltd.</v>
      </c>
    </row>
    <row r="249" spans="1:28" s="140" customFormat="1" ht="63.75">
      <c r="A249" s="167" t="s">
        <v>2288</v>
      </c>
      <c r="B249" s="168" t="s">
        <v>131</v>
      </c>
      <c r="C249" s="169" t="s">
        <v>2289</v>
      </c>
      <c r="D249" s="170" t="s">
        <v>2290</v>
      </c>
      <c r="E249" s="168" t="s">
        <v>369</v>
      </c>
      <c r="F249" s="168" t="s">
        <v>2288</v>
      </c>
      <c r="G249" s="168" t="s">
        <v>142</v>
      </c>
      <c r="H249" s="171" t="s">
        <v>114</v>
      </c>
      <c r="I249" s="172" t="s">
        <v>196</v>
      </c>
      <c r="J249" s="172" t="s">
        <v>196</v>
      </c>
      <c r="K249" s="173"/>
      <c r="L249" s="173"/>
      <c r="M249" s="173"/>
      <c r="N249" s="173" t="s">
        <v>121</v>
      </c>
      <c r="O249" s="173" t="s">
        <v>121</v>
      </c>
      <c r="P249" s="174" t="s">
        <v>121</v>
      </c>
      <c r="Q249" s="175"/>
      <c r="R249" s="168" t="str">
        <f ca="1">IF(ISERROR($V249),"",OFFSET('Smelter Look-up'!$C$4,$V249-4,0)&amp;"")</f>
        <v/>
      </c>
      <c r="S249" s="167" t="str">
        <f t="shared" ca="1" si="33"/>
        <v>TW</v>
      </c>
      <c r="T249" s="167" t="str">
        <f ca="1">IF(B249="","",IF(ISERROR(MATCH($J249,SorP!$B$1:$B$6230,0)),"",INDIRECT("'SorP'!$A$"&amp;MATCH($J249,SorP!$B$1:$B$6230,0))))</f>
        <v/>
      </c>
      <c r="U249" s="176"/>
      <c r="V249" s="177" t="e">
        <f>IF(C249="",NA(),IF(OR(C249="Smelter not listed",C249="Smelter not yet identified"),MATCH($B249&amp;$D249,'Smelter Look-up'!$J:$J,0),MATCH($B249&amp;$C249,'Smelter Look-up'!$J:$J,0)))</f>
        <v>#N/A</v>
      </c>
      <c r="X249" s="140">
        <f t="shared" si="34"/>
        <v>0</v>
      </c>
      <c r="AB249" s="178" t="str">
        <f t="shared" si="35"/>
        <v>TinTaiwan high-tech Co., Ltd.</v>
      </c>
    </row>
    <row r="250" spans="1:28" s="140" customFormat="1" ht="51">
      <c r="A250" s="167" t="s">
        <v>2291</v>
      </c>
      <c r="B250" s="168" t="s">
        <v>131</v>
      </c>
      <c r="C250" s="169" t="s">
        <v>2292</v>
      </c>
      <c r="D250" s="170" t="s">
        <v>2292</v>
      </c>
      <c r="E250" s="168" t="s">
        <v>369</v>
      </c>
      <c r="F250" s="168" t="s">
        <v>2291</v>
      </c>
      <c r="G250" s="168" t="s">
        <v>142</v>
      </c>
      <c r="H250" s="171" t="s">
        <v>114</v>
      </c>
      <c r="I250" s="172" t="s">
        <v>196</v>
      </c>
      <c r="J250" s="172" t="s">
        <v>196</v>
      </c>
      <c r="K250" s="173"/>
      <c r="L250" s="173"/>
      <c r="M250" s="173"/>
      <c r="N250" s="173" t="s">
        <v>121</v>
      </c>
      <c r="O250" s="173" t="s">
        <v>121</v>
      </c>
      <c r="P250" s="174" t="s">
        <v>121</v>
      </c>
      <c r="Q250" s="175"/>
      <c r="R250" s="168" t="str">
        <f ca="1">IF(ISERROR($V250),"",OFFSET('Smelter Look-up'!$C$4,$V250-4,0)&amp;"")</f>
        <v/>
      </c>
      <c r="S250" s="167" t="str">
        <f t="shared" ca="1" si="33"/>
        <v>TW</v>
      </c>
      <c r="T250" s="167" t="str">
        <f ca="1">IF(B250="","",IF(ISERROR(MATCH($J250,SorP!$B$1:$B$6230,0)),"",INDIRECT("'SorP'!$A$"&amp;MATCH($J250,SorP!$B$1:$B$6230,0))))</f>
        <v/>
      </c>
      <c r="U250" s="176"/>
      <c r="V250" s="177" t="e">
        <f>IF(C250="",NA(),IF(OR(C250="Smelter not listed",C250="Smelter not yet identified"),MATCH($B250&amp;$D250,'Smelter Look-up'!$J:$J,0),MATCH($B250&amp;$C250,'Smelter Look-up'!$J:$J,0)))</f>
        <v>#N/A</v>
      </c>
      <c r="X250" s="140">
        <f t="shared" si="34"/>
        <v>0</v>
      </c>
      <c r="AB250" s="178" t="str">
        <f t="shared" si="35"/>
        <v>TinTaiwan Huanliang</v>
      </c>
    </row>
    <row r="251" spans="1:28" s="140" customFormat="1" ht="63.75">
      <c r="A251" s="167" t="s">
        <v>2293</v>
      </c>
      <c r="B251" s="168" t="s">
        <v>131</v>
      </c>
      <c r="C251" s="169" t="s">
        <v>2294</v>
      </c>
      <c r="D251" s="170" t="s">
        <v>2295</v>
      </c>
      <c r="E251" s="168" t="s">
        <v>369</v>
      </c>
      <c r="F251" s="168" t="s">
        <v>2293</v>
      </c>
      <c r="G251" s="168" t="s">
        <v>142</v>
      </c>
      <c r="H251" s="171" t="s">
        <v>114</v>
      </c>
      <c r="I251" s="172" t="s">
        <v>196</v>
      </c>
      <c r="J251" s="172" t="s">
        <v>196</v>
      </c>
      <c r="K251" s="173"/>
      <c r="L251" s="173"/>
      <c r="M251" s="173"/>
      <c r="N251" s="173" t="s">
        <v>121</v>
      </c>
      <c r="O251" s="173" t="s">
        <v>121</v>
      </c>
      <c r="P251" s="174" t="s">
        <v>121</v>
      </c>
      <c r="Q251" s="175"/>
      <c r="R251" s="168" t="str">
        <f ca="1">IF(ISERROR($V251),"",OFFSET('Smelter Look-up'!$C$4,$V251-4,0)&amp;"")</f>
        <v/>
      </c>
      <c r="S251" s="167" t="str">
        <f t="shared" ca="1" si="33"/>
        <v>TW</v>
      </c>
      <c r="T251" s="167" t="str">
        <f ca="1">IF(B251="","",IF(ISERROR(MATCH($J251,SorP!$B$1:$B$6230,0)),"",INDIRECT("'SorP'!$A$"&amp;MATCH($J251,SorP!$B$1:$B$6230,0))))</f>
        <v/>
      </c>
      <c r="U251" s="176"/>
      <c r="V251" s="177" t="e">
        <f>IF(C251="",NA(),IF(OR(C251="Smelter not listed",C251="Smelter not yet identified"),MATCH($B251&amp;$D251,'Smelter Look-up'!$J:$J,0),MATCH($B251&amp;$C251,'Smelter Look-up'!$J:$J,0)))</f>
        <v>#N/A</v>
      </c>
      <c r="X251" s="140">
        <f t="shared" si="34"/>
        <v>0</v>
      </c>
      <c r="AB251" s="178" t="str">
        <f t="shared" si="35"/>
        <v>TinTaiwan's lofty Enterprises Ltd.</v>
      </c>
    </row>
    <row r="252" spans="1:28" s="140" customFormat="1" ht="25.5">
      <c r="A252" s="167" t="s">
        <v>2296</v>
      </c>
      <c r="B252" s="168" t="s">
        <v>131</v>
      </c>
      <c r="C252" s="169" t="s">
        <v>157</v>
      </c>
      <c r="D252" s="170" t="s">
        <v>157</v>
      </c>
      <c r="E252" s="168" t="s">
        <v>192</v>
      </c>
      <c r="F252" s="168" t="s">
        <v>2296</v>
      </c>
      <c r="G252" s="168" t="s">
        <v>114</v>
      </c>
      <c r="H252" s="171" t="s">
        <v>114</v>
      </c>
      <c r="I252" s="172" t="s">
        <v>114</v>
      </c>
      <c r="J252" s="172" t="s">
        <v>114</v>
      </c>
      <c r="K252" s="173"/>
      <c r="L252" s="173"/>
      <c r="M252" s="173"/>
      <c r="N252" s="173"/>
      <c r="O252" s="173"/>
      <c r="P252" s="174"/>
      <c r="Q252" s="175"/>
      <c r="R252" s="168" t="str">
        <f ca="1">IF(ISERROR($V252),"",OFFSET('Smelter Look-up'!$C$4,$V252-4,0)&amp;"")</f>
        <v/>
      </c>
      <c r="S252" s="167" t="str">
        <f t="shared" ca="1" si="33"/>
        <v>CN</v>
      </c>
      <c r="T252" s="167" t="str">
        <f ca="1">IF(B252="","",IF(ISERROR(MATCH($J252,SorP!$B$1:$B$6230,0)),"",INDIRECT("'SorP'!$A$"&amp;MATCH($J252,SorP!$B$1:$B$6230,0))))</f>
        <v/>
      </c>
      <c r="U252" s="176"/>
      <c r="V252" s="177" t="e">
        <f>IF(C252="",NA(),IF(OR(C252="Smelter not listed",C252="Smelter not yet identified"),MATCH($B252&amp;$D252,'Smelter Look-up'!$J:$J,0),MATCH($B252&amp;$C252,'Smelter Look-up'!$J:$J,0)))</f>
        <v>#N/A</v>
      </c>
      <c r="X252" s="140">
        <f t="shared" si="34"/>
        <v>0</v>
      </c>
      <c r="AB252" s="178" t="str">
        <f t="shared" si="35"/>
        <v>TinTamura</v>
      </c>
    </row>
    <row r="253" spans="1:28" s="140" customFormat="1" ht="76.5">
      <c r="A253" s="167" t="s">
        <v>2297</v>
      </c>
      <c r="B253" s="168" t="s">
        <v>131</v>
      </c>
      <c r="C253" s="169" t="s">
        <v>2298</v>
      </c>
      <c r="D253" s="170" t="s">
        <v>2299</v>
      </c>
      <c r="E253" s="168" t="s">
        <v>141</v>
      </c>
      <c r="F253" s="168" t="s">
        <v>2297</v>
      </c>
      <c r="G253" s="168" t="s">
        <v>142</v>
      </c>
      <c r="H253" s="171" t="s">
        <v>114</v>
      </c>
      <c r="I253" s="172" t="s">
        <v>196</v>
      </c>
      <c r="J253" s="172" t="s">
        <v>196</v>
      </c>
      <c r="K253" s="173"/>
      <c r="L253" s="173"/>
      <c r="M253" s="173"/>
      <c r="N253" s="173" t="s">
        <v>121</v>
      </c>
      <c r="O253" s="173" t="s">
        <v>121</v>
      </c>
      <c r="P253" s="174" t="s">
        <v>121</v>
      </c>
      <c r="Q253" s="175"/>
      <c r="R253" s="168" t="str">
        <f ca="1">IF(ISERROR($V253),"",OFFSET('Smelter Look-up'!$C$4,$V253-4,0)&amp;"")</f>
        <v/>
      </c>
      <c r="S253" s="167" t="str">
        <f t="shared" ca="1" si="33"/>
        <v>US</v>
      </c>
      <c r="T253" s="167" t="str">
        <f ca="1">IF(B253="","",IF(ISERROR(MATCH($J253,SorP!$B$1:$B$6230,0)),"",INDIRECT("'SorP'!$A$"&amp;MATCH($J253,SorP!$B$1:$B$6230,0))))</f>
        <v/>
      </c>
      <c r="U253" s="176"/>
      <c r="V253" s="177" t="e">
        <f>IF(C253="",NA(),IF(OR(C253="Smelter not listed",C253="Smelter not yet identified"),MATCH($B253&amp;$D253,'Smelter Look-up'!$J:$J,0),MATCH($B253&amp;$C253,'Smelter Look-up'!$J:$J,0)))</f>
        <v>#N/A</v>
      </c>
      <c r="X253" s="140">
        <f t="shared" si="34"/>
        <v>0</v>
      </c>
      <c r="AB253" s="178" t="str">
        <f t="shared" si="35"/>
        <v>TinTennessee Aluminum Processors</v>
      </c>
    </row>
    <row r="254" spans="1:28" s="140" customFormat="1" ht="25.5">
      <c r="A254" s="167" t="s">
        <v>2300</v>
      </c>
      <c r="B254" s="168" t="s">
        <v>131</v>
      </c>
      <c r="C254" s="169" t="s">
        <v>2301</v>
      </c>
      <c r="D254" s="170" t="s">
        <v>2301</v>
      </c>
      <c r="E254" s="168" t="s">
        <v>192</v>
      </c>
      <c r="F254" s="168" t="s">
        <v>2300</v>
      </c>
      <c r="G254" s="168" t="s">
        <v>114</v>
      </c>
      <c r="H254" s="171" t="s">
        <v>114</v>
      </c>
      <c r="I254" s="172" t="s">
        <v>114</v>
      </c>
      <c r="J254" s="172" t="s">
        <v>114</v>
      </c>
      <c r="K254" s="173"/>
      <c r="L254" s="173"/>
      <c r="M254" s="173"/>
      <c r="N254" s="173"/>
      <c r="O254" s="173"/>
      <c r="P254" s="174"/>
      <c r="Q254" s="175"/>
      <c r="R254" s="168" t="str">
        <f ca="1">IF(ISERROR($V254),"",OFFSET('Smelter Look-up'!$C$4,$V254-4,0)&amp;"")</f>
        <v/>
      </c>
      <c r="S254" s="167" t="str">
        <f t="shared" ca="1" si="33"/>
        <v>CN</v>
      </c>
      <c r="T254" s="167" t="str">
        <f ca="1">IF(B254="","",IF(ISERROR(MATCH($J254,SorP!$B$1:$B$6230,0)),"",INDIRECT("'SorP'!$A$"&amp;MATCH($J254,SorP!$B$1:$B$6230,0))))</f>
        <v/>
      </c>
      <c r="U254" s="176"/>
      <c r="V254" s="177" t="e">
        <f>IF(C254="",NA(),IF(OR(C254="Smelter not listed",C254="Smelter not yet identified"),MATCH($B254&amp;$D254,'Smelter Look-up'!$J:$J,0),MATCH($B254&amp;$C254,'Smelter Look-up'!$J:$J,0)))</f>
        <v>#N/A</v>
      </c>
      <c r="X254" s="140">
        <f t="shared" si="34"/>
        <v>0</v>
      </c>
      <c r="AB254" s="178" t="str">
        <f t="shared" si="35"/>
        <v>TinTCC steel</v>
      </c>
    </row>
    <row r="255" spans="1:28" s="140" customFormat="1" ht="63.75">
      <c r="A255" s="167" t="s">
        <v>2302</v>
      </c>
      <c r="B255" s="168" t="s">
        <v>131</v>
      </c>
      <c r="C255" s="169" t="s">
        <v>2303</v>
      </c>
      <c r="D255" s="170" t="s">
        <v>2303</v>
      </c>
      <c r="E255" s="168" t="s">
        <v>192</v>
      </c>
      <c r="F255" s="168" t="s">
        <v>2302</v>
      </c>
      <c r="G255" s="168" t="s">
        <v>114</v>
      </c>
      <c r="H255" s="171" t="s">
        <v>114</v>
      </c>
      <c r="I255" s="172" t="s">
        <v>114</v>
      </c>
      <c r="J255" s="172" t="s">
        <v>114</v>
      </c>
      <c r="K255" s="173"/>
      <c r="L255" s="173"/>
      <c r="M255" s="173"/>
      <c r="N255" s="173"/>
      <c r="O255" s="173"/>
      <c r="P255" s="174"/>
      <c r="Q255" s="175"/>
      <c r="R255" s="168" t="str">
        <f ca="1">IF(ISERROR($V255),"",OFFSET('Smelter Look-up'!$C$4,$V255-4,0)&amp;"")</f>
        <v/>
      </c>
      <c r="S255" s="167" t="str">
        <f t="shared" ca="1" si="33"/>
        <v>CN</v>
      </c>
      <c r="T255" s="167" t="str">
        <f ca="1">IF(B255="","",IF(ISERROR(MATCH($J255,SorP!$B$1:$B$6230,0)),"",INDIRECT("'SorP'!$A$"&amp;MATCH($J255,SorP!$B$1:$B$6230,0))))</f>
        <v/>
      </c>
      <c r="U255" s="176"/>
      <c r="V255" s="177" t="e">
        <f>IF(C255="",NA(),IF(OR(C255="Smelter not listed",C255="Smelter not yet identified"),MATCH($B255&amp;$D255,'Smelter Look-up'!$J:$J,0),MATCH($B255&amp;$C255,'Smelter Look-up'!$J:$J,0)))</f>
        <v>#N/A</v>
      </c>
      <c r="X255" s="140">
        <f t="shared" si="34"/>
        <v>0</v>
      </c>
      <c r="AB255" s="178" t="str">
        <f t="shared" si="35"/>
        <v>TinTENNANT METAL PTY LTD.</v>
      </c>
    </row>
    <row r="256" spans="1:28" s="140" customFormat="1" ht="409.5">
      <c r="A256" s="167" t="s">
        <v>2304</v>
      </c>
      <c r="B256" s="168" t="s">
        <v>131</v>
      </c>
      <c r="C256" s="169" t="s">
        <v>2305</v>
      </c>
      <c r="D256" s="170" t="s">
        <v>2305</v>
      </c>
      <c r="E256" s="168" t="s">
        <v>1125</v>
      </c>
      <c r="F256" s="168" t="s">
        <v>2304</v>
      </c>
      <c r="G256" s="168" t="s">
        <v>142</v>
      </c>
      <c r="H256" s="171" t="s">
        <v>2306</v>
      </c>
      <c r="I256" s="172" t="s">
        <v>2307</v>
      </c>
      <c r="J256" s="172" t="s">
        <v>1422</v>
      </c>
      <c r="K256" s="173" t="s">
        <v>2308</v>
      </c>
      <c r="L256" s="173" t="s">
        <v>2309</v>
      </c>
      <c r="M256" s="173" t="s">
        <v>2310</v>
      </c>
      <c r="N256" s="173" t="s">
        <v>2311</v>
      </c>
      <c r="O256" s="173" t="s">
        <v>2312</v>
      </c>
      <c r="P256" s="174" t="s">
        <v>600</v>
      </c>
      <c r="Q256" s="175" t="s">
        <v>2313</v>
      </c>
      <c r="R256" s="168" t="str">
        <f ca="1">IF(ISERROR($V256),"",OFFSET('Smelter Look-up'!$C$4,$V256-4,0)&amp;"")</f>
        <v>Thai Nguyen Mining and Metallurgy Co., Ltd.</v>
      </c>
      <c r="S256" s="167" t="str">
        <f t="shared" ca="1" si="33"/>
        <v>VN</v>
      </c>
      <c r="T256" s="167" t="str">
        <f ca="1">IF(B256="","",IF(ISERROR(MATCH($J256,SorP!$B$1:$B$6230,0)),"",INDIRECT("'SorP'!$A$"&amp;MATCH($J256,SorP!$B$1:$B$6230,0))))</f>
        <v>VN-69</v>
      </c>
      <c r="U256" s="176"/>
      <c r="V256" s="177">
        <f>IF(C256="",NA(),IF(OR(C256="Smelter not listed",C256="Smelter not yet identified"),MATCH($B256&amp;$D256,'Smelter Look-up'!$J:$J,0),MATCH($B256&amp;$C256,'Smelter Look-up'!$J:$J,0)))</f>
        <v>520</v>
      </c>
      <c r="X256" s="140">
        <f t="shared" si="34"/>
        <v>0</v>
      </c>
      <c r="AB256" s="178" t="str">
        <f t="shared" si="35"/>
        <v>TinThai Nguyen Mining and Metallurgy Co., Ltd.</v>
      </c>
    </row>
    <row r="257" spans="1:28" s="140" customFormat="1" ht="51">
      <c r="A257" s="167" t="s">
        <v>2314</v>
      </c>
      <c r="B257" s="168" t="s">
        <v>131</v>
      </c>
      <c r="C257" s="169" t="s">
        <v>2315</v>
      </c>
      <c r="D257" s="170" t="s">
        <v>2315</v>
      </c>
      <c r="E257" s="168" t="s">
        <v>1047</v>
      </c>
      <c r="F257" s="168" t="s">
        <v>2314</v>
      </c>
      <c r="G257" s="168" t="s">
        <v>142</v>
      </c>
      <c r="H257" s="171" t="s">
        <v>114</v>
      </c>
      <c r="I257" s="172" t="s">
        <v>196</v>
      </c>
      <c r="J257" s="172" t="s">
        <v>196</v>
      </c>
      <c r="K257" s="173"/>
      <c r="L257" s="173"/>
      <c r="M257" s="173"/>
      <c r="N257" s="173" t="s">
        <v>121</v>
      </c>
      <c r="O257" s="173" t="s">
        <v>121</v>
      </c>
      <c r="P257" s="174" t="s">
        <v>121</v>
      </c>
      <c r="Q257" s="175"/>
      <c r="R257" s="168" t="str">
        <f ca="1">IF(ISERROR($V257),"",OFFSET('Smelter Look-up'!$C$4,$V257-4,0)&amp;"")</f>
        <v/>
      </c>
      <c r="S257" s="167" t="str">
        <f t="shared" ca="1" si="33"/>
        <v>TH</v>
      </c>
      <c r="T257" s="167" t="str">
        <f ca="1">IF(B257="","",IF(ISERROR(MATCH($J257,SorP!$B$1:$B$6230,0)),"",INDIRECT("'SorP'!$A$"&amp;MATCH($J257,SorP!$B$1:$B$6230,0))))</f>
        <v/>
      </c>
      <c r="U257" s="176"/>
      <c r="V257" s="177" t="e">
        <f>IF(C257="",NA(),IF(OR(C257="Smelter not listed",C257="Smelter not yet identified"),MATCH($B257&amp;$D257,'Smelter Look-up'!$J:$J,0),MATCH($B257&amp;$C257,'Smelter Look-up'!$J:$J,0)))</f>
        <v>#N/A</v>
      </c>
      <c r="X257" s="140">
        <f t="shared" si="34"/>
        <v>0</v>
      </c>
      <c r="AB257" s="178" t="str">
        <f t="shared" si="35"/>
        <v>TinThailand Mine Factory</v>
      </c>
    </row>
    <row r="258" spans="1:28" s="140" customFormat="1" ht="409.5">
      <c r="A258" s="167" t="s">
        <v>2319</v>
      </c>
      <c r="B258" s="168" t="s">
        <v>131</v>
      </c>
      <c r="C258" s="169" t="s">
        <v>2316</v>
      </c>
      <c r="D258" s="170" t="s">
        <v>2316</v>
      </c>
      <c r="E258" s="168" t="s">
        <v>1047</v>
      </c>
      <c r="F258" s="168" t="s">
        <v>2319</v>
      </c>
      <c r="G258" s="168" t="s">
        <v>142</v>
      </c>
      <c r="H258" s="171" t="s">
        <v>2320</v>
      </c>
      <c r="I258" s="172" t="s">
        <v>2317</v>
      </c>
      <c r="J258" s="172" t="s">
        <v>2318</v>
      </c>
      <c r="K258" s="173" t="s">
        <v>2321</v>
      </c>
      <c r="L258" s="173" t="s">
        <v>2322</v>
      </c>
      <c r="M258" s="173" t="s">
        <v>2323</v>
      </c>
      <c r="N258" s="173" t="s">
        <v>2324</v>
      </c>
      <c r="O258" s="173" t="s">
        <v>2325</v>
      </c>
      <c r="P258" s="174" t="s">
        <v>1741</v>
      </c>
      <c r="Q258" s="175" t="s">
        <v>2326</v>
      </c>
      <c r="R258" s="168" t="str">
        <f ca="1">IF(ISERROR($V258),"",OFFSET('Smelter Look-up'!$C$4,$V258-4,0)&amp;"")</f>
        <v>Thaisarco</v>
      </c>
      <c r="S258" s="167" t="str">
        <f t="shared" ca="1" si="33"/>
        <v>TH</v>
      </c>
      <c r="T258" s="167" t="str">
        <f ca="1">IF(B258="","",IF(ISERROR(MATCH($J258,SorP!$B$1:$B$6230,0)),"",INDIRECT("'SorP'!$A$"&amp;MATCH($J258,SorP!$B$1:$B$6230,0))))</f>
        <v>TH-83</v>
      </c>
      <c r="U258" s="176"/>
      <c r="V258" s="177">
        <f>IF(C258="",NA(),IF(OR(C258="Smelter not listed",C258="Smelter not yet identified"),MATCH($B258&amp;$D258,'Smelter Look-up'!$J:$J,0),MATCH($B258&amp;$C258,'Smelter Look-up'!$J:$J,0)))</f>
        <v>523</v>
      </c>
      <c r="X258" s="140">
        <f t="shared" si="34"/>
        <v>0</v>
      </c>
      <c r="AB258" s="178" t="str">
        <f t="shared" si="35"/>
        <v>TinThaisarco</v>
      </c>
    </row>
    <row r="259" spans="1:28" s="140" customFormat="1" ht="102">
      <c r="A259" s="167" t="s">
        <v>2327</v>
      </c>
      <c r="B259" s="168" t="s">
        <v>131</v>
      </c>
      <c r="C259" s="169" t="s">
        <v>2328</v>
      </c>
      <c r="D259" s="170" t="s">
        <v>2329</v>
      </c>
      <c r="E259" s="168" t="s">
        <v>192</v>
      </c>
      <c r="F259" s="168" t="s">
        <v>2327</v>
      </c>
      <c r="G259" s="168" t="s">
        <v>142</v>
      </c>
      <c r="H259" s="171" t="s">
        <v>114</v>
      </c>
      <c r="I259" s="172" t="s">
        <v>196</v>
      </c>
      <c r="J259" s="172" t="s">
        <v>196</v>
      </c>
      <c r="K259" s="173"/>
      <c r="L259" s="173"/>
      <c r="M259" s="173"/>
      <c r="N259" s="173" t="s">
        <v>121</v>
      </c>
      <c r="O259" s="173" t="s">
        <v>121</v>
      </c>
      <c r="P259" s="174" t="s">
        <v>121</v>
      </c>
      <c r="Q259" s="175"/>
      <c r="R259" s="168" t="str">
        <f ca="1">IF(ISERROR($V259),"",OFFSET('Smelter Look-up'!$C$4,$V259-4,0)&amp;"")</f>
        <v/>
      </c>
      <c r="S259" s="167" t="str">
        <f t="shared" ca="1" si="33"/>
        <v>CN</v>
      </c>
      <c r="T259" s="167" t="str">
        <f ca="1">IF(B259="","",IF(ISERROR(MATCH($J259,SorP!$B$1:$B$6230,0)),"",INDIRECT("'SorP'!$A$"&amp;MATCH($J259,SorP!$B$1:$B$6230,0))))</f>
        <v/>
      </c>
      <c r="U259" s="176"/>
      <c r="V259" s="177" t="e">
        <f>IF(C259="",NA(),IF(OR(C259="Smelter not listed",C259="Smelter not yet identified"),MATCH($B259&amp;$D259,'Smelter Look-up'!$J:$J,0),MATCH($B259&amp;$C259,'Smelter Look-up'!$J:$J,0)))</f>
        <v>#N/A</v>
      </c>
      <c r="X259" s="140">
        <f t="shared" si="34"/>
        <v>0</v>
      </c>
      <c r="AB259" s="178" t="str">
        <f t="shared" si="35"/>
        <v>TinThree green surface technology limited company</v>
      </c>
    </row>
    <row r="260" spans="1:28" s="140" customFormat="1" ht="76.5">
      <c r="A260" s="167" t="s">
        <v>2330</v>
      </c>
      <c r="B260" s="168" t="s">
        <v>131</v>
      </c>
      <c r="C260" s="169" t="s">
        <v>2331</v>
      </c>
      <c r="D260" s="170" t="s">
        <v>2331</v>
      </c>
      <c r="E260" s="168" t="s">
        <v>192</v>
      </c>
      <c r="F260" s="168" t="s">
        <v>2330</v>
      </c>
      <c r="G260" s="168" t="s">
        <v>142</v>
      </c>
      <c r="H260" s="171" t="s">
        <v>114</v>
      </c>
      <c r="I260" s="172" t="s">
        <v>196</v>
      </c>
      <c r="J260" s="172" t="s">
        <v>196</v>
      </c>
      <c r="K260" s="173"/>
      <c r="L260" s="173"/>
      <c r="M260" s="173"/>
      <c r="N260" s="173" t="s">
        <v>121</v>
      </c>
      <c r="O260" s="173" t="s">
        <v>121</v>
      </c>
      <c r="P260" s="174" t="s">
        <v>121</v>
      </c>
      <c r="Q260" s="175"/>
      <c r="R260" s="168" t="str">
        <f ca="1">IF(ISERROR($V260),"",OFFSET('Smelter Look-up'!$C$4,$V260-4,0)&amp;"")</f>
        <v/>
      </c>
      <c r="S260" s="167" t="str">
        <f t="shared" ca="1" si="33"/>
        <v>CN</v>
      </c>
      <c r="T260" s="167" t="str">
        <f ca="1">IF(B260="","",IF(ISERROR(MATCH($J260,SorP!$B$1:$B$6230,0)),"",INDIRECT("'SorP'!$A$"&amp;MATCH($J260,SorP!$B$1:$B$6230,0))))</f>
        <v/>
      </c>
      <c r="U260" s="176"/>
      <c r="V260" s="177" t="e">
        <f>IF(C260="",NA(),IF(OR(C260="Smelter not listed",C260="Smelter not yet identified"),MATCH($B260&amp;$D260,'Smelter Look-up'!$J:$J,0),MATCH($B260&amp;$C260,'Smelter Look-up'!$J:$J,0)))</f>
        <v>#N/A</v>
      </c>
      <c r="X260" s="140">
        <f t="shared" si="34"/>
        <v>0</v>
      </c>
      <c r="AB260" s="178" t="str">
        <f t="shared" si="35"/>
        <v>TinTianshui Ling Bo Technology Co., Ltd.</v>
      </c>
    </row>
    <row r="261" spans="1:28" s="140" customFormat="1" ht="409.5">
      <c r="A261" s="167" t="s">
        <v>2332</v>
      </c>
      <c r="B261" s="168" t="s">
        <v>131</v>
      </c>
      <c r="C261" s="169" t="s">
        <v>831</v>
      </c>
      <c r="D261" s="170" t="s">
        <v>831</v>
      </c>
      <c r="E261" s="168" t="s">
        <v>832</v>
      </c>
      <c r="F261" s="168" t="s">
        <v>2332</v>
      </c>
      <c r="G261" s="168" t="s">
        <v>142</v>
      </c>
      <c r="H261" s="171" t="s">
        <v>2333</v>
      </c>
      <c r="I261" s="172" t="s">
        <v>2046</v>
      </c>
      <c r="J261" s="172" t="s">
        <v>2334</v>
      </c>
      <c r="K261" s="173" t="s">
        <v>2335</v>
      </c>
      <c r="L261" s="173" t="s">
        <v>2336</v>
      </c>
      <c r="M261" s="173" t="s">
        <v>2337</v>
      </c>
      <c r="N261" s="173" t="s">
        <v>2338</v>
      </c>
      <c r="O261" s="173" t="s">
        <v>2339</v>
      </c>
      <c r="P261" s="174" t="s">
        <v>164</v>
      </c>
      <c r="Q261" s="175" t="s">
        <v>2340</v>
      </c>
      <c r="R261" s="168" t="str">
        <f ca="1">IF(ISERROR($V261),"",OFFSET('Smelter Look-up'!$C$4,$V261-4,0)&amp;"")</f>
        <v>Minsur</v>
      </c>
      <c r="S261" s="167" t="str">
        <f t="shared" ca="1" si="33"/>
        <v>PE</v>
      </c>
      <c r="T261" s="167" t="str">
        <f ca="1">IF(B261="","",IF(ISERROR(MATCH($J261,SorP!$B$1:$B$6230,0)),"",INDIRECT("'SorP'!$A$"&amp;MATCH($J261,SorP!$B$1:$B$6230,0))))</f>
        <v>PE-ICA</v>
      </c>
      <c r="U261" s="176"/>
      <c r="V261" s="177">
        <f>IF(C261="",NA(),IF(OR(C261="Smelter not listed",C261="Smelter not yet identified"),MATCH($B261&amp;$D261,'Smelter Look-up'!$J:$J,0),MATCH($B261&amp;$C261,'Smelter Look-up'!$J:$J,0)))</f>
        <v>468</v>
      </c>
      <c r="X261" s="140">
        <f t="shared" si="34"/>
        <v>0</v>
      </c>
      <c r="AB261" s="178" t="str">
        <f t="shared" si="35"/>
        <v>TinMinsur</v>
      </c>
    </row>
    <row r="262" spans="1:28" s="140" customFormat="1" ht="409.5">
      <c r="A262" s="167" t="s">
        <v>2341</v>
      </c>
      <c r="B262" s="168" t="s">
        <v>132</v>
      </c>
      <c r="C262" s="169" t="s">
        <v>2342</v>
      </c>
      <c r="D262" s="170" t="s">
        <v>2342</v>
      </c>
      <c r="E262" s="168" t="s">
        <v>192</v>
      </c>
      <c r="F262" s="168" t="s">
        <v>2341</v>
      </c>
      <c r="G262" s="168" t="s">
        <v>142</v>
      </c>
      <c r="H262" s="171" t="s">
        <v>2343</v>
      </c>
      <c r="I262" s="172" t="s">
        <v>985</v>
      </c>
      <c r="J262" s="172" t="s">
        <v>771</v>
      </c>
      <c r="K262" s="173" t="s">
        <v>2344</v>
      </c>
      <c r="L262" s="173" t="s">
        <v>2345</v>
      </c>
      <c r="M262" s="173" t="s">
        <v>2346</v>
      </c>
      <c r="N262" s="173" t="s">
        <v>2347</v>
      </c>
      <c r="O262" s="173" t="s">
        <v>2348</v>
      </c>
      <c r="P262" s="174" t="s">
        <v>715</v>
      </c>
      <c r="Q262" s="175" t="s">
        <v>2349</v>
      </c>
      <c r="R262" s="168" t="str">
        <f ca="1">IF(ISERROR($V262),"",OFFSET('Smelter Look-up'!$C$4,$V262-4,0)&amp;"")</f>
        <v>Jiangwu H.C. Starck Tungsten Products Co., Ltd.</v>
      </c>
      <c r="S262" s="167" t="str">
        <f t="shared" ca="1" si="33"/>
        <v>CN</v>
      </c>
      <c r="T262" s="167" t="str">
        <f ca="1">IF(B262="","",IF(ISERROR(MATCH($J262,SorP!$B$1:$B$6230,0)),"",INDIRECT("'SorP'!$A$"&amp;MATCH($J262,SorP!$B$1:$B$6230,0))))</f>
        <v>CN-JX</v>
      </c>
      <c r="U262" s="176"/>
      <c r="V262" s="177">
        <f>IF(C262="",NA(),IF(OR(C262="Smelter not listed",C262="Smelter not yet identified"),MATCH($B262&amp;$D262,'Smelter Look-up'!$J:$J,0),MATCH($B262&amp;$C262,'Smelter Look-up'!$J:$J,0)))</f>
        <v>593</v>
      </c>
      <c r="X262" s="140">
        <f t="shared" si="34"/>
        <v>0</v>
      </c>
      <c r="AB262" s="178" t="str">
        <f t="shared" si="35"/>
        <v>TungstenJiangwu H.C. Starck Tungsten Products Co., Ltd.</v>
      </c>
    </row>
    <row r="263" spans="1:28" s="140" customFormat="1" ht="409.5">
      <c r="A263" s="167" t="s">
        <v>2350</v>
      </c>
      <c r="B263" s="168" t="s">
        <v>132</v>
      </c>
      <c r="C263" s="169" t="s">
        <v>2351</v>
      </c>
      <c r="D263" s="170" t="s">
        <v>2351</v>
      </c>
      <c r="E263" s="168" t="s">
        <v>192</v>
      </c>
      <c r="F263" s="168" t="s">
        <v>2350</v>
      </c>
      <c r="G263" s="168" t="s">
        <v>142</v>
      </c>
      <c r="H263" s="171" t="s">
        <v>2352</v>
      </c>
      <c r="I263" s="172" t="s">
        <v>2353</v>
      </c>
      <c r="J263" s="172" t="s">
        <v>771</v>
      </c>
      <c r="K263" s="173" t="s">
        <v>2354</v>
      </c>
      <c r="L263" s="173" t="s">
        <v>2355</v>
      </c>
      <c r="M263" s="173" t="s">
        <v>2356</v>
      </c>
      <c r="N263" s="173" t="s">
        <v>2357</v>
      </c>
      <c r="O263" s="173" t="s">
        <v>2358</v>
      </c>
      <c r="P263" s="174" t="s">
        <v>715</v>
      </c>
      <c r="Q263" s="175" t="s">
        <v>2359</v>
      </c>
      <c r="R263" s="168" t="str">
        <f ca="1">IF(ISERROR($V263),"",OFFSET('Smelter Look-up'!$C$4,$V263-4,0)&amp;"")</f>
        <v>Jiangxi Gan Bei Tungsten Co., Ltd.</v>
      </c>
      <c r="S263" s="167" t="str">
        <f t="shared" ca="1" si="33"/>
        <v>CN</v>
      </c>
      <c r="T263" s="167" t="str">
        <f ca="1">IF(B263="","",IF(ISERROR(MATCH($J263,SorP!$B$1:$B$6230,0)),"",INDIRECT("'SorP'!$A$"&amp;MATCH($J263,SorP!$B$1:$B$6230,0))))</f>
        <v>CN-JX</v>
      </c>
      <c r="U263" s="176"/>
      <c r="V263" s="177">
        <f>IF(C263="",NA(),IF(OR(C263="Smelter not listed",C263="Smelter not yet identified"),MATCH($B263&amp;$D263,'Smelter Look-up'!$J:$J,0),MATCH($B263&amp;$C263,'Smelter Look-up'!$J:$J,0)))</f>
        <v>594</v>
      </c>
      <c r="X263" s="140">
        <f t="shared" si="34"/>
        <v>0</v>
      </c>
      <c r="AB263" s="178" t="str">
        <f t="shared" si="35"/>
        <v>TungstenJiangxi Gan Bei Tungsten Co., Ltd.</v>
      </c>
    </row>
    <row r="264" spans="1:28" s="140" customFormat="1" ht="318.75">
      <c r="A264" s="167" t="s">
        <v>2360</v>
      </c>
      <c r="B264" s="168" t="s">
        <v>132</v>
      </c>
      <c r="C264" s="169" t="s">
        <v>2361</v>
      </c>
      <c r="D264" s="170" t="s">
        <v>2361</v>
      </c>
      <c r="E264" s="168" t="s">
        <v>369</v>
      </c>
      <c r="F264" s="168" t="s">
        <v>2360</v>
      </c>
      <c r="G264" s="168" t="s">
        <v>142</v>
      </c>
      <c r="H264" s="171" t="s">
        <v>2362</v>
      </c>
      <c r="I264" s="172" t="s">
        <v>2363</v>
      </c>
      <c r="J264" s="172" t="s">
        <v>2364</v>
      </c>
      <c r="K264" s="173" t="s">
        <v>2365</v>
      </c>
      <c r="L264" s="173" t="s">
        <v>2366</v>
      </c>
      <c r="M264" s="173" t="s">
        <v>2367</v>
      </c>
      <c r="N264" s="173" t="s">
        <v>2368</v>
      </c>
      <c r="O264" s="173" t="s">
        <v>2369</v>
      </c>
      <c r="P264" s="174" t="s">
        <v>1683</v>
      </c>
      <c r="Q264" s="175" t="s">
        <v>2370</v>
      </c>
      <c r="R264" s="168" t="str">
        <f ca="1">IF(ISERROR($V264),"",OFFSET('Smelter Look-up'!$C$4,$V264-4,0)&amp;"")</f>
        <v>Lianyou Metals Co., Ltd.</v>
      </c>
      <c r="S264" s="167" t="str">
        <f t="shared" ca="1" si="33"/>
        <v>TW</v>
      </c>
      <c r="T264" s="167" t="str">
        <f ca="1">IF(B264="","",IF(ISERROR(MATCH($J264,SorP!$B$1:$B$6230,0)),"",INDIRECT("'SorP'!$A$"&amp;MATCH($J264,SorP!$B$1:$B$6230,0))))</f>
        <v>TW-PIF</v>
      </c>
      <c r="U264" s="176"/>
      <c r="V264" s="177">
        <f>IF(C264="",NA(),IF(OR(C264="Smelter not listed",C264="Smelter not yet identified"),MATCH($B264&amp;$D264,'Smelter Look-up'!$J:$J,0),MATCH($B264&amp;$C264,'Smelter Look-up'!$J:$J,0)))</f>
        <v>606</v>
      </c>
      <c r="X264" s="140">
        <f t="shared" si="34"/>
        <v>0</v>
      </c>
      <c r="AB264" s="178" t="str">
        <f t="shared" si="35"/>
        <v>TungstenLianyou Metals Co., Ltd.</v>
      </c>
    </row>
    <row r="265" spans="1:28" s="140" customFormat="1" ht="409.5">
      <c r="A265" s="167" t="s">
        <v>990</v>
      </c>
      <c r="B265" s="168" t="s">
        <v>132</v>
      </c>
      <c r="C265" s="169" t="s">
        <v>2373</v>
      </c>
      <c r="D265" s="170" t="s">
        <v>2373</v>
      </c>
      <c r="E265" s="168" t="s">
        <v>192</v>
      </c>
      <c r="F265" s="168" t="s">
        <v>990</v>
      </c>
      <c r="G265" s="168" t="s">
        <v>142</v>
      </c>
      <c r="H265" s="171" t="s">
        <v>114</v>
      </c>
      <c r="I265" s="172" t="s">
        <v>2374</v>
      </c>
      <c r="J265" s="172" t="s">
        <v>1148</v>
      </c>
      <c r="K265" s="173" t="s">
        <v>2375</v>
      </c>
      <c r="L265" s="173" t="s">
        <v>2376</v>
      </c>
      <c r="M265" s="173" t="s">
        <v>2377</v>
      </c>
      <c r="N265" s="173" t="s">
        <v>2378</v>
      </c>
      <c r="O265" s="173" t="s">
        <v>2379</v>
      </c>
      <c r="P265" s="174" t="s">
        <v>715</v>
      </c>
      <c r="Q265" s="175" t="s">
        <v>2380</v>
      </c>
      <c r="R265" s="168" t="str">
        <f ca="1">IF(ISERROR($V265),"",OFFSET('Smelter Look-up'!$C$4,$V265-4,0)&amp;"")</f>
        <v>Malipo Haiyu Tungsten Co., Ltd.</v>
      </c>
      <c r="S265" s="167" t="str">
        <f t="shared" ca="1" si="33"/>
        <v>CN</v>
      </c>
      <c r="T265" s="167" t="str">
        <f ca="1">IF(B265="","",IF(ISERROR(MATCH($J265,SorP!$B$1:$B$6230,0)),"",INDIRECT("'SorP'!$A$"&amp;MATCH($J265,SorP!$B$1:$B$6230,0))))</f>
        <v>CN-YN</v>
      </c>
      <c r="U265" s="176"/>
      <c r="V265" s="177">
        <f>IF(C265="",NA(),IF(OR(C265="Smelter not listed",C265="Smelter not yet identified"),MATCH($B265&amp;$D265,'Smelter Look-up'!$J:$J,0),MATCH($B265&amp;$C265,'Smelter Look-up'!$J:$J,0)))</f>
        <v>608</v>
      </c>
      <c r="X265" s="140">
        <f t="shared" si="34"/>
        <v>0</v>
      </c>
      <c r="AB265" s="178" t="str">
        <f t="shared" si="35"/>
        <v>TungstenMalipo Haiyu Tungsten Co., Ltd.</v>
      </c>
    </row>
    <row r="266" spans="1:28" s="140" customFormat="1" ht="51">
      <c r="A266" s="167" t="s">
        <v>2386</v>
      </c>
      <c r="B266" s="168" t="s">
        <v>132</v>
      </c>
      <c r="C266" s="169" t="s">
        <v>2387</v>
      </c>
      <c r="D266" s="170" t="s">
        <v>2387</v>
      </c>
      <c r="E266" s="168" t="s">
        <v>459</v>
      </c>
      <c r="F266" s="168" t="s">
        <v>2386</v>
      </c>
      <c r="G266" s="168" t="s">
        <v>142</v>
      </c>
      <c r="H266" s="171" t="s">
        <v>114</v>
      </c>
      <c r="I266" s="172" t="s">
        <v>2388</v>
      </c>
      <c r="J266" s="172" t="s">
        <v>2389</v>
      </c>
      <c r="K266" s="173"/>
      <c r="L266" s="173"/>
      <c r="M266" s="173"/>
      <c r="N266" s="173" t="s">
        <v>121</v>
      </c>
      <c r="O266" s="173" t="s">
        <v>2390</v>
      </c>
      <c r="P266" s="174" t="s">
        <v>121</v>
      </c>
      <c r="Q266" s="175" t="s">
        <v>196</v>
      </c>
      <c r="R266" s="168" t="str">
        <f ca="1">IF(ISERROR($V266),"",OFFSET('Smelter Look-up'!$C$4,$V266-4,0)&amp;"")</f>
        <v>OOO “Technolom” 1</v>
      </c>
      <c r="S266" s="167" t="str">
        <f t="shared" ca="1" si="33"/>
        <v>RU</v>
      </c>
      <c r="T266" s="167" t="str">
        <f ca="1">IF(B266="","",IF(ISERROR(MATCH($J266,SorP!$B$1:$B$6230,0)),"",INDIRECT("'SorP'!$A$"&amp;MATCH($J266,SorP!$B$1:$B$6230,0))))</f>
        <v>RU-MOS</v>
      </c>
      <c r="U266" s="176"/>
      <c r="V266" s="177">
        <f>IF(C266="",NA(),IF(OR(C266="Smelter not listed",C266="Smelter not yet identified"),MATCH($B266&amp;$D266,'Smelter Look-up'!$J:$J,0),MATCH($B266&amp;$C266,'Smelter Look-up'!$J:$J,0)))</f>
        <v>615</v>
      </c>
      <c r="X266" s="140">
        <f t="shared" si="34"/>
        <v>0</v>
      </c>
      <c r="AB266" s="178" t="str">
        <f t="shared" si="35"/>
        <v>TungstenOOO “Technolom” 1</v>
      </c>
    </row>
    <row r="267" spans="1:28" s="140" customFormat="1" ht="51">
      <c r="A267" s="167" t="s">
        <v>2391</v>
      </c>
      <c r="B267" s="168" t="s">
        <v>132</v>
      </c>
      <c r="C267" s="169" t="s">
        <v>2392</v>
      </c>
      <c r="D267" s="170" t="s">
        <v>2392</v>
      </c>
      <c r="E267" s="168" t="s">
        <v>459</v>
      </c>
      <c r="F267" s="168" t="s">
        <v>2391</v>
      </c>
      <c r="G267" s="168" t="s">
        <v>142</v>
      </c>
      <c r="H267" s="171" t="s">
        <v>2393</v>
      </c>
      <c r="I267" s="172" t="s">
        <v>2388</v>
      </c>
      <c r="J267" s="172" t="s">
        <v>2389</v>
      </c>
      <c r="K267" s="173"/>
      <c r="L267" s="173"/>
      <c r="M267" s="173"/>
      <c r="N267" s="173" t="s">
        <v>121</v>
      </c>
      <c r="O267" s="173" t="s">
        <v>2390</v>
      </c>
      <c r="P267" s="174" t="s">
        <v>121</v>
      </c>
      <c r="Q267" s="175" t="s">
        <v>196</v>
      </c>
      <c r="R267" s="168" t="str">
        <f ca="1">IF(ISERROR($V267),"",OFFSET('Smelter Look-up'!$C$4,$V267-4,0)&amp;"")</f>
        <v>OOO “Technolom” 2</v>
      </c>
      <c r="S267" s="167" t="str">
        <f t="shared" ca="1" si="33"/>
        <v>RU</v>
      </c>
      <c r="T267" s="167" t="str">
        <f ca="1">IF(B267="","",IF(ISERROR(MATCH($J267,SorP!$B$1:$B$6230,0)),"",INDIRECT("'SorP'!$A$"&amp;MATCH($J267,SorP!$B$1:$B$6230,0))))</f>
        <v>RU-MOS</v>
      </c>
      <c r="U267" s="176"/>
      <c r="V267" s="177">
        <f>IF(C267="",NA(),IF(OR(C267="Smelter not listed",C267="Smelter not yet identified"),MATCH($B267&amp;$D267,'Smelter Look-up'!$J:$J,0),MATCH($B267&amp;$C267,'Smelter Look-up'!$J:$J,0)))</f>
        <v>616</v>
      </c>
      <c r="X267" s="140">
        <f t="shared" si="34"/>
        <v>0</v>
      </c>
      <c r="AB267" s="178" t="str">
        <f t="shared" si="35"/>
        <v>TungstenOOO “Technolom” 2</v>
      </c>
    </row>
    <row r="268" spans="1:28" s="140" customFormat="1" ht="344.25">
      <c r="A268" s="167" t="s">
        <v>2394</v>
      </c>
      <c r="B268" s="168" t="s">
        <v>132</v>
      </c>
      <c r="C268" s="169" t="s">
        <v>2395</v>
      </c>
      <c r="D268" s="170" t="s">
        <v>2395</v>
      </c>
      <c r="E268" s="168" t="s">
        <v>256</v>
      </c>
      <c r="F268" s="168" t="s">
        <v>2394</v>
      </c>
      <c r="G268" s="168" t="s">
        <v>142</v>
      </c>
      <c r="H268" s="171" t="s">
        <v>114</v>
      </c>
      <c r="I268" s="172" t="s">
        <v>1440</v>
      </c>
      <c r="J268" s="172" t="s">
        <v>1441</v>
      </c>
      <c r="K268" s="173" t="s">
        <v>2396</v>
      </c>
      <c r="L268" s="173" t="s">
        <v>2397</v>
      </c>
      <c r="M268" s="173" t="s">
        <v>2398</v>
      </c>
      <c r="N268" s="173" t="s">
        <v>2399</v>
      </c>
      <c r="O268" s="173" t="s">
        <v>2400</v>
      </c>
      <c r="P268" s="174" t="s">
        <v>117</v>
      </c>
      <c r="Q268" s="175" t="s">
        <v>2401</v>
      </c>
      <c r="R268" s="168" t="str">
        <f ca="1">IF(ISERROR($V268),"",OFFSET('Smelter Look-up'!$C$4,$V268-4,0)&amp;"")</f>
        <v/>
      </c>
      <c r="S268" s="167" t="str">
        <f t="shared" ca="1" si="33"/>
        <v>KR</v>
      </c>
      <c r="T268" s="167" t="str">
        <f ca="1">IF(B268="","",IF(ISERROR(MATCH($J268,SorP!$B$1:$B$6230,0)),"",INDIRECT("'SorP'!$A$"&amp;MATCH($J268,SorP!$B$1:$B$6230,0))))</f>
        <v>KR-47</v>
      </c>
      <c r="U268" s="176"/>
      <c r="V268" s="177" t="e">
        <f>IF(C268="",NA(),IF(OR(C268="Smelter not listed",C268="Smelter not yet identified"),MATCH($B268&amp;$D268,'Smelter Look-up'!$J:$J,0),MATCH($B268&amp;$C268,'Smelter Look-up'!$J:$J,0)))</f>
        <v>#N/A</v>
      </c>
      <c r="X268" s="140">
        <f t="shared" si="34"/>
        <v>0</v>
      </c>
      <c r="AB268" s="178" t="str">
        <f t="shared" si="35"/>
        <v>TungstenWoltech Korea Co., Ltd.</v>
      </c>
    </row>
    <row r="269" spans="1:28" s="140" customFormat="1" ht="409.5">
      <c r="A269" s="167" t="s">
        <v>2402</v>
      </c>
      <c r="B269" s="168" t="s">
        <v>132</v>
      </c>
      <c r="C269" s="169" t="s">
        <v>2403</v>
      </c>
      <c r="D269" s="170" t="s">
        <v>2403</v>
      </c>
      <c r="E269" s="168" t="s">
        <v>1314</v>
      </c>
      <c r="F269" s="168" t="s">
        <v>2402</v>
      </c>
      <c r="G269" s="168" t="s">
        <v>142</v>
      </c>
      <c r="H269" s="171" t="s">
        <v>2404</v>
      </c>
      <c r="I269" s="172" t="s">
        <v>2405</v>
      </c>
      <c r="J269" s="172" t="s">
        <v>2406</v>
      </c>
      <c r="K269" s="173" t="s">
        <v>2407</v>
      </c>
      <c r="L269" s="173" t="s">
        <v>2408</v>
      </c>
      <c r="M269" s="173" t="s">
        <v>2409</v>
      </c>
      <c r="N269" s="173" t="s">
        <v>2410</v>
      </c>
      <c r="O269" s="173" t="s">
        <v>2411</v>
      </c>
      <c r="P269" s="174" t="s">
        <v>732</v>
      </c>
      <c r="Q269" s="175" t="s">
        <v>2412</v>
      </c>
      <c r="R269" s="168" t="str">
        <f ca="1">IF(ISERROR($V269),"",OFFSET('Smelter Look-up'!$C$4,$V269-4,0)&amp;"")</f>
        <v>Philippine Chuangxin Industrial Co., Inc.</v>
      </c>
      <c r="S269" s="167" t="str">
        <f t="shared" ca="1" si="33"/>
        <v>PH</v>
      </c>
      <c r="T269" s="167" t="str">
        <f ca="1">IF(B269="","",IF(ISERROR(MATCH($J269,SorP!$B$1:$B$6230,0)),"",INDIRECT("'SorP'!$A$"&amp;MATCH($J269,SorP!$B$1:$B$6230,0))))</f>
        <v>PH-BUL</v>
      </c>
      <c r="U269" s="176"/>
      <c r="V269" s="177">
        <f>IF(C269="",NA(),IF(OR(C269="Smelter not listed",C269="Smelter not yet identified"),MATCH($B269&amp;$D269,'Smelter Look-up'!$J:$J,0),MATCH($B269&amp;$C269,'Smelter Look-up'!$J:$J,0)))</f>
        <v>617</v>
      </c>
      <c r="X269" s="140">
        <f t="shared" si="34"/>
        <v>0</v>
      </c>
      <c r="AB269" s="178" t="str">
        <f t="shared" si="35"/>
        <v>TungstenPhilippine Chuangxin Industrial Co., Inc.</v>
      </c>
    </row>
    <row r="270" spans="1:28" s="140" customFormat="1" ht="140.25">
      <c r="A270" s="167" t="s">
        <v>2413</v>
      </c>
      <c r="B270" s="168" t="s">
        <v>132</v>
      </c>
      <c r="C270" s="169" t="s">
        <v>2414</v>
      </c>
      <c r="D270" s="170" t="s">
        <v>2414</v>
      </c>
      <c r="E270" s="168" t="s">
        <v>192</v>
      </c>
      <c r="F270" s="168" t="s">
        <v>2413</v>
      </c>
      <c r="G270" s="168" t="s">
        <v>142</v>
      </c>
      <c r="H270" s="171" t="s">
        <v>114</v>
      </c>
      <c r="I270" s="172" t="s">
        <v>1244</v>
      </c>
      <c r="J270" s="172" t="s">
        <v>709</v>
      </c>
      <c r="K270" s="173"/>
      <c r="L270" s="173"/>
      <c r="M270" s="173" t="s">
        <v>173</v>
      </c>
      <c r="N270" s="173" t="s">
        <v>121</v>
      </c>
      <c r="O270" s="173" t="s">
        <v>121</v>
      </c>
      <c r="P270" s="174" t="s">
        <v>121</v>
      </c>
      <c r="Q270" s="175"/>
      <c r="R270" s="168" t="str">
        <f ca="1">IF(ISERROR($V270),"",OFFSET('Smelter Look-up'!$C$4,$V270-4,0)&amp;"")</f>
        <v/>
      </c>
      <c r="S270" s="167" t="str">
        <f t="shared" ref="S270:S280" ca="1" si="36">IF(B270="","",IF(ISERROR(MATCH($E270,CL,0)),"Unknown",INDIRECT("'C'!$A$"&amp;MATCH($E270,CL,0)+1)))</f>
        <v>CN</v>
      </c>
      <c r="T270" s="167" t="str">
        <f ca="1">IF(B270="","",IF(ISERROR(MATCH($J270,SorP!$B$1:$B$6230,0)),"",INDIRECT("'SorP'!$A$"&amp;MATCH($J270,SorP!$B$1:$B$6230,0))))</f>
        <v>CN-HN</v>
      </c>
      <c r="U270" s="176"/>
      <c r="V270" s="177" t="e">
        <f>IF(C270="",NA(),IF(OR(C270="Smelter not listed",C270="Smelter not yet identified"),MATCH($B270&amp;$D270,'Smelter Look-up'!$J:$J,0),MATCH($B270&amp;$C270,'Smelter Look-up'!$J:$J,0)))</f>
        <v>#N/A</v>
      </c>
      <c r="X270" s="140">
        <f t="shared" ref="X270:X280" si="37">IF(AND(C270="Smelter not listed",OR(LEN(D270)=0,LEN(E270)=0)),1,0)</f>
        <v>0</v>
      </c>
      <c r="AB270" s="178" t="str">
        <f t="shared" ref="AB270:AB280" si="38">B270&amp;C270</f>
        <v>TungstenSouth-East Nonferrous Metal Company Limited of Hengyang City</v>
      </c>
    </row>
    <row r="271" spans="1:28" s="140" customFormat="1" ht="409.5">
      <c r="A271" s="167" t="s">
        <v>2415</v>
      </c>
      <c r="B271" s="168" t="s">
        <v>132</v>
      </c>
      <c r="C271" s="169" t="s">
        <v>2416</v>
      </c>
      <c r="D271" s="170" t="s">
        <v>2416</v>
      </c>
      <c r="E271" s="168" t="s">
        <v>459</v>
      </c>
      <c r="F271" s="168" t="s">
        <v>2415</v>
      </c>
      <c r="G271" s="168" t="s">
        <v>142</v>
      </c>
      <c r="H271" s="171" t="s">
        <v>2417</v>
      </c>
      <c r="I271" s="172" t="s">
        <v>2418</v>
      </c>
      <c r="J271" s="172" t="s">
        <v>2419</v>
      </c>
      <c r="K271" s="173" t="s">
        <v>2420</v>
      </c>
      <c r="L271" s="173" t="s">
        <v>2421</v>
      </c>
      <c r="M271" s="173" t="s">
        <v>2422</v>
      </c>
      <c r="N271" s="173" t="s">
        <v>2423</v>
      </c>
      <c r="O271" s="173" t="s">
        <v>2424</v>
      </c>
      <c r="P271" s="174" t="s">
        <v>175</v>
      </c>
      <c r="Q271" s="175" t="s">
        <v>2425</v>
      </c>
      <c r="R271" s="168" t="str">
        <f ca="1">IF(ISERROR($V271),"",OFFSET('Smelter Look-up'!$C$4,$V271-4,0)&amp;"")</f>
        <v>Unecha Refractory metals plant</v>
      </c>
      <c r="S271" s="167" t="str">
        <f t="shared" ca="1" si="36"/>
        <v>RU</v>
      </c>
      <c r="T271" s="167" t="str">
        <f ca="1">IF(B271="","",IF(ISERROR(MATCH($J271,SorP!$B$1:$B$6230,0)),"",INDIRECT("'SorP'!$A$"&amp;MATCH($J271,SorP!$B$1:$B$6230,0))))</f>
        <v>RU-BRY</v>
      </c>
      <c r="U271" s="176"/>
      <c r="V271" s="177">
        <f>IF(C271="",NA(),IF(OR(C271="Smelter not listed",C271="Smelter not yet identified"),MATCH($B271&amp;$D271,'Smelter Look-up'!$J:$J,0),MATCH($B271&amp;$C271,'Smelter Look-up'!$J:$J,0)))</f>
        <v>619</v>
      </c>
      <c r="X271" s="140">
        <f t="shared" si="37"/>
        <v>0</v>
      </c>
      <c r="AB271" s="178" t="str">
        <f t="shared" si="38"/>
        <v>TungstenUnecha Refractory metals plant</v>
      </c>
    </row>
    <row r="272" spans="1:28" s="140" customFormat="1" ht="127.5">
      <c r="A272" s="167" t="s">
        <v>2426</v>
      </c>
      <c r="B272" s="168" t="s">
        <v>132</v>
      </c>
      <c r="C272" s="169" t="s">
        <v>2427</v>
      </c>
      <c r="D272" s="170" t="s">
        <v>2427</v>
      </c>
      <c r="E272" s="168" t="s">
        <v>1125</v>
      </c>
      <c r="F272" s="168" t="s">
        <v>2426</v>
      </c>
      <c r="G272" s="168" t="s">
        <v>142</v>
      </c>
      <c r="H272" s="171" t="s">
        <v>114</v>
      </c>
      <c r="I272" s="172" t="s">
        <v>1489</v>
      </c>
      <c r="J272" s="172" t="s">
        <v>2428</v>
      </c>
      <c r="K272" s="173"/>
      <c r="L272" s="173" t="s">
        <v>2429</v>
      </c>
      <c r="M272" s="173"/>
      <c r="N272" s="173" t="s">
        <v>121</v>
      </c>
      <c r="O272" s="173" t="s">
        <v>121</v>
      </c>
      <c r="P272" s="174" t="s">
        <v>121</v>
      </c>
      <c r="Q272" s="175"/>
      <c r="R272" s="168" t="str">
        <f ca="1">IF(ISERROR($V272),"",OFFSET('Smelter Look-up'!$C$4,$V272-4,0)&amp;"")</f>
        <v/>
      </c>
      <c r="S272" s="167" t="str">
        <f t="shared" ca="1" si="36"/>
        <v>VN</v>
      </c>
      <c r="T272" s="167" t="str">
        <f ca="1">IF(B272="","",IF(ISERROR(MATCH($J272,SorP!$B$1:$B$6230,0)),"",INDIRECT("'SorP'!$A$"&amp;MATCH($J272,SorP!$B$1:$B$6230,0))))</f>
        <v>VN-13</v>
      </c>
      <c r="U272" s="176"/>
      <c r="V272" s="177" t="e">
        <f>IF(C272="",NA(),IF(OR(C272="Smelter not listed",C272="Smelter not yet identified"),MATCH($B272&amp;$D272,'Smelter Look-up'!$J:$J,0),MATCH($B272&amp;$C272,'Smelter Look-up'!$J:$J,0)))</f>
        <v>#N/A</v>
      </c>
      <c r="X272" s="140">
        <f t="shared" si="37"/>
        <v>0</v>
      </c>
      <c r="AB272" s="178" t="str">
        <f t="shared" si="38"/>
        <v>TungstenVietnam Youngsun Tungsten Industry Co., Ltd.</v>
      </c>
    </row>
    <row r="273" spans="1:28" s="140" customFormat="1" ht="409.5">
      <c r="A273" s="167" t="s">
        <v>991</v>
      </c>
      <c r="B273" s="168" t="s">
        <v>132</v>
      </c>
      <c r="C273" s="169" t="s">
        <v>2430</v>
      </c>
      <c r="D273" s="170" t="s">
        <v>2430</v>
      </c>
      <c r="E273" s="168" t="s">
        <v>192</v>
      </c>
      <c r="F273" s="168" t="s">
        <v>991</v>
      </c>
      <c r="G273" s="168" t="s">
        <v>142</v>
      </c>
      <c r="H273" s="171" t="s">
        <v>2431</v>
      </c>
      <c r="I273" s="172" t="s">
        <v>2432</v>
      </c>
      <c r="J273" s="172" t="s">
        <v>958</v>
      </c>
      <c r="K273" s="173" t="s">
        <v>2433</v>
      </c>
      <c r="L273" s="173" t="s">
        <v>2434</v>
      </c>
      <c r="M273" s="173" t="s">
        <v>2435</v>
      </c>
      <c r="N273" s="173" t="s">
        <v>2436</v>
      </c>
      <c r="O273" s="173" t="s">
        <v>2437</v>
      </c>
      <c r="P273" s="174" t="s">
        <v>715</v>
      </c>
      <c r="Q273" s="175" t="s">
        <v>2438</v>
      </c>
      <c r="R273" s="168" t="str">
        <f ca="1">IF(ISERROR($V273),"",OFFSET('Smelter Look-up'!$C$4,$V273-4,0)&amp;"")</f>
        <v>Xiamen Tungsten (H.C.) Co., Ltd.</v>
      </c>
      <c r="S273" s="167" t="str">
        <f t="shared" ca="1" si="36"/>
        <v>CN</v>
      </c>
      <c r="T273" s="167" t="str">
        <f ca="1">IF(B273="","",IF(ISERROR(MATCH($J273,SorP!$B$1:$B$6230,0)),"",INDIRECT("'SorP'!$A$"&amp;MATCH($J273,SorP!$B$1:$B$6230,0))))</f>
        <v>CN-FJ</v>
      </c>
      <c r="U273" s="176"/>
      <c r="V273" s="177">
        <f>IF(C273="",NA(),IF(OR(C273="Smelter not listed",C273="Smelter not yet identified"),MATCH($B273&amp;$D273,'Smelter Look-up'!$J:$J,0),MATCH($B273&amp;$C273,'Smelter Look-up'!$J:$J,0)))</f>
        <v>625</v>
      </c>
      <c r="X273" s="140">
        <f t="shared" si="37"/>
        <v>0</v>
      </c>
      <c r="AB273" s="178" t="str">
        <f t="shared" si="38"/>
        <v>TungstenXiamen Tungsten (H.C.) Co., Ltd.</v>
      </c>
    </row>
    <row r="274" spans="1:28" s="140" customFormat="1" ht="409.5">
      <c r="A274" s="167" t="s">
        <v>2440</v>
      </c>
      <c r="B274" s="168" t="s">
        <v>131</v>
      </c>
      <c r="C274" s="169" t="s">
        <v>2441</v>
      </c>
      <c r="D274" s="170" t="s">
        <v>2441</v>
      </c>
      <c r="E274" s="168" t="s">
        <v>1314</v>
      </c>
      <c r="F274" s="168" t="s">
        <v>2440</v>
      </c>
      <c r="G274" s="168" t="s">
        <v>142</v>
      </c>
      <c r="H274" s="171" t="s">
        <v>2442</v>
      </c>
      <c r="I274" s="172" t="s">
        <v>2443</v>
      </c>
      <c r="J274" s="172" t="s">
        <v>2444</v>
      </c>
      <c r="K274" s="173" t="s">
        <v>2445</v>
      </c>
      <c r="L274" s="173" t="s">
        <v>2446</v>
      </c>
      <c r="M274" s="173" t="s">
        <v>2447</v>
      </c>
      <c r="N274" s="173" t="s">
        <v>2448</v>
      </c>
      <c r="O274" s="173" t="s">
        <v>2449</v>
      </c>
      <c r="P274" s="174" t="s">
        <v>164</v>
      </c>
      <c r="Q274" s="175" t="s">
        <v>2450</v>
      </c>
      <c r="R274" s="168" t="str">
        <f ca="1">IF(ISERROR($V274),"",OFFSET('Smelter Look-up'!$C$4,$V274-4,0)&amp;"")</f>
        <v>O.M. Manufacturing Philippines, Inc.</v>
      </c>
      <c r="S274" s="167" t="str">
        <f t="shared" ca="1" si="36"/>
        <v>PH</v>
      </c>
      <c r="T274" s="167" t="str">
        <f ca="1">IF(B274="","",IF(ISERROR(MATCH($J274,SorP!$B$1:$B$6230,0)),"",INDIRECT("'SorP'!$A$"&amp;MATCH($J274,SorP!$B$1:$B$6230,0))))</f>
        <v>PH-CAV</v>
      </c>
      <c r="U274" s="176"/>
      <c r="V274" s="177">
        <f>IF(C274="",NA(),IF(OR(C274="Smelter not listed",C274="Smelter not yet identified"),MATCH($B274&amp;$D274,'Smelter Look-up'!$J:$J,0),MATCH($B274&amp;$C274,'Smelter Look-up'!$J:$J,0)))</f>
        <v>477</v>
      </c>
      <c r="X274" s="140">
        <f t="shared" si="37"/>
        <v>0</v>
      </c>
      <c r="AB274" s="178" t="str">
        <f t="shared" si="38"/>
        <v>TinO.M. Manufacturing Philippines, Inc.</v>
      </c>
    </row>
    <row r="275" spans="1:28" s="140" customFormat="1" ht="51">
      <c r="A275" s="167" t="s">
        <v>2457</v>
      </c>
      <c r="B275" s="168" t="s">
        <v>131</v>
      </c>
      <c r="C275" s="169" t="s">
        <v>2458</v>
      </c>
      <c r="D275" s="170" t="s">
        <v>2458</v>
      </c>
      <c r="E275" s="168" t="s">
        <v>2459</v>
      </c>
      <c r="F275" s="168" t="s">
        <v>2457</v>
      </c>
      <c r="G275" s="168" t="s">
        <v>169</v>
      </c>
      <c r="H275" s="171" t="s">
        <v>2460</v>
      </c>
      <c r="I275" s="172" t="s">
        <v>2461</v>
      </c>
      <c r="J275" s="172" t="s">
        <v>114</v>
      </c>
      <c r="K275" s="173"/>
      <c r="L275" s="173"/>
      <c r="M275" s="173"/>
      <c r="N275" s="173"/>
      <c r="O275" s="173"/>
      <c r="P275" s="174"/>
      <c r="Q275" s="175"/>
      <c r="R275" s="168" t="str">
        <f ca="1">IF(ISERROR($V275),"",OFFSET('Smelter Look-up'!$C$4,$V275-4,0)&amp;"")</f>
        <v/>
      </c>
      <c r="S275" s="167" t="str">
        <f t="shared" ca="1" si="36"/>
        <v>RW</v>
      </c>
      <c r="T275" s="167" t="str">
        <f ca="1">IF(B275="","",IF(ISERROR(MATCH($J275,SorP!$B$1:$B$6230,0)),"",INDIRECT("'SorP'!$A$"&amp;MATCH($J275,SorP!$B$1:$B$6230,0))))</f>
        <v/>
      </c>
      <c r="U275" s="176"/>
      <c r="V275" s="177" t="e">
        <f>IF(C275="",NA(),IF(OR(C275="Smelter not listed",C275="Smelter not yet identified"),MATCH($B275&amp;$D275,'Smelter Look-up'!$J:$J,0),MATCH($B275&amp;$C275,'Smelter Look-up'!$J:$J,0)))</f>
        <v>#N/A</v>
      </c>
      <c r="X275" s="140">
        <f t="shared" si="37"/>
        <v>0</v>
      </c>
      <c r="AB275" s="178" t="str">
        <f t="shared" si="38"/>
        <v>TinPhoenix Metal Ltd.</v>
      </c>
    </row>
    <row r="276" spans="1:28" s="140" customFormat="1" ht="51">
      <c r="A276" s="167" t="s">
        <v>2466</v>
      </c>
      <c r="B276" s="168" t="s">
        <v>131</v>
      </c>
      <c r="C276" s="169" t="s">
        <v>2465</v>
      </c>
      <c r="D276" s="170" t="s">
        <v>2465</v>
      </c>
      <c r="E276" s="168" t="s">
        <v>253</v>
      </c>
      <c r="F276" s="168" t="s">
        <v>2466</v>
      </c>
      <c r="G276" s="168" t="s">
        <v>169</v>
      </c>
      <c r="H276" s="171" t="s">
        <v>114</v>
      </c>
      <c r="I276" s="172" t="s">
        <v>114</v>
      </c>
      <c r="J276" s="172" t="s">
        <v>114</v>
      </c>
      <c r="K276" s="173"/>
      <c r="L276" s="173"/>
      <c r="M276" s="173"/>
      <c r="N276" s="173"/>
      <c r="O276" s="173"/>
      <c r="P276" s="174"/>
      <c r="Q276" s="175"/>
      <c r="R276" s="168" t="str">
        <f ca="1">IF(ISERROR($V276),"",OFFSET('Smelter Look-up'!$C$4,$V276-4,0)&amp;"")</f>
        <v/>
      </c>
      <c r="S276" s="167" t="str">
        <f t="shared" ca="1" si="36"/>
        <v>ID</v>
      </c>
      <c r="T276" s="167" t="str">
        <f ca="1">IF(B276="","",IF(ISERROR(MATCH($J276,SorP!$B$1:$B$6230,0)),"",INDIRECT("'SorP'!$A$"&amp;MATCH($J276,SorP!$B$1:$B$6230,0))))</f>
        <v/>
      </c>
      <c r="U276" s="176"/>
      <c r="V276" s="177" t="e">
        <f>IF(C276="",NA(),IF(OR(C276="Smelter not listed",C276="Smelter not yet identified"),MATCH($B276&amp;$D276,'Smelter Look-up'!$J:$J,0),MATCH($B276&amp;$C276,'Smelter Look-up'!$J:$J,0)))</f>
        <v>#N/A</v>
      </c>
      <c r="X276" s="140">
        <f t="shared" si="37"/>
        <v>0</v>
      </c>
      <c r="AB276" s="178" t="str">
        <f t="shared" si="38"/>
        <v>TinPT Fang Di MulTindo</v>
      </c>
    </row>
    <row r="277" spans="1:28" s="140" customFormat="1" ht="63.75">
      <c r="A277" s="167" t="s">
        <v>2468</v>
      </c>
      <c r="B277" s="168" t="s">
        <v>131</v>
      </c>
      <c r="C277" s="169" t="s">
        <v>2467</v>
      </c>
      <c r="D277" s="170" t="s">
        <v>2467</v>
      </c>
      <c r="E277" s="168" t="s">
        <v>253</v>
      </c>
      <c r="F277" s="168" t="s">
        <v>2468</v>
      </c>
      <c r="G277" s="168" t="s">
        <v>114</v>
      </c>
      <c r="H277" s="171" t="s">
        <v>114</v>
      </c>
      <c r="I277" s="172"/>
      <c r="J277" s="172" t="s">
        <v>114</v>
      </c>
      <c r="K277" s="173"/>
      <c r="L277" s="173"/>
      <c r="M277" s="173"/>
      <c r="N277" s="173"/>
      <c r="O277" s="173"/>
      <c r="P277" s="174"/>
      <c r="Q277" s="175"/>
      <c r="R277" s="168" t="str">
        <f ca="1">IF(ISERROR($V277),"",OFFSET('Smelter Look-up'!$C$4,$V277-4,0)&amp;"")</f>
        <v/>
      </c>
      <c r="S277" s="167" t="str">
        <f t="shared" ca="1" si="36"/>
        <v>ID</v>
      </c>
      <c r="T277" s="167" t="str">
        <f ca="1">IF(B277="","",IF(ISERROR(MATCH($J277,SorP!$B$1:$B$6230,0)),"",INDIRECT("'SorP'!$A$"&amp;MATCH($J277,SorP!$B$1:$B$6230,0))))</f>
        <v/>
      </c>
      <c r="U277" s="176"/>
      <c r="V277" s="177" t="e">
        <f>IF(C277="",NA(),IF(OR(C277="Smelter not listed",C277="Smelter not yet identified"),MATCH($B277&amp;$D277,'Smelter Look-up'!$J:$J,0),MATCH($B277&amp;$C277,'Smelter Look-up'!$J:$J,0)))</f>
        <v>#N/A</v>
      </c>
      <c r="X277" s="140">
        <f t="shared" si="37"/>
        <v>0</v>
      </c>
      <c r="AB277" s="178" t="str">
        <f t="shared" si="38"/>
        <v>TinPT HP Metals Indonesia</v>
      </c>
    </row>
    <row r="278" spans="1:28" s="140" customFormat="1" ht="63.75">
      <c r="A278" s="167" t="s">
        <v>2476</v>
      </c>
      <c r="B278" s="168" t="s">
        <v>131</v>
      </c>
      <c r="C278" s="169" t="s">
        <v>2477</v>
      </c>
      <c r="D278" s="170" t="s">
        <v>2475</v>
      </c>
      <c r="E278" s="168" t="s">
        <v>253</v>
      </c>
      <c r="F278" s="168" t="s">
        <v>2476</v>
      </c>
      <c r="G278" s="168" t="s">
        <v>169</v>
      </c>
      <c r="H278" s="171" t="s">
        <v>1056</v>
      </c>
      <c r="I278" s="172" t="s">
        <v>1066</v>
      </c>
      <c r="J278" s="172" t="s">
        <v>833</v>
      </c>
      <c r="K278" s="173"/>
      <c r="L278" s="173"/>
      <c r="M278" s="173"/>
      <c r="N278" s="173"/>
      <c r="O278" s="173"/>
      <c r="P278" s="174"/>
      <c r="Q278" s="175"/>
      <c r="R278" s="168" t="str">
        <f ca="1">IF(ISERROR($V278),"",OFFSET('Smelter Look-up'!$C$4,$V278-4,0)&amp;"")</f>
        <v/>
      </c>
      <c r="S278" s="167" t="str">
        <f t="shared" ca="1" si="36"/>
        <v>ID</v>
      </c>
      <c r="T278" s="167" t="str">
        <f ca="1">IF(B278="","",IF(ISERROR(MATCH($J278,SorP!$B$1:$B$6230,0)),"",INDIRECT("'SorP'!$A$"&amp;MATCH($J278,SorP!$B$1:$B$6230,0))))</f>
        <v>ID-BB</v>
      </c>
      <c r="U278" s="176"/>
      <c r="V278" s="177" t="e">
        <f>IF(C278="",NA(),IF(OR(C278="Smelter not listed",C278="Smelter not yet identified"),MATCH($B278&amp;$D278,'Smelter Look-up'!$J:$J,0),MATCH($B278&amp;$C278,'Smelter Look-up'!$J:$J,0)))</f>
        <v>#N/A</v>
      </c>
      <c r="X278" s="140">
        <f t="shared" si="37"/>
        <v>0</v>
      </c>
      <c r="AB278" s="178" t="str">
        <f t="shared" si="38"/>
        <v>TinPT Seirama Tin Investment</v>
      </c>
    </row>
    <row r="279" spans="1:28" s="140" customFormat="1" ht="409.5">
      <c r="A279" s="167" t="s">
        <v>2493</v>
      </c>
      <c r="B279" s="168" t="s">
        <v>132</v>
      </c>
      <c r="C279" s="169" t="s">
        <v>2494</v>
      </c>
      <c r="D279" s="170" t="s">
        <v>2494</v>
      </c>
      <c r="E279" s="168" t="s">
        <v>192</v>
      </c>
      <c r="F279" s="168" t="s">
        <v>2493</v>
      </c>
      <c r="G279" s="168" t="s">
        <v>142</v>
      </c>
      <c r="H279" s="171" t="s">
        <v>2495</v>
      </c>
      <c r="I279" s="172" t="s">
        <v>2432</v>
      </c>
      <c r="J279" s="172" t="s">
        <v>958</v>
      </c>
      <c r="K279" s="173" t="s">
        <v>2496</v>
      </c>
      <c r="L279" s="173" t="s">
        <v>2497</v>
      </c>
      <c r="M279" s="173" t="s">
        <v>2498</v>
      </c>
      <c r="N279" s="173" t="s">
        <v>2499</v>
      </c>
      <c r="O279" s="173" t="s">
        <v>2500</v>
      </c>
      <c r="P279" s="174" t="s">
        <v>715</v>
      </c>
      <c r="Q279" s="175" t="s">
        <v>2501</v>
      </c>
      <c r="R279" s="168" t="str">
        <f ca="1">IF(ISERROR($V279),"",OFFSET('Smelter Look-up'!$C$4,$V279-4,0)&amp;"")</f>
        <v>Xiamen Tungsten Co., Ltd.</v>
      </c>
      <c r="S279" s="167" t="str">
        <f t="shared" ca="1" si="36"/>
        <v>CN</v>
      </c>
      <c r="T279" s="167" t="str">
        <f ca="1">IF(B279="","",IF(ISERROR(MATCH($J279,SorP!$B$1:$B$6230,0)),"",INDIRECT("'SorP'!$A$"&amp;MATCH($J279,SorP!$B$1:$B$6230,0))))</f>
        <v>CN-FJ</v>
      </c>
      <c r="U279" s="176"/>
      <c r="V279" s="177">
        <f>IF(C279="",NA(),IF(OR(C279="Smelter not listed",C279="Smelter not yet identified"),MATCH($B279&amp;$D279,'Smelter Look-up'!$J:$J,0),MATCH($B279&amp;$C279,'Smelter Look-up'!$J:$J,0)))</f>
        <v>626</v>
      </c>
      <c r="X279" s="140">
        <f t="shared" si="37"/>
        <v>0</v>
      </c>
      <c r="AB279" s="178" t="str">
        <f t="shared" si="38"/>
        <v>TungstenXiamen Tungsten Co., Ltd.</v>
      </c>
    </row>
    <row r="280" spans="1:28" s="140" customFormat="1" ht="114.75">
      <c r="A280" s="167" t="s">
        <v>2502</v>
      </c>
      <c r="B280" s="168" t="s">
        <v>132</v>
      </c>
      <c r="C280" s="169" t="s">
        <v>1522</v>
      </c>
      <c r="D280" s="170" t="s">
        <v>1522</v>
      </c>
      <c r="E280" s="168" t="s">
        <v>192</v>
      </c>
      <c r="F280" s="168" t="s">
        <v>2502</v>
      </c>
      <c r="G280" s="168" t="s">
        <v>142</v>
      </c>
      <c r="H280" s="171" t="s">
        <v>114</v>
      </c>
      <c r="I280" s="172" t="s">
        <v>1523</v>
      </c>
      <c r="J280" s="172" t="s">
        <v>382</v>
      </c>
      <c r="K280" s="173" t="s">
        <v>2503</v>
      </c>
      <c r="L280" s="173" t="s">
        <v>2504</v>
      </c>
      <c r="M280" s="173" t="s">
        <v>2505</v>
      </c>
      <c r="N280" s="173" t="s">
        <v>121</v>
      </c>
      <c r="O280" s="173" t="s">
        <v>2506</v>
      </c>
      <c r="P280" s="174" t="s">
        <v>117</v>
      </c>
      <c r="Q280" s="175" t="s">
        <v>2507</v>
      </c>
      <c r="R280" s="168" t="str">
        <f ca="1">IF(ISERROR($V280),"",OFFSET('Smelter Look-up'!$C$4,$V280-4,0)&amp;"")</f>
        <v/>
      </c>
      <c r="S280" s="167" t="str">
        <f t="shared" ca="1" si="36"/>
        <v>CN</v>
      </c>
      <c r="T280" s="167" t="str">
        <f ca="1">IF(B280="","",IF(ISERROR(MATCH($J280,SorP!$B$1:$B$6230,0)),"",INDIRECT("'SorP'!$A$"&amp;MATCH($J280,SorP!$B$1:$B$6230,0))))</f>
        <v>CN-GD</v>
      </c>
      <c r="U280" s="176"/>
      <c r="V280" s="177" t="e">
        <f>IF(C280="",NA(),IF(OR(C280="Smelter not listed",C280="Smelter not yet identified"),MATCH($B280&amp;$D280,'Smelter Look-up'!$J:$J,0),MATCH($B280&amp;$C280,'Smelter Look-up'!$J:$J,0)))</f>
        <v>#N/A</v>
      </c>
      <c r="X280" s="140">
        <f t="shared" si="37"/>
        <v>0</v>
      </c>
      <c r="AB280" s="178" t="str">
        <f t="shared" si="38"/>
        <v>TungstenXinhai Rendan Shaoguan Tungsten Co., Ltd.</v>
      </c>
    </row>
    <row r="281" spans="1:28" s="140" customFormat="1" ht="140.25">
      <c r="A281" s="167" t="s">
        <v>2511</v>
      </c>
      <c r="B281" s="168" t="s">
        <v>133</v>
      </c>
      <c r="C281" s="169" t="s">
        <v>2512</v>
      </c>
      <c r="D281" s="170" t="s">
        <v>2513</v>
      </c>
      <c r="E281" s="168" t="s">
        <v>931</v>
      </c>
      <c r="F281" s="168" t="s">
        <v>2511</v>
      </c>
      <c r="G281" s="168" t="s">
        <v>142</v>
      </c>
      <c r="H281" s="171" t="s">
        <v>2514</v>
      </c>
      <c r="I281" s="172" t="s">
        <v>933</v>
      </c>
      <c r="J281" s="172" t="s">
        <v>1793</v>
      </c>
      <c r="K281" s="173" t="s">
        <v>2515</v>
      </c>
      <c r="L281" s="173" t="s">
        <v>2516</v>
      </c>
      <c r="M281" s="173" t="s">
        <v>173</v>
      </c>
      <c r="N281" s="173" t="s">
        <v>220</v>
      </c>
      <c r="O281" s="173" t="s">
        <v>2517</v>
      </c>
      <c r="P281" s="174" t="s">
        <v>175</v>
      </c>
      <c r="Q281" s="175" t="s">
        <v>196</v>
      </c>
      <c r="R281" s="168" t="str">
        <f ca="1">IF(ISERROR($V281),"",OFFSET('Smelter Look-up'!$C$4,$V281-4,0)&amp;"")</f>
        <v>Industrial Refining Company</v>
      </c>
      <c r="S281" s="167" t="str">
        <f t="shared" ref="S281:S294" ca="1" si="39">IF(B281="","",IF(ISERROR(MATCH($E281,CL,0)),"Unknown",INDIRECT("'C'!$A$"&amp;MATCH($E281,CL,0)+1)))</f>
        <v>BE</v>
      </c>
      <c r="T281" s="167" t="str">
        <f ca="1">IF(B281="","",IF(ISERROR(MATCH($J281,SorP!$B$1:$B$6230,0)),"",INDIRECT("'SorP'!$A$"&amp;MATCH($J281,SorP!$B$1:$B$6230,0))))</f>
        <v>BE-VAN</v>
      </c>
      <c r="U281" s="176"/>
      <c r="V281" s="177">
        <f>IF(C281="",NA(),IF(OR(C281="Smelter not listed",C281="Smelter not yet identified"),MATCH($B281&amp;$D281,'Smelter Look-up'!$J:$J,0),MATCH($B281&amp;$C281,'Smelter Look-up'!$J:$J,0)))</f>
        <v>286</v>
      </c>
      <c r="X281" s="140">
        <f t="shared" ref="X281:X294" si="40">IF(AND(C281="Smelter not listed",OR(LEN(D281)=0,LEN(E281)=0)),1,0)</f>
        <v>0</v>
      </c>
      <c r="AB281" s="178" t="str">
        <f t="shared" ref="AB281:AB294" si="41">B281&amp;C281</f>
        <v>GoldTony Goetz NV</v>
      </c>
    </row>
    <row r="282" spans="1:28" s="140" customFormat="1" ht="409.5">
      <c r="A282" s="167" t="s">
        <v>2523</v>
      </c>
      <c r="B282" s="168" t="s">
        <v>133</v>
      </c>
      <c r="C282" s="169" t="s">
        <v>2524</v>
      </c>
      <c r="D282" s="170" t="s">
        <v>2524</v>
      </c>
      <c r="E282" s="168" t="s">
        <v>168</v>
      </c>
      <c r="F282" s="168" t="s">
        <v>2523</v>
      </c>
      <c r="G282" s="168" t="s">
        <v>142</v>
      </c>
      <c r="H282" s="171" t="s">
        <v>2525</v>
      </c>
      <c r="I282" s="172" t="s">
        <v>2526</v>
      </c>
      <c r="J282" s="172" t="s">
        <v>172</v>
      </c>
      <c r="K282" s="173" t="s">
        <v>2527</v>
      </c>
      <c r="L282" s="173" t="s">
        <v>2528</v>
      </c>
      <c r="M282" s="173" t="s">
        <v>2529</v>
      </c>
      <c r="N282" s="173" t="s">
        <v>2530</v>
      </c>
      <c r="O282" s="173" t="s">
        <v>2531</v>
      </c>
      <c r="P282" s="174" t="s">
        <v>151</v>
      </c>
      <c r="Q282" s="175" t="s">
        <v>2532</v>
      </c>
      <c r="R282" s="168" t="str">
        <f ca="1">IF(ISERROR($V282),"",OFFSET('Smelter Look-up'!$C$4,$V282-4,0)&amp;"")</f>
        <v>Istanbul Gold Refinery</v>
      </c>
      <c r="S282" s="167" t="str">
        <f t="shared" ca="1" si="39"/>
        <v>TR</v>
      </c>
      <c r="T282" s="167" t="str">
        <f ca="1">IF(B282="","",IF(ISERROR(MATCH($J282,SorP!$B$1:$B$6230,0)),"",INDIRECT("'SorP'!$A$"&amp;MATCH($J282,SorP!$B$1:$B$6230,0))))</f>
        <v>TR-34</v>
      </c>
      <c r="U282" s="176"/>
      <c r="V282" s="177">
        <f>IF(C282="",NA(),IF(OR(C282="Smelter not listed",C282="Smelter not yet identified"),MATCH($B282&amp;$D282,'Smelter Look-up'!$J:$J,0),MATCH($B282&amp;$C282,'Smelter Look-up'!$J:$J,0)))</f>
        <v>120</v>
      </c>
      <c r="X282" s="140">
        <f t="shared" si="40"/>
        <v>0</v>
      </c>
      <c r="AB282" s="178" t="str">
        <f t="shared" si="41"/>
        <v>GoldIstanbul Gold Refinery</v>
      </c>
    </row>
    <row r="283" spans="1:28" s="140" customFormat="1" ht="409.5">
      <c r="A283" s="167" t="s">
        <v>2552</v>
      </c>
      <c r="B283" s="168" t="s">
        <v>133</v>
      </c>
      <c r="C283" s="169" t="s">
        <v>2553</v>
      </c>
      <c r="D283" s="170" t="s">
        <v>2553</v>
      </c>
      <c r="E283" s="168" t="s">
        <v>253</v>
      </c>
      <c r="F283" s="168" t="s">
        <v>2552</v>
      </c>
      <c r="G283" s="168" t="s">
        <v>142</v>
      </c>
      <c r="H283" s="171" t="s">
        <v>2554</v>
      </c>
      <c r="I283" s="172" t="s">
        <v>2555</v>
      </c>
      <c r="J283" s="172" t="s">
        <v>2556</v>
      </c>
      <c r="K283" s="173" t="s">
        <v>2557</v>
      </c>
      <c r="L283" s="173" t="s">
        <v>2558</v>
      </c>
      <c r="M283" s="173" t="s">
        <v>2559</v>
      </c>
      <c r="N283" s="173" t="s">
        <v>2560</v>
      </c>
      <c r="O283" s="173" t="s">
        <v>2561</v>
      </c>
      <c r="P283" s="174" t="s">
        <v>151</v>
      </c>
      <c r="Q283" s="175" t="s">
        <v>2562</v>
      </c>
      <c r="R283" s="168" t="str">
        <f ca="1">IF(ISERROR($V283),"",OFFSET('Smelter Look-up'!$C$4,$V283-4,0)&amp;"")</f>
        <v>PT Aneka Tambang (Persero) Tbk</v>
      </c>
      <c r="S283" s="167" t="str">
        <f t="shared" ca="1" si="39"/>
        <v>ID</v>
      </c>
      <c r="T283" s="167" t="str">
        <f ca="1">IF(B283="","",IF(ISERROR(MATCH($J283,SorP!$B$1:$B$6230,0)),"",INDIRECT("'SorP'!$A$"&amp;MATCH($J283,SorP!$B$1:$B$6230,0))))</f>
        <v>ID-JK</v>
      </c>
      <c r="U283" s="176"/>
      <c r="V283" s="177">
        <f>IF(C283="",NA(),IF(OR(C283="Smelter not listed",C283="Smelter not yet identified"),MATCH($B283&amp;$D283,'Smelter Look-up'!$J:$J,0),MATCH($B283&amp;$C283,'Smelter Look-up'!$J:$J,0)))</f>
        <v>211</v>
      </c>
      <c r="X283" s="140">
        <f t="shared" si="40"/>
        <v>0</v>
      </c>
      <c r="AB283" s="178" t="str">
        <f t="shared" si="41"/>
        <v>GoldPT Aneka Tambang (Persero) Tbk</v>
      </c>
    </row>
    <row r="284" spans="1:28" s="140" customFormat="1" ht="51">
      <c r="A284" s="167" t="s">
        <v>2563</v>
      </c>
      <c r="B284" s="168" t="s">
        <v>131</v>
      </c>
      <c r="C284" s="169" t="s">
        <v>2564</v>
      </c>
      <c r="D284" s="170" t="s">
        <v>2564</v>
      </c>
      <c r="E284" s="168" t="s">
        <v>141</v>
      </c>
      <c r="F284" s="168" t="s">
        <v>2563</v>
      </c>
      <c r="G284" s="168" t="s">
        <v>114</v>
      </c>
      <c r="H284" s="171" t="s">
        <v>114</v>
      </c>
      <c r="I284" s="172" t="s">
        <v>114</v>
      </c>
      <c r="J284" s="172" t="s">
        <v>114</v>
      </c>
      <c r="K284" s="173"/>
      <c r="L284" s="173"/>
      <c r="M284" s="173"/>
      <c r="N284" s="173"/>
      <c r="O284" s="173"/>
      <c r="P284" s="174"/>
      <c r="Q284" s="175"/>
      <c r="R284" s="168" t="str">
        <f ca="1">IF(ISERROR($V284),"",OFFSET('Smelter Look-up'!$C$4,$V284-4,0)&amp;"")</f>
        <v/>
      </c>
      <c r="S284" s="167" t="str">
        <f t="shared" ca="1" si="39"/>
        <v>US</v>
      </c>
      <c r="T284" s="167" t="str">
        <f ca="1">IF(B284="","",IF(ISERROR(MATCH($J284,SorP!$B$1:$B$6230,0)),"",INDIRECT("'SorP'!$A$"&amp;MATCH($J284,SorP!$B$1:$B$6230,0))))</f>
        <v/>
      </c>
      <c r="U284" s="176"/>
      <c r="V284" s="177" t="e">
        <f>IF(C284="",NA(),IF(OR(C284="Smelter not listed",C284="Smelter not yet identified"),MATCH($B284&amp;$D284,'Smelter Look-up'!$J:$J,0),MATCH($B284&amp;$C284,'Smelter Look-up'!$J:$J,0)))</f>
        <v>#N/A</v>
      </c>
      <c r="X284" s="140">
        <f t="shared" si="40"/>
        <v>0</v>
      </c>
      <c r="AB284" s="178" t="str">
        <f t="shared" si="41"/>
        <v>TinYunnan Dian'xi Tin Mine</v>
      </c>
    </row>
    <row r="285" spans="1:28" s="140" customFormat="1" ht="51">
      <c r="A285" s="167" t="s">
        <v>2566</v>
      </c>
      <c r="B285" s="168" t="s">
        <v>131</v>
      </c>
      <c r="C285" s="169" t="s">
        <v>2565</v>
      </c>
      <c r="D285" s="170" t="s">
        <v>2567</v>
      </c>
      <c r="E285" s="168" t="s">
        <v>192</v>
      </c>
      <c r="F285" s="168" t="s">
        <v>2566</v>
      </c>
      <c r="G285" s="168" t="s">
        <v>142</v>
      </c>
      <c r="H285" s="171" t="s">
        <v>114</v>
      </c>
      <c r="I285" s="172" t="s">
        <v>196</v>
      </c>
      <c r="J285" s="172" t="s">
        <v>196</v>
      </c>
      <c r="K285" s="173"/>
      <c r="L285" s="173"/>
      <c r="M285" s="173"/>
      <c r="N285" s="173" t="s">
        <v>121</v>
      </c>
      <c r="O285" s="173" t="s">
        <v>121</v>
      </c>
      <c r="P285" s="174" t="s">
        <v>121</v>
      </c>
      <c r="Q285" s="175"/>
      <c r="R285" s="168" t="str">
        <f ca="1">IF(ISERROR($V285),"",OFFSET('Smelter Look-up'!$C$4,$V285-4,0)&amp;"")</f>
        <v/>
      </c>
      <c r="S285" s="167" t="str">
        <f t="shared" ca="1" si="39"/>
        <v>CN</v>
      </c>
      <c r="T285" s="167" t="str">
        <f ca="1">IF(B285="","",IF(ISERROR(MATCH($J285,SorP!$B$1:$B$6230,0)),"",INDIRECT("'SorP'!$A$"&amp;MATCH($J285,SorP!$B$1:$B$6230,0))))</f>
        <v/>
      </c>
      <c r="U285" s="176"/>
      <c r="V285" s="177" t="e">
        <f>IF(C285="",NA(),IF(OR(C285="Smelter not listed",C285="Smelter not yet identified"),MATCH($B285&amp;$D285,'Smelter Look-up'!$J:$J,0),MATCH($B285&amp;$C285,'Smelter Look-up'!$J:$J,0)))</f>
        <v>#N/A</v>
      </c>
      <c r="X285" s="140">
        <f t="shared" si="40"/>
        <v>0</v>
      </c>
      <c r="AB285" s="178" t="str">
        <f t="shared" si="41"/>
        <v>TinYunnan Geiju Smelting Corp.</v>
      </c>
    </row>
    <row r="286" spans="1:28" s="140" customFormat="1" ht="63.75">
      <c r="A286" s="167" t="s">
        <v>2568</v>
      </c>
      <c r="B286" s="168" t="s">
        <v>131</v>
      </c>
      <c r="C286" s="169" t="s">
        <v>2569</v>
      </c>
      <c r="D286" s="170" t="s">
        <v>2569</v>
      </c>
      <c r="E286" s="168" t="s">
        <v>192</v>
      </c>
      <c r="F286" s="168" t="s">
        <v>2568</v>
      </c>
      <c r="G286" s="168" t="s">
        <v>142</v>
      </c>
      <c r="H286" s="171" t="s">
        <v>114</v>
      </c>
      <c r="I286" s="172" t="s">
        <v>196</v>
      </c>
      <c r="J286" s="172" t="s">
        <v>196</v>
      </c>
      <c r="K286" s="173"/>
      <c r="L286" s="173"/>
      <c r="M286" s="173"/>
      <c r="N286" s="173" t="s">
        <v>121</v>
      </c>
      <c r="O286" s="173" t="s">
        <v>121</v>
      </c>
      <c r="P286" s="174" t="s">
        <v>121</v>
      </c>
      <c r="Q286" s="175"/>
      <c r="R286" s="168" t="str">
        <f ca="1">IF(ISERROR($V286),"",OFFSET('Smelter Look-up'!$C$4,$V286-4,0)&amp;"")</f>
        <v/>
      </c>
      <c r="S286" s="167" t="str">
        <f t="shared" ca="1" si="39"/>
        <v>CN</v>
      </c>
      <c r="T286" s="167" t="str">
        <f ca="1">IF(B286="","",IF(ISERROR(MATCH($J286,SorP!$B$1:$B$6230,0)),"",INDIRECT("'SorP'!$A$"&amp;MATCH($J286,SorP!$B$1:$B$6230,0))))</f>
        <v/>
      </c>
      <c r="U286" s="176"/>
      <c r="V286" s="177" t="e">
        <f>IF(C286="",NA(),IF(OR(C286="Smelter not listed",C286="Smelter not yet identified"),MATCH($B286&amp;$D286,'Smelter Look-up'!$J:$J,0),MATCH($B286&amp;$C286,'Smelter Look-up'!$J:$J,0)))</f>
        <v>#N/A</v>
      </c>
      <c r="X286" s="140">
        <f t="shared" si="40"/>
        <v>0</v>
      </c>
      <c r="AB286" s="178" t="str">
        <f t="shared" si="41"/>
        <v>TinYunnan Industrial Co., Ltd.</v>
      </c>
    </row>
    <row r="287" spans="1:28" s="140" customFormat="1" ht="76.5">
      <c r="A287" s="167" t="s">
        <v>2570</v>
      </c>
      <c r="B287" s="168" t="s">
        <v>131</v>
      </c>
      <c r="C287" s="169" t="s">
        <v>2571</v>
      </c>
      <c r="D287" s="170" t="s">
        <v>2571</v>
      </c>
      <c r="E287" s="168" t="s">
        <v>192</v>
      </c>
      <c r="F287" s="168" t="s">
        <v>2570</v>
      </c>
      <c r="G287" s="168" t="s">
        <v>142</v>
      </c>
      <c r="H287" s="171" t="s">
        <v>114</v>
      </c>
      <c r="I287" s="172" t="s">
        <v>196</v>
      </c>
      <c r="J287" s="172" t="s">
        <v>196</v>
      </c>
      <c r="K287" s="173"/>
      <c r="L287" s="173"/>
      <c r="M287" s="173"/>
      <c r="N287" s="173" t="s">
        <v>121</v>
      </c>
      <c r="O287" s="173" t="s">
        <v>121</v>
      </c>
      <c r="P287" s="174" t="s">
        <v>121</v>
      </c>
      <c r="Q287" s="175"/>
      <c r="R287" s="168" t="str">
        <f ca="1">IF(ISERROR($V287),"",OFFSET('Smelter Look-up'!$C$4,$V287-4,0)&amp;"")</f>
        <v/>
      </c>
      <c r="S287" s="167" t="str">
        <f t="shared" ca="1" si="39"/>
        <v>CN</v>
      </c>
      <c r="T287" s="167" t="str">
        <f ca="1">IF(B287="","",IF(ISERROR(MATCH($J287,SorP!$B$1:$B$6230,0)),"",INDIRECT("'SorP'!$A$"&amp;MATCH($J287,SorP!$B$1:$B$6230,0))))</f>
        <v/>
      </c>
      <c r="U287" s="176"/>
      <c r="V287" s="177" t="e">
        <f>IF(C287="",NA(),IF(OR(C287="Smelter not listed",C287="Smelter not yet identified"),MATCH($B287&amp;$D287,'Smelter Look-up'!$J:$J,0),MATCH($B287&amp;$C287,'Smelter Look-up'!$J:$J,0)))</f>
        <v>#N/A</v>
      </c>
      <c r="X287" s="140">
        <f t="shared" si="40"/>
        <v>0</v>
      </c>
      <c r="AB287" s="178" t="str">
        <f t="shared" si="41"/>
        <v>TinYunnan Malipo Baiyi Kuangye Co.</v>
      </c>
    </row>
    <row r="288" spans="1:28" s="140" customFormat="1" ht="409.5">
      <c r="A288" s="167" t="s">
        <v>2572</v>
      </c>
      <c r="B288" s="168" t="s">
        <v>133</v>
      </c>
      <c r="C288" s="169" t="s">
        <v>2573</v>
      </c>
      <c r="D288" s="170" t="s">
        <v>2573</v>
      </c>
      <c r="E288" s="168" t="s">
        <v>369</v>
      </c>
      <c r="F288" s="168" t="s">
        <v>2572</v>
      </c>
      <c r="G288" s="168" t="s">
        <v>142</v>
      </c>
      <c r="H288" s="171" t="s">
        <v>2574</v>
      </c>
      <c r="I288" s="172" t="s">
        <v>2575</v>
      </c>
      <c r="J288" s="172" t="s">
        <v>370</v>
      </c>
      <c r="K288" s="173" t="s">
        <v>2576</v>
      </c>
      <c r="L288" s="173" t="s">
        <v>2577</v>
      </c>
      <c r="M288" s="173" t="s">
        <v>2578</v>
      </c>
      <c r="N288" s="173" t="s">
        <v>2579</v>
      </c>
      <c r="O288" s="173" t="s">
        <v>2580</v>
      </c>
      <c r="P288" s="174" t="s">
        <v>164</v>
      </c>
      <c r="Q288" s="175" t="s">
        <v>2581</v>
      </c>
      <c r="R288" s="168" t="str">
        <f ca="1">IF(ISERROR($V288),"",OFFSET('Smelter Look-up'!$C$4,$V288-4,0)&amp;"")</f>
        <v>Singway Technology Co., Ltd.</v>
      </c>
      <c r="S288" s="167" t="str">
        <f t="shared" ca="1" si="39"/>
        <v>TW</v>
      </c>
      <c r="T288" s="167" t="str">
        <f ca="1">IF(B288="","",IF(ISERROR(MATCH($J288,SorP!$B$1:$B$6230,0)),"",INDIRECT("'SorP'!$A$"&amp;MATCH($J288,SorP!$B$1:$B$6230,0))))</f>
        <v>TW-TAO</v>
      </c>
      <c r="U288" s="176"/>
      <c r="V288" s="177">
        <f>IF(C288="",NA(),IF(OR(C288="Smelter not listed",C288="Smelter not yet identified"),MATCH($B288&amp;$D288,'Smelter Look-up'!$J:$J,0),MATCH($B288&amp;$C288,'Smelter Look-up'!$J:$J,0)))</f>
        <v>255</v>
      </c>
      <c r="X288" s="140">
        <f t="shared" si="40"/>
        <v>0</v>
      </c>
      <c r="AB288" s="178" t="str">
        <f t="shared" si="41"/>
        <v>GoldSingway Technology Co., Ltd.</v>
      </c>
    </row>
    <row r="289" spans="1:28" s="140" customFormat="1" ht="51">
      <c r="A289" s="167" t="s">
        <v>2582</v>
      </c>
      <c r="B289" s="168" t="s">
        <v>133</v>
      </c>
      <c r="C289" s="169" t="s">
        <v>2583</v>
      </c>
      <c r="D289" s="170" t="s">
        <v>2583</v>
      </c>
      <c r="E289" s="168" t="s">
        <v>141</v>
      </c>
      <c r="F289" s="168" t="s">
        <v>2582</v>
      </c>
      <c r="G289" s="168" t="s">
        <v>169</v>
      </c>
      <c r="H289" s="171" t="s">
        <v>114</v>
      </c>
      <c r="I289" s="172" t="s">
        <v>2584</v>
      </c>
      <c r="J289" s="172" t="s">
        <v>606</v>
      </c>
      <c r="K289" s="173"/>
      <c r="L289" s="173"/>
      <c r="M289" s="173"/>
      <c r="N289" s="173" t="s">
        <v>121</v>
      </c>
      <c r="O289" s="173" t="s">
        <v>121</v>
      </c>
      <c r="P289" s="174" t="s">
        <v>121</v>
      </c>
      <c r="Q289" s="175"/>
      <c r="R289" s="168" t="str">
        <f ca="1">IF(ISERROR($V289),"",OFFSET('Smelter Look-up'!$C$4,$V289-4,0)&amp;"")</f>
        <v/>
      </c>
      <c r="S289" s="167" t="str">
        <f t="shared" ca="1" si="39"/>
        <v>US</v>
      </c>
      <c r="T289" s="167" t="str">
        <f ca="1">IF(B289="","",IF(ISERROR(MATCH($J289,SorP!$B$1:$B$6230,0)),"",INDIRECT("'SorP'!$A$"&amp;MATCH($J289,SorP!$B$1:$B$6230,0))))</f>
        <v>US-NY</v>
      </c>
      <c r="U289" s="176"/>
      <c r="V289" s="177" t="e">
        <f>IF(C289="",NA(),IF(OR(C289="Smelter not listed",C289="Smelter not yet identified"),MATCH($B289&amp;$D289,'Smelter Look-up'!$J:$J,0),MATCH($B289&amp;$C289,'Smelter Look-up'!$J:$J,0)))</f>
        <v>#N/A</v>
      </c>
      <c r="X289" s="140">
        <f t="shared" si="40"/>
        <v>0</v>
      </c>
      <c r="AB289" s="178" t="str">
        <f t="shared" si="41"/>
        <v>GoldSo Accurate Group, Inc.</v>
      </c>
    </row>
    <row r="290" spans="1:28" s="140" customFormat="1" ht="409.5">
      <c r="A290" s="167" t="s">
        <v>2586</v>
      </c>
      <c r="B290" s="168" t="s">
        <v>130</v>
      </c>
      <c r="C290" s="169" t="s">
        <v>2587</v>
      </c>
      <c r="D290" s="170" t="s">
        <v>2587</v>
      </c>
      <c r="E290" s="168" t="s">
        <v>141</v>
      </c>
      <c r="F290" s="168" t="s">
        <v>2586</v>
      </c>
      <c r="G290" s="168" t="s">
        <v>142</v>
      </c>
      <c r="H290" s="171" t="s">
        <v>114</v>
      </c>
      <c r="I290" s="172" t="s">
        <v>2588</v>
      </c>
      <c r="J290" s="172" t="s">
        <v>480</v>
      </c>
      <c r="K290" s="173" t="s">
        <v>2589</v>
      </c>
      <c r="L290" s="173" t="s">
        <v>2590</v>
      </c>
      <c r="M290" s="173" t="s">
        <v>2591</v>
      </c>
      <c r="N290" s="173" t="s">
        <v>2592</v>
      </c>
      <c r="O290" s="173" t="s">
        <v>2593</v>
      </c>
      <c r="P290" s="174" t="s">
        <v>715</v>
      </c>
      <c r="Q290" s="175" t="s">
        <v>2594</v>
      </c>
      <c r="R290" s="168" t="str">
        <f ca="1">IF(ISERROR($V290),"",OFFSET('Smelter Look-up'!$C$4,$V290-4,0)&amp;"")</f>
        <v>Global Advanced Metals Boyertown</v>
      </c>
      <c r="S290" s="167" t="str">
        <f t="shared" ca="1" si="39"/>
        <v>US</v>
      </c>
      <c r="T290" s="167" t="str">
        <f ca="1">IF(B290="","",IF(ISERROR(MATCH($J290,SorP!$B$1:$B$6230,0)),"",INDIRECT("'SorP'!$A$"&amp;MATCH($J290,SorP!$B$1:$B$6230,0))))</f>
        <v>US-PA</v>
      </c>
      <c r="U290" s="176"/>
      <c r="V290" s="177">
        <f>IF(C290="",NA(),IF(OR(C290="Smelter not listed",C290="Smelter not yet identified"),MATCH($B290&amp;$D290,'Smelter Look-up'!$J:$J,0),MATCH($B290&amp;$C290,'Smelter Look-up'!$J:$J,0)))</f>
        <v>333</v>
      </c>
      <c r="X290" s="140">
        <f t="shared" si="40"/>
        <v>0</v>
      </c>
      <c r="AB290" s="178" t="str">
        <f t="shared" si="41"/>
        <v>TantalumGlobal Advanced Metals Boyertown</v>
      </c>
    </row>
    <row r="291" spans="1:28" s="140" customFormat="1" ht="409.5">
      <c r="A291" s="167" t="s">
        <v>2595</v>
      </c>
      <c r="B291" s="168" t="s">
        <v>133</v>
      </c>
      <c r="C291" s="169" t="s">
        <v>2596</v>
      </c>
      <c r="D291" s="170" t="s">
        <v>2596</v>
      </c>
      <c r="E291" s="168" t="s">
        <v>155</v>
      </c>
      <c r="F291" s="168" t="s">
        <v>2595</v>
      </c>
      <c r="G291" s="168" t="s">
        <v>142</v>
      </c>
      <c r="H291" s="171" t="s">
        <v>2597</v>
      </c>
      <c r="I291" s="172" t="s">
        <v>2598</v>
      </c>
      <c r="J291" s="172" t="s">
        <v>265</v>
      </c>
      <c r="K291" s="173" t="s">
        <v>2599</v>
      </c>
      <c r="L291" s="173" t="s">
        <v>2600</v>
      </c>
      <c r="M291" s="173" t="s">
        <v>2601</v>
      </c>
      <c r="N291" s="173" t="s">
        <v>2602</v>
      </c>
      <c r="O291" s="173" t="s">
        <v>2603</v>
      </c>
      <c r="P291" s="174" t="s">
        <v>164</v>
      </c>
      <c r="Q291" s="175" t="s">
        <v>2604</v>
      </c>
      <c r="R291" s="168" t="str">
        <f ca="1">IF(ISERROR($V291),"",OFFSET('Smelter Look-up'!$C$4,$V291-4,0)&amp;"")</f>
        <v>Ishifuku Metal Industry Co., Ltd.</v>
      </c>
      <c r="S291" s="167" t="str">
        <f t="shared" ca="1" si="39"/>
        <v>JP</v>
      </c>
      <c r="T291" s="167" t="str">
        <f ca="1">IF(B291="","",IF(ISERROR(MATCH($J291,SorP!$B$1:$B$6230,0)),"",INDIRECT("'SorP'!$A$"&amp;MATCH($J291,SorP!$B$1:$B$6230,0))))</f>
        <v>JP-11</v>
      </c>
      <c r="U291" s="176"/>
      <c r="V291" s="177">
        <f>IF(C291="",NA(),IF(OR(C291="Smelter not listed",C291="Smelter not yet identified"),MATCH($B291&amp;$D291,'Smelter Look-up'!$J:$J,0),MATCH($B291&amp;$C291,'Smelter Look-up'!$J:$J,0)))</f>
        <v>119</v>
      </c>
      <c r="X291" s="140">
        <f t="shared" si="40"/>
        <v>0</v>
      </c>
      <c r="AB291" s="178" t="str">
        <f t="shared" si="41"/>
        <v>GoldIshifuku Metal Industry Co., Ltd.</v>
      </c>
    </row>
    <row r="292" spans="1:28" s="140" customFormat="1" ht="409.5">
      <c r="A292" s="167" t="s">
        <v>2605</v>
      </c>
      <c r="B292" s="168" t="s">
        <v>133</v>
      </c>
      <c r="C292" s="169" t="s">
        <v>2606</v>
      </c>
      <c r="D292" s="170" t="s">
        <v>2606</v>
      </c>
      <c r="E292" s="168" t="s">
        <v>459</v>
      </c>
      <c r="F292" s="168" t="s">
        <v>2605</v>
      </c>
      <c r="G292" s="168" t="s">
        <v>142</v>
      </c>
      <c r="H292" s="171" t="s">
        <v>2607</v>
      </c>
      <c r="I292" s="172" t="s">
        <v>1959</v>
      </c>
      <c r="J292" s="172" t="s">
        <v>1404</v>
      </c>
      <c r="K292" s="173" t="s">
        <v>2608</v>
      </c>
      <c r="L292" s="173" t="s">
        <v>2609</v>
      </c>
      <c r="M292" s="173" t="s">
        <v>2610</v>
      </c>
      <c r="N292" s="173" t="s">
        <v>2611</v>
      </c>
      <c r="O292" s="173" t="s">
        <v>2612</v>
      </c>
      <c r="P292" s="174" t="s">
        <v>175</v>
      </c>
      <c r="Q292" s="175" t="s">
        <v>2613</v>
      </c>
      <c r="R292" s="168" t="str">
        <f ca="1">IF(ISERROR($V292),"",OFFSET('Smelter Look-up'!$C$4,$V292-4,0)&amp;"")</f>
        <v>JSC Uralelectromed</v>
      </c>
      <c r="S292" s="167" t="str">
        <f t="shared" ca="1" si="39"/>
        <v>RU</v>
      </c>
      <c r="T292" s="167" t="str">
        <f ca="1">IF(B292="","",IF(ISERROR(MATCH($J292,SorP!$B$1:$B$6230,0)),"",INDIRECT("'SorP'!$A$"&amp;MATCH($J292,SorP!$B$1:$B$6230,0))))</f>
        <v>RU-SVE</v>
      </c>
      <c r="U292" s="176"/>
      <c r="V292" s="177">
        <f>IF(C292="",NA(),IF(OR(C292="Smelter not listed",C292="Smelter not yet identified"),MATCH($B292&amp;$D292,'Smelter Look-up'!$J:$J,0),MATCH($B292&amp;$C292,'Smelter Look-up'!$J:$J,0)))</f>
        <v>132</v>
      </c>
      <c r="X292" s="140">
        <f t="shared" si="40"/>
        <v>0</v>
      </c>
      <c r="AB292" s="178" t="str">
        <f t="shared" si="41"/>
        <v>GoldJSC Uralelectromed</v>
      </c>
    </row>
    <row r="293" spans="1:28" s="140" customFormat="1" ht="409.5">
      <c r="A293" s="167" t="s">
        <v>2614</v>
      </c>
      <c r="B293" s="168" t="s">
        <v>133</v>
      </c>
      <c r="C293" s="169" t="s">
        <v>2615</v>
      </c>
      <c r="D293" s="170" t="s">
        <v>2615</v>
      </c>
      <c r="E293" s="168" t="s">
        <v>288</v>
      </c>
      <c r="F293" s="168" t="s">
        <v>2614</v>
      </c>
      <c r="G293" s="168" t="s">
        <v>142</v>
      </c>
      <c r="H293" s="171" t="s">
        <v>2616</v>
      </c>
      <c r="I293" s="172" t="s">
        <v>1092</v>
      </c>
      <c r="J293" s="172" t="s">
        <v>363</v>
      </c>
      <c r="K293" s="173" t="s">
        <v>2617</v>
      </c>
      <c r="L293" s="173" t="s">
        <v>2618</v>
      </c>
      <c r="M293" s="173" t="s">
        <v>2619</v>
      </c>
      <c r="N293" s="173" t="s">
        <v>2620</v>
      </c>
      <c r="O293" s="173" t="s">
        <v>2621</v>
      </c>
      <c r="P293" s="174" t="s">
        <v>151</v>
      </c>
      <c r="Q293" s="175" t="s">
        <v>2622</v>
      </c>
      <c r="R293" s="168" t="str">
        <f ca="1">IF(ISERROR($V293),"",OFFSET('Smelter Look-up'!$C$4,$V293-4,0)&amp;"")</f>
        <v>Kazzinc</v>
      </c>
      <c r="S293" s="167" t="str">
        <f t="shared" ca="1" si="39"/>
        <v>KZ</v>
      </c>
      <c r="T293" s="167" t="str">
        <f ca="1">IF(B293="","",IF(ISERROR(MATCH($J293,SorP!$B$1:$B$6230,0)),"",INDIRECT("'SorP'!$A$"&amp;MATCH($J293,SorP!$B$1:$B$6230,0))))</f>
        <v>KZ-KAR</v>
      </c>
      <c r="U293" s="176"/>
      <c r="V293" s="177">
        <f>IF(C293="",NA(),IF(OR(C293="Smelter not listed",C293="Smelter not yet identified"),MATCH($B293&amp;$D293,'Smelter Look-up'!$J:$J,0),MATCH($B293&amp;$C293,'Smelter Look-up'!$J:$J,0)))</f>
        <v>137</v>
      </c>
      <c r="X293" s="140">
        <f t="shared" si="40"/>
        <v>0</v>
      </c>
      <c r="AB293" s="178" t="str">
        <f t="shared" si="41"/>
        <v>GoldKazzinc</v>
      </c>
    </row>
    <row r="294" spans="1:28" s="140" customFormat="1" ht="102">
      <c r="A294" s="167" t="s">
        <v>2623</v>
      </c>
      <c r="B294" s="168" t="s">
        <v>133</v>
      </c>
      <c r="C294" s="169" t="s">
        <v>2624</v>
      </c>
      <c r="D294" s="170" t="s">
        <v>2624</v>
      </c>
      <c r="E294" s="168" t="s">
        <v>226</v>
      </c>
      <c r="F294" s="168" t="s">
        <v>2623</v>
      </c>
      <c r="G294" s="168" t="s">
        <v>142</v>
      </c>
      <c r="H294" s="171" t="s">
        <v>2625</v>
      </c>
      <c r="I294" s="172" t="s">
        <v>2626</v>
      </c>
      <c r="J294" s="172" t="s">
        <v>580</v>
      </c>
      <c r="K294" s="173" t="s">
        <v>2627</v>
      </c>
      <c r="L294" s="173" t="s">
        <v>2628</v>
      </c>
      <c r="M294" s="173"/>
      <c r="N294" s="173" t="s">
        <v>220</v>
      </c>
      <c r="O294" s="173" t="s">
        <v>2629</v>
      </c>
      <c r="P294" s="174" t="s">
        <v>121</v>
      </c>
      <c r="Q294" s="175" t="s">
        <v>196</v>
      </c>
      <c r="R294" s="168" t="str">
        <f ca="1">IF(ISERROR($V294),"",OFFSET('Smelter Look-up'!$C$4,$V294-4,0)&amp;"")</f>
        <v>Kundan Care Products Ltd.</v>
      </c>
      <c r="S294" s="167" t="str">
        <f t="shared" ca="1" si="39"/>
        <v>IN</v>
      </c>
      <c r="T294" s="167" t="str">
        <f ca="1">IF(B294="","",IF(ISERROR(MATCH($J294,SorP!$B$1:$B$6230,0)),"",INDIRECT("'SorP'!$A$"&amp;MATCH($J294,SorP!$B$1:$B$6230,0))))</f>
        <v>IN-UT</v>
      </c>
      <c r="U294" s="176"/>
      <c r="V294" s="177">
        <f>IF(C294="",NA(),IF(OR(C294="Smelter not listed",C294="Smelter not yet identified"),MATCH($B294&amp;$D294,'Smelter Look-up'!$J:$J,0),MATCH($B294&amp;$C294,'Smelter Look-up'!$J:$J,0)))</f>
        <v>148</v>
      </c>
      <c r="X294" s="140">
        <f t="shared" si="40"/>
        <v>0</v>
      </c>
      <c r="AB294" s="178" t="str">
        <f t="shared" si="41"/>
        <v>GoldKundan Care Products Ltd.</v>
      </c>
    </row>
    <row r="295" spans="1:28" s="140" customFormat="1" ht="409.5">
      <c r="A295" s="167" t="s">
        <v>2633</v>
      </c>
      <c r="B295" s="168" t="s">
        <v>133</v>
      </c>
      <c r="C295" s="169" t="s">
        <v>2634</v>
      </c>
      <c r="D295" s="170" t="s">
        <v>2635</v>
      </c>
      <c r="E295" s="168" t="s">
        <v>1501</v>
      </c>
      <c r="F295" s="168" t="s">
        <v>2633</v>
      </c>
      <c r="G295" s="168" t="s">
        <v>142</v>
      </c>
      <c r="H295" s="171" t="s">
        <v>2636</v>
      </c>
      <c r="I295" s="172" t="s">
        <v>2637</v>
      </c>
      <c r="J295" s="172" t="s">
        <v>2638</v>
      </c>
      <c r="K295" s="173" t="s">
        <v>2639</v>
      </c>
      <c r="L295" s="173" t="s">
        <v>2640</v>
      </c>
      <c r="M295" s="173" t="s">
        <v>2641</v>
      </c>
      <c r="N295" s="173" t="s">
        <v>2642</v>
      </c>
      <c r="O295" s="173" t="s">
        <v>2643</v>
      </c>
      <c r="P295" s="174" t="s">
        <v>151</v>
      </c>
      <c r="Q295" s="175" t="s">
        <v>2644</v>
      </c>
      <c r="R295" s="168" t="str">
        <f ca="1">IF(ISERROR($V295),"",OFFSET('Smelter Look-up'!$C$4,$V295-4,0)&amp;"")</f>
        <v>Ogussa Osterreichische Gold- und Silber-Scheideanstalt GmbH</v>
      </c>
      <c r="S295" s="167" t="str">
        <f t="shared" ref="S295:S315" ca="1" si="42">IF(B295="","",IF(ISERROR(MATCH($E295,CL,0)),"Unknown",INDIRECT("'C'!$A$"&amp;MATCH($E295,CL,0)+1)))</f>
        <v>AT</v>
      </c>
      <c r="T295" s="167" t="str">
        <f ca="1">IF(B295="","",IF(ISERROR(MATCH($J295,SorP!$B$1:$B$6230,0)),"",INDIRECT("'SorP'!$A$"&amp;MATCH($J295,SorP!$B$1:$B$6230,0))))</f>
        <v>AT-9</v>
      </c>
      <c r="U295" s="176"/>
      <c r="V295" s="177">
        <f>IF(C295="",NA(),IF(OR(C295="Smelter not listed",C295="Smelter not yet identified"),MATCH($B295&amp;$D295,'Smelter Look-up'!$J:$J,0),MATCH($B295&amp;$C295,'Smelter Look-up'!$J:$J,0)))</f>
        <v>197</v>
      </c>
      <c r="X295" s="140">
        <f t="shared" ref="X295:X315" si="43">IF(AND(C295="Smelter not listed",OR(LEN(D295)=0,LEN(E295)=0)),1,0)</f>
        <v>0</v>
      </c>
      <c r="AB295" s="178" t="str">
        <f t="shared" ref="AB295:AB315" si="44">B295&amp;C295</f>
        <v>GoldÖgussa Österreichische Gold- und Silber-Scheideanstalt GmbH</v>
      </c>
    </row>
    <row r="296" spans="1:28" s="140" customFormat="1" ht="409.5">
      <c r="A296" s="167" t="s">
        <v>2645</v>
      </c>
      <c r="B296" s="168" t="s">
        <v>133</v>
      </c>
      <c r="C296" s="169" t="s">
        <v>628</v>
      </c>
      <c r="D296" s="170" t="s">
        <v>628</v>
      </c>
      <c r="E296" s="168" t="s">
        <v>459</v>
      </c>
      <c r="F296" s="168" t="s">
        <v>2645</v>
      </c>
      <c r="G296" s="168" t="s">
        <v>142</v>
      </c>
      <c r="H296" s="171" t="s">
        <v>2646</v>
      </c>
      <c r="I296" s="172" t="s">
        <v>629</v>
      </c>
      <c r="J296" s="172" t="s">
        <v>2647</v>
      </c>
      <c r="K296" s="173" t="s">
        <v>2648</v>
      </c>
      <c r="L296" s="173" t="s">
        <v>2649</v>
      </c>
      <c r="M296" s="173" t="s">
        <v>2650</v>
      </c>
      <c r="N296" s="173" t="s">
        <v>2651</v>
      </c>
      <c r="O296" s="173" t="s">
        <v>2652</v>
      </c>
      <c r="P296" s="174" t="s">
        <v>175</v>
      </c>
      <c r="Q296" s="175" t="s">
        <v>2653</v>
      </c>
      <c r="R296" s="168" t="str">
        <f ca="1">IF(ISERROR($V296),"",OFFSET('Smelter Look-up'!$C$4,$V296-4,0)&amp;"")</f>
        <v>Prioksky Plant of Non-Ferrous Metals</v>
      </c>
      <c r="S296" s="167" t="str">
        <f t="shared" ca="1" si="42"/>
        <v>RU</v>
      </c>
      <c r="T296" s="167" t="str">
        <f ca="1">IF(B296="","",IF(ISERROR(MATCH($J296,SorP!$B$1:$B$6230,0)),"",INDIRECT("'SorP'!$A$"&amp;MATCH($J296,SorP!$B$1:$B$6230,0))))</f>
        <v>RU-RYA</v>
      </c>
      <c r="U296" s="176"/>
      <c r="V296" s="177">
        <f>IF(C296="",NA(),IF(OR(C296="Smelter not listed",C296="Smelter not yet identified"),MATCH($B296&amp;$D296,'Smelter Look-up'!$J:$J,0),MATCH($B296&amp;$C296,'Smelter Look-up'!$J:$J,0)))</f>
        <v>209</v>
      </c>
      <c r="X296" s="140">
        <f t="shared" si="43"/>
        <v>0</v>
      </c>
      <c r="AB296" s="178" t="str">
        <f t="shared" si="44"/>
        <v>GoldPrioksky Plant of Non-Ferrous Metals</v>
      </c>
    </row>
    <row r="297" spans="1:28" s="140" customFormat="1" ht="408">
      <c r="A297" s="167" t="s">
        <v>2654</v>
      </c>
      <c r="B297" s="168" t="s">
        <v>133</v>
      </c>
      <c r="C297" s="169" t="s">
        <v>2655</v>
      </c>
      <c r="D297" s="170" t="s">
        <v>2655</v>
      </c>
      <c r="E297" s="168" t="s">
        <v>192</v>
      </c>
      <c r="F297" s="168" t="s">
        <v>2654</v>
      </c>
      <c r="G297" s="168" t="s">
        <v>142</v>
      </c>
      <c r="H297" s="171" t="s">
        <v>2656</v>
      </c>
      <c r="I297" s="172" t="s">
        <v>2657</v>
      </c>
      <c r="J297" s="172" t="s">
        <v>1148</v>
      </c>
      <c r="K297" s="173" t="s">
        <v>2658</v>
      </c>
      <c r="L297" s="173" t="s">
        <v>2659</v>
      </c>
      <c r="M297" s="173" t="s">
        <v>173</v>
      </c>
      <c r="N297" s="173" t="s">
        <v>174</v>
      </c>
      <c r="O297" s="173" t="s">
        <v>2660</v>
      </c>
      <c r="P297" s="174" t="s">
        <v>175</v>
      </c>
      <c r="Q297" s="175" t="s">
        <v>2661</v>
      </c>
      <c r="R297" s="168" t="str">
        <f ca="1">IF(ISERROR($V297),"",OFFSET('Smelter Look-up'!$C$4,$V297-4,0)&amp;"")</f>
        <v>Yunnan Copper Industry Co., Ltd.</v>
      </c>
      <c r="S297" s="167" t="str">
        <f t="shared" ca="1" si="42"/>
        <v>CN</v>
      </c>
      <c r="T297" s="167" t="str">
        <f ca="1">IF(B297="","",IF(ISERROR(MATCH($J297,SorP!$B$1:$B$6230,0)),"",INDIRECT("'SorP'!$A$"&amp;MATCH($J297,SorP!$B$1:$B$6230,0))))</f>
        <v>CN-YN</v>
      </c>
      <c r="U297" s="176"/>
      <c r="V297" s="177">
        <f>IF(C297="",NA(),IF(OR(C297="Smelter not listed",C297="Smelter not yet identified"),MATCH($B297&amp;$D297,'Smelter Look-up'!$J:$J,0),MATCH($B297&amp;$C297,'Smelter Look-up'!$J:$J,0)))</f>
        <v>308</v>
      </c>
      <c r="X297" s="140">
        <f t="shared" si="43"/>
        <v>0</v>
      </c>
      <c r="AB297" s="178" t="str">
        <f t="shared" si="44"/>
        <v>GoldYunnan Copper Industry Co., Ltd.</v>
      </c>
    </row>
    <row r="298" spans="1:28" s="140" customFormat="1" ht="102">
      <c r="A298" s="167" t="s">
        <v>2662</v>
      </c>
      <c r="B298" s="168" t="s">
        <v>133</v>
      </c>
      <c r="C298" s="169" t="s">
        <v>2663</v>
      </c>
      <c r="D298" s="170" t="s">
        <v>2663</v>
      </c>
      <c r="E298" s="168" t="s">
        <v>192</v>
      </c>
      <c r="F298" s="168" t="s">
        <v>2662</v>
      </c>
      <c r="G298" s="168" t="s">
        <v>142</v>
      </c>
      <c r="H298" s="171" t="s">
        <v>114</v>
      </c>
      <c r="I298" s="172" t="s">
        <v>196</v>
      </c>
      <c r="J298" s="172" t="s">
        <v>196</v>
      </c>
      <c r="K298" s="173"/>
      <c r="L298" s="173"/>
      <c r="M298" s="173"/>
      <c r="N298" s="173" t="s">
        <v>121</v>
      </c>
      <c r="O298" s="173" t="s">
        <v>121</v>
      </c>
      <c r="P298" s="174" t="s">
        <v>121</v>
      </c>
      <c r="Q298" s="175"/>
      <c r="R298" s="168" t="str">
        <f ca="1">IF(ISERROR($V298),"",OFFSET('Smelter Look-up'!$C$4,$V298-4,0)&amp;"")</f>
        <v/>
      </c>
      <c r="S298" s="167" t="str">
        <f t="shared" ca="1" si="42"/>
        <v>CN</v>
      </c>
      <c r="T298" s="167" t="str">
        <f ca="1">IF(B298="","",IF(ISERROR(MATCH($J298,SorP!$B$1:$B$6230,0)),"",INDIRECT("'SorP'!$A$"&amp;MATCH($J298,SorP!$B$1:$B$6230,0))))</f>
        <v/>
      </c>
      <c r="U298" s="176"/>
      <c r="V298" s="177" t="e">
        <f>IF(C298="",NA(),IF(OR(C298="Smelter not listed",C298="Smelter not yet identified"),MATCH($B298&amp;$D298,'Smelter Look-up'!$J:$J,0),MATCH($B298&amp;$C298,'Smelter Look-up'!$J:$J,0)))</f>
        <v>#N/A</v>
      </c>
      <c r="X298" s="140">
        <f t="shared" si="43"/>
        <v>0</v>
      </c>
      <c r="AB298" s="178" t="str">
        <f t="shared" si="44"/>
        <v>GoldYunnan Gold Mining Group Co., Ltd. (YGMG)</v>
      </c>
    </row>
    <row r="299" spans="1:28" s="140" customFormat="1" ht="38.25">
      <c r="A299" s="167" t="s">
        <v>2664</v>
      </c>
      <c r="B299" s="168" t="s">
        <v>133</v>
      </c>
      <c r="C299" s="169" t="s">
        <v>2665</v>
      </c>
      <c r="D299" s="170" t="s">
        <v>2665</v>
      </c>
      <c r="E299" s="168" t="s">
        <v>192</v>
      </c>
      <c r="F299" s="168" t="s">
        <v>2664</v>
      </c>
      <c r="G299" s="168" t="s">
        <v>142</v>
      </c>
      <c r="H299" s="171" t="s">
        <v>114</v>
      </c>
      <c r="I299" s="172" t="s">
        <v>196</v>
      </c>
      <c r="J299" s="172" t="s">
        <v>196</v>
      </c>
      <c r="K299" s="173"/>
      <c r="L299" s="173"/>
      <c r="M299" s="173"/>
      <c r="N299" s="173" t="s">
        <v>121</v>
      </c>
      <c r="O299" s="173" t="s">
        <v>121</v>
      </c>
      <c r="P299" s="174" t="s">
        <v>121</v>
      </c>
      <c r="Q299" s="175"/>
      <c r="R299" s="168" t="str">
        <f ca="1">IF(ISERROR($V299),"",OFFSET('Smelter Look-up'!$C$4,$V299-4,0)&amp;"")</f>
        <v/>
      </c>
      <c r="S299" s="167" t="str">
        <f t="shared" ca="1" si="42"/>
        <v>CN</v>
      </c>
      <c r="T299" s="167" t="str">
        <f ca="1">IF(B299="","",IF(ISERROR(MATCH($J299,SorP!$B$1:$B$6230,0)),"",INDIRECT("'SorP'!$A$"&amp;MATCH($J299,SorP!$B$1:$B$6230,0))))</f>
        <v/>
      </c>
      <c r="U299" s="176"/>
      <c r="V299" s="177" t="e">
        <f>IF(C299="",NA(),IF(OR(C299="Smelter not listed",C299="Smelter not yet identified"),MATCH($B299&amp;$D299,'Smelter Look-up'!$J:$J,0),MATCH($B299&amp;$C299,'Smelter Look-up'!$J:$J,0)))</f>
        <v>#N/A</v>
      </c>
      <c r="X299" s="140">
        <f t="shared" si="43"/>
        <v>0</v>
      </c>
      <c r="AB299" s="178" t="str">
        <f t="shared" si="44"/>
        <v>GoldZhaojun Maifu</v>
      </c>
    </row>
    <row r="300" spans="1:28" s="140" customFormat="1" ht="102">
      <c r="A300" s="167" t="s">
        <v>2666</v>
      </c>
      <c r="B300" s="168" t="s">
        <v>133</v>
      </c>
      <c r="C300" s="169" t="s">
        <v>2667</v>
      </c>
      <c r="D300" s="170" t="s">
        <v>2667</v>
      </c>
      <c r="E300" s="168" t="s">
        <v>192</v>
      </c>
      <c r="F300" s="168" t="s">
        <v>2666</v>
      </c>
      <c r="G300" s="168" t="s">
        <v>142</v>
      </c>
      <c r="H300" s="171" t="s">
        <v>114</v>
      </c>
      <c r="I300" s="172" t="s">
        <v>196</v>
      </c>
      <c r="J300" s="172" t="s">
        <v>196</v>
      </c>
      <c r="K300" s="173"/>
      <c r="L300" s="173"/>
      <c r="M300" s="173"/>
      <c r="N300" s="173" t="s">
        <v>121</v>
      </c>
      <c r="O300" s="173" t="s">
        <v>121</v>
      </c>
      <c r="P300" s="174" t="s">
        <v>121</v>
      </c>
      <c r="Q300" s="175"/>
      <c r="R300" s="168" t="str">
        <f ca="1">IF(ISERROR($V300),"",OFFSET('Smelter Look-up'!$C$4,$V300-4,0)&amp;"")</f>
        <v/>
      </c>
      <c r="S300" s="167" t="str">
        <f t="shared" ca="1" si="42"/>
        <v>CN</v>
      </c>
      <c r="T300" s="167" t="str">
        <f ca="1">IF(B300="","",IF(ISERROR(MATCH($J300,SorP!$B$1:$B$6230,0)),"",INDIRECT("'SorP'!$A$"&amp;MATCH($J300,SorP!$B$1:$B$6230,0))))</f>
        <v/>
      </c>
      <c r="U300" s="176"/>
      <c r="V300" s="177" t="e">
        <f>IF(C300="",NA(),IF(OR(C300="Smelter not listed",C300="Smelter not yet identified"),MATCH($B300&amp;$D300,'Smelter Look-up'!$J:$J,0),MATCH($B300&amp;$C300,'Smelter Look-up'!$J:$J,0)))</f>
        <v>#N/A</v>
      </c>
      <c r="X300" s="140">
        <f t="shared" si="43"/>
        <v>0</v>
      </c>
      <c r="AB300" s="178" t="str">
        <f t="shared" si="44"/>
        <v>GoldZhe Jiang Guang Yuan Noble Metal Smelting Factory</v>
      </c>
    </row>
    <row r="301" spans="1:28" s="140" customFormat="1" ht="76.5">
      <c r="A301" s="167" t="s">
        <v>2670</v>
      </c>
      <c r="B301" s="168" t="s">
        <v>133</v>
      </c>
      <c r="C301" s="169" t="s">
        <v>2671</v>
      </c>
      <c r="D301" s="170" t="s">
        <v>2671</v>
      </c>
      <c r="E301" s="168" t="s">
        <v>192</v>
      </c>
      <c r="F301" s="168" t="s">
        <v>2670</v>
      </c>
      <c r="G301" s="168" t="s">
        <v>142</v>
      </c>
      <c r="H301" s="171" t="s">
        <v>114</v>
      </c>
      <c r="I301" s="172" t="s">
        <v>196</v>
      </c>
      <c r="J301" s="172" t="s">
        <v>196</v>
      </c>
      <c r="K301" s="173"/>
      <c r="L301" s="173"/>
      <c r="M301" s="173"/>
      <c r="N301" s="173" t="s">
        <v>121</v>
      </c>
      <c r="O301" s="173" t="s">
        <v>268</v>
      </c>
      <c r="P301" s="174" t="s">
        <v>121</v>
      </c>
      <c r="Q301" s="175"/>
      <c r="R301" s="168" t="str">
        <f ca="1">IF(ISERROR($V301),"",OFFSET('Smelter Look-up'!$C$4,$V301-4,0)&amp;"")</f>
        <v/>
      </c>
      <c r="S301" s="167" t="str">
        <f t="shared" ca="1" si="42"/>
        <v>CN</v>
      </c>
      <c r="T301" s="167" t="str">
        <f ca="1">IF(B301="","",IF(ISERROR(MATCH($J301,SorP!$B$1:$B$6230,0)),"",INDIRECT("'SorP'!$A$"&amp;MATCH($J301,SorP!$B$1:$B$6230,0))))</f>
        <v/>
      </c>
      <c r="U301" s="176"/>
      <c r="V301" s="177" t="e">
        <f>IF(C301="",NA(),IF(OR(C301="Smelter not listed",C301="Smelter not yet identified"),MATCH($B301&amp;$D301,'Smelter Look-up'!$J:$J,0),MATCH($B301&amp;$C301,'Smelter Look-up'!$J:$J,0)))</f>
        <v>#N/A</v>
      </c>
      <c r="X301" s="140">
        <f t="shared" si="43"/>
        <v>0</v>
      </c>
      <c r="AB301" s="178" t="str">
        <f t="shared" si="44"/>
        <v>GoldZhongkuang Gold Industry Co., Ltd.</v>
      </c>
    </row>
    <row r="302" spans="1:28" s="140" customFormat="1" ht="127.5">
      <c r="A302" s="167" t="s">
        <v>2672</v>
      </c>
      <c r="B302" s="168" t="s">
        <v>133</v>
      </c>
      <c r="C302" s="169" t="s">
        <v>2673</v>
      </c>
      <c r="D302" s="170" t="s">
        <v>2673</v>
      </c>
      <c r="E302" s="168" t="s">
        <v>192</v>
      </c>
      <c r="F302" s="168" t="s">
        <v>2672</v>
      </c>
      <c r="G302" s="168" t="s">
        <v>142</v>
      </c>
      <c r="H302" s="171" t="s">
        <v>114</v>
      </c>
      <c r="I302" s="172" t="s">
        <v>196</v>
      </c>
      <c r="J302" s="172" t="s">
        <v>196</v>
      </c>
      <c r="K302" s="173"/>
      <c r="L302" s="173"/>
      <c r="M302" s="173"/>
      <c r="N302" s="173" t="s">
        <v>121</v>
      </c>
      <c r="O302" s="173" t="s">
        <v>121</v>
      </c>
      <c r="P302" s="174" t="s">
        <v>121</v>
      </c>
      <c r="Q302" s="175"/>
      <c r="R302" s="168" t="str">
        <f ca="1">IF(ISERROR($V302),"",OFFSET('Smelter Look-up'!$C$4,$V302-4,0)&amp;"")</f>
        <v/>
      </c>
      <c r="S302" s="167" t="str">
        <f t="shared" ca="1" si="42"/>
        <v>CN</v>
      </c>
      <c r="T302" s="167" t="str">
        <f ca="1">IF(B302="","",IF(ISERROR(MATCH($J302,SorP!$B$1:$B$6230,0)),"",INDIRECT("'SorP'!$A$"&amp;MATCH($J302,SorP!$B$1:$B$6230,0))))</f>
        <v/>
      </c>
      <c r="U302" s="176"/>
      <c r="V302" s="177" t="e">
        <f>IF(C302="",NA(),IF(OR(C302="Smelter not listed",C302="Smelter not yet identified"),MATCH($B302&amp;$D302,'Smelter Look-up'!$J:$J,0),MATCH($B302&amp;$C302,'Smelter Look-up'!$J:$J,0)))</f>
        <v>#N/A</v>
      </c>
      <c r="X302" s="140">
        <f t="shared" si="43"/>
        <v>0</v>
      </c>
      <c r="AB302" s="178" t="str">
        <f t="shared" si="44"/>
        <v>GoldZhongshan Hyper-Toxic Substance Monopolized Co., Ltd.</v>
      </c>
    </row>
    <row r="303" spans="1:28" s="140" customFormat="1" ht="89.25">
      <c r="A303" s="167" t="s">
        <v>2674</v>
      </c>
      <c r="B303" s="168" t="s">
        <v>133</v>
      </c>
      <c r="C303" s="169" t="s">
        <v>2675</v>
      </c>
      <c r="D303" s="170" t="s">
        <v>2675</v>
      </c>
      <c r="E303" s="168" t="s">
        <v>192</v>
      </c>
      <c r="F303" s="168" t="s">
        <v>2674</v>
      </c>
      <c r="G303" s="168" t="s">
        <v>142</v>
      </c>
      <c r="H303" s="171" t="s">
        <v>114</v>
      </c>
      <c r="I303" s="172" t="s">
        <v>196</v>
      </c>
      <c r="J303" s="172" t="s">
        <v>196</v>
      </c>
      <c r="K303" s="173"/>
      <c r="L303" s="173"/>
      <c r="M303" s="173"/>
      <c r="N303" s="173" t="s">
        <v>121</v>
      </c>
      <c r="O303" s="173" t="s">
        <v>121</v>
      </c>
      <c r="P303" s="174" t="s">
        <v>121</v>
      </c>
      <c r="Q303" s="175"/>
      <c r="R303" s="168" t="str">
        <f ca="1">IF(ISERROR($V303),"",OFFSET('Smelter Look-up'!$C$4,$V303-4,0)&amp;"")</f>
        <v/>
      </c>
      <c r="S303" s="167" t="str">
        <f t="shared" ca="1" si="42"/>
        <v>CN</v>
      </c>
      <c r="T303" s="167" t="str">
        <f ca="1">IF(B303="","",IF(ISERROR(MATCH($J303,SorP!$B$1:$B$6230,0)),"",INDIRECT("'SorP'!$A$"&amp;MATCH($J303,SorP!$B$1:$B$6230,0))))</f>
        <v/>
      </c>
      <c r="U303" s="176"/>
      <c r="V303" s="177" t="e">
        <f>IF(C303="",NA(),IF(OR(C303="Smelter not listed",C303="Smelter not yet identified"),MATCH($B303&amp;$D303,'Smelter Look-up'!$J:$J,0),MATCH($B303&amp;$C303,'Smelter Look-up'!$J:$J,0)))</f>
        <v>#N/A</v>
      </c>
      <c r="X303" s="140">
        <f t="shared" si="43"/>
        <v>0</v>
      </c>
      <c r="AB303" s="178" t="str">
        <f t="shared" si="44"/>
        <v>GoldZhongshan Poison Material Proprietary Co., Ltd.</v>
      </c>
    </row>
    <row r="304" spans="1:28" s="140" customFormat="1" ht="409.5">
      <c r="A304" s="167" t="s">
        <v>2676</v>
      </c>
      <c r="B304" s="168" t="s">
        <v>133</v>
      </c>
      <c r="C304" s="169" t="s">
        <v>2668</v>
      </c>
      <c r="D304" s="170" t="s">
        <v>2668</v>
      </c>
      <c r="E304" s="168" t="s">
        <v>192</v>
      </c>
      <c r="F304" s="168" t="s">
        <v>2676</v>
      </c>
      <c r="G304" s="168" t="s">
        <v>142</v>
      </c>
      <c r="H304" s="171" t="s">
        <v>2677</v>
      </c>
      <c r="I304" s="172" t="s">
        <v>2669</v>
      </c>
      <c r="J304" s="172" t="s">
        <v>554</v>
      </c>
      <c r="K304" s="173" t="s">
        <v>2678</v>
      </c>
      <c r="L304" s="173" t="s">
        <v>2679</v>
      </c>
      <c r="M304" s="173" t="s">
        <v>2680</v>
      </c>
      <c r="N304" s="173" t="s">
        <v>2681</v>
      </c>
      <c r="O304" s="173" t="s">
        <v>2682</v>
      </c>
      <c r="P304" s="174" t="s">
        <v>151</v>
      </c>
      <c r="Q304" s="175" t="s">
        <v>2683</v>
      </c>
      <c r="R304" s="168" t="str">
        <f ca="1">IF(ISERROR($V304),"",OFFSET('Smelter Look-up'!$C$4,$V304-4,0)&amp;"")</f>
        <v>Zhongyuan Gold Smelter of Zhongjin Gold Corporation</v>
      </c>
      <c r="S304" s="167" t="str">
        <f t="shared" ca="1" si="42"/>
        <v>CN</v>
      </c>
      <c r="T304" s="167" t="str">
        <f ca="1">IF(B304="","",IF(ISERROR(MATCH($J304,SorP!$B$1:$B$6230,0)),"",INDIRECT("'SorP'!$A$"&amp;MATCH($J304,SorP!$B$1:$B$6230,0))))</f>
        <v>CN-HA</v>
      </c>
      <c r="U304" s="176"/>
      <c r="V304" s="177">
        <f>IF(C304="",NA(),IF(OR(C304="Smelter not listed",C304="Smelter not yet identified"),MATCH($B304&amp;$D304,'Smelter Look-up'!$J:$J,0),MATCH($B304&amp;$C304,'Smelter Look-up'!$J:$J,0)))</f>
        <v>317</v>
      </c>
      <c r="X304" s="140">
        <f t="shared" si="43"/>
        <v>0</v>
      </c>
      <c r="AB304" s="178" t="str">
        <f t="shared" si="44"/>
        <v>GoldZhongyuan Gold Smelter of Zhongjin Gold Corporation</v>
      </c>
    </row>
    <row r="305" spans="1:28" s="140" customFormat="1" ht="76.5">
      <c r="A305" s="167" t="s">
        <v>2684</v>
      </c>
      <c r="B305" s="168" t="s">
        <v>133</v>
      </c>
      <c r="C305" s="169" t="s">
        <v>2685</v>
      </c>
      <c r="D305" s="170" t="s">
        <v>2686</v>
      </c>
      <c r="E305" s="168" t="s">
        <v>192</v>
      </c>
      <c r="F305" s="168" t="s">
        <v>2684</v>
      </c>
      <c r="G305" s="168" t="s">
        <v>142</v>
      </c>
      <c r="H305" s="171" t="s">
        <v>114</v>
      </c>
      <c r="I305" s="172" t="s">
        <v>196</v>
      </c>
      <c r="J305" s="172" t="s">
        <v>196</v>
      </c>
      <c r="K305" s="173"/>
      <c r="L305" s="173"/>
      <c r="M305" s="173"/>
      <c r="N305" s="173" t="s">
        <v>121</v>
      </c>
      <c r="O305" s="173" t="s">
        <v>121</v>
      </c>
      <c r="P305" s="174" t="s">
        <v>121</v>
      </c>
      <c r="Q305" s="175"/>
      <c r="R305" s="168" t="str">
        <f ca="1">IF(ISERROR($V305),"",OFFSET('Smelter Look-up'!$C$4,$V305-4,0)&amp;"")</f>
        <v/>
      </c>
      <c r="S305" s="167" t="str">
        <f t="shared" ca="1" si="42"/>
        <v>CN</v>
      </c>
      <c r="T305" s="167" t="str">
        <f ca="1">IF(B305="","",IF(ISERROR(MATCH($J305,SorP!$B$1:$B$6230,0)),"",INDIRECT("'SorP'!$A$"&amp;MATCH($J305,SorP!$B$1:$B$6230,0))))</f>
        <v/>
      </c>
      <c r="U305" s="176"/>
      <c r="V305" s="177" t="e">
        <f>IF(C305="",NA(),IF(OR(C305="Smelter not listed",C305="Smelter not yet identified"),MATCH($B305&amp;$D305,'Smelter Look-up'!$J:$J,0),MATCH($B305&amp;$C305,'Smelter Look-up'!$J:$J,0)))</f>
        <v>#N/A</v>
      </c>
      <c r="X305" s="140">
        <f t="shared" si="43"/>
        <v>0</v>
      </c>
      <c r="AB305" s="178" t="str">
        <f t="shared" si="44"/>
        <v>GoldZhuhai toxic materials Monopoly Ltd.</v>
      </c>
    </row>
    <row r="306" spans="1:28" s="140" customFormat="1" ht="63.75">
      <c r="A306" s="167" t="s">
        <v>2688</v>
      </c>
      <c r="B306" s="168" t="s">
        <v>133</v>
      </c>
      <c r="C306" s="169" t="s">
        <v>2687</v>
      </c>
      <c r="D306" s="170" t="s">
        <v>2689</v>
      </c>
      <c r="E306" s="168" t="s">
        <v>192</v>
      </c>
      <c r="F306" s="168" t="s">
        <v>2688</v>
      </c>
      <c r="G306" s="168" t="s">
        <v>142</v>
      </c>
      <c r="H306" s="171" t="s">
        <v>114</v>
      </c>
      <c r="I306" s="172" t="s">
        <v>196</v>
      </c>
      <c r="J306" s="172" t="s">
        <v>196</v>
      </c>
      <c r="K306" s="173"/>
      <c r="L306" s="173"/>
      <c r="M306" s="173"/>
      <c r="N306" s="173" t="s">
        <v>121</v>
      </c>
      <c r="O306" s="173" t="s">
        <v>121</v>
      </c>
      <c r="P306" s="174" t="s">
        <v>121</v>
      </c>
      <c r="Q306" s="175"/>
      <c r="R306" s="168" t="str">
        <f ca="1">IF(ISERROR($V306),"",OFFSET('Smelter Look-up'!$C$4,$V306-4,0)&amp;"")</f>
        <v/>
      </c>
      <c r="S306" s="167" t="str">
        <f t="shared" ca="1" si="42"/>
        <v>CN</v>
      </c>
      <c r="T306" s="167" t="str">
        <f ca="1">IF(B306="","",IF(ISERROR(MATCH($J306,SorP!$B$1:$B$6230,0)),"",INDIRECT("'SorP'!$A$"&amp;MATCH($J306,SorP!$B$1:$B$6230,0))))</f>
        <v/>
      </c>
      <c r="U306" s="176"/>
      <c r="V306" s="177" t="e">
        <f>IF(C306="",NA(),IF(OR(C306="Smelter not listed",C306="Smelter not yet identified"),MATCH($B306&amp;$D306,'Smelter Look-up'!$J:$J,0),MATCH($B306&amp;$C306,'Smelter Look-up'!$J:$J,0)))</f>
        <v>#N/A</v>
      </c>
      <c r="X306" s="140">
        <f t="shared" si="43"/>
        <v>0</v>
      </c>
      <c r="AB306" s="178" t="str">
        <f t="shared" si="44"/>
        <v>GoldZhuzhou Smelting Group Co., Ltd</v>
      </c>
    </row>
    <row r="307" spans="1:28" s="140" customFormat="1" ht="38.25">
      <c r="A307" s="167" t="s">
        <v>2693</v>
      </c>
      <c r="B307" s="168" t="s">
        <v>130</v>
      </c>
      <c r="C307" s="169" t="s">
        <v>2694</v>
      </c>
      <c r="D307" s="170" t="s">
        <v>2694</v>
      </c>
      <c r="E307" s="168" t="s">
        <v>433</v>
      </c>
      <c r="F307" s="168" t="s">
        <v>2693</v>
      </c>
      <c r="G307" s="168" t="s">
        <v>142</v>
      </c>
      <c r="H307" s="171" t="s">
        <v>114</v>
      </c>
      <c r="I307" s="172" t="s">
        <v>721</v>
      </c>
      <c r="J307" s="172" t="s">
        <v>435</v>
      </c>
      <c r="K307" s="173"/>
      <c r="L307" s="173"/>
      <c r="M307" s="173"/>
      <c r="N307" s="173"/>
      <c r="O307" s="173"/>
      <c r="P307" s="174"/>
      <c r="Q307" s="175"/>
      <c r="R307" s="168" t="str">
        <f ca="1">IF(ISERROR($V307),"",OFFSET('Smelter Look-up'!$C$4,$V307-4,0)&amp;"")</f>
        <v>AMG Brasil</v>
      </c>
      <c r="S307" s="167" t="str">
        <f t="shared" ca="1" si="42"/>
        <v>BR</v>
      </c>
      <c r="T307" s="167" t="str">
        <f ca="1">IF(B307="","",IF(ISERROR(MATCH($J307,SorP!$B$1:$B$6230,0)),"",INDIRECT("'SorP'!$A$"&amp;MATCH($J307,SorP!$B$1:$B$6230,0))))</f>
        <v>BR-MG</v>
      </c>
      <c r="U307" s="176"/>
      <c r="V307" s="177">
        <f>IF(C307="",NA(),IF(OR(C307="Smelter not listed",C307="Smelter not yet identified"),MATCH($B307&amp;$D307,'Smelter Look-up'!$J:$J,0),MATCH($B307&amp;$C307,'Smelter Look-up'!$J:$J,0)))</f>
        <v>324</v>
      </c>
      <c r="X307" s="140">
        <f t="shared" si="43"/>
        <v>0</v>
      </c>
      <c r="AB307" s="178" t="str">
        <f t="shared" si="44"/>
        <v>TantalumAMG Brasil</v>
      </c>
    </row>
    <row r="308" spans="1:28" s="140" customFormat="1" ht="63.75">
      <c r="A308" s="167" t="s">
        <v>2695</v>
      </c>
      <c r="B308" s="168" t="s">
        <v>130</v>
      </c>
      <c r="C308" s="169" t="s">
        <v>2696</v>
      </c>
      <c r="D308" s="170" t="s">
        <v>2696</v>
      </c>
      <c r="E308" s="168" t="s">
        <v>2697</v>
      </c>
      <c r="F308" s="168" t="s">
        <v>2695</v>
      </c>
      <c r="G308" s="168" t="s">
        <v>142</v>
      </c>
      <c r="H308" s="171" t="s">
        <v>114</v>
      </c>
      <c r="I308" s="172" t="s">
        <v>2698</v>
      </c>
      <c r="J308" s="172" t="s">
        <v>2699</v>
      </c>
      <c r="K308" s="173"/>
      <c r="L308" s="173"/>
      <c r="M308" s="173"/>
      <c r="N308" s="173"/>
      <c r="O308" s="173"/>
      <c r="P308" s="174"/>
      <c r="Q308" s="175"/>
      <c r="R308" s="168" t="str">
        <f ca="1">IF(ISERROR($V308),"",OFFSET('Smelter Look-up'!$C$4,$V308-4,0)&amp;"")</f>
        <v/>
      </c>
      <c r="S308" s="167" t="str">
        <f t="shared" ca="1" si="42"/>
        <v>Unknown</v>
      </c>
      <c r="T308" s="167" t="str">
        <f ca="1">IF(B308="","",IF(ISERROR(MATCH($J308,SorP!$B$1:$B$6230,0)),"",INDIRECT("'SorP'!$A$"&amp;MATCH($J308,SorP!$B$1:$B$6230,0))))</f>
        <v>GB-GLS</v>
      </c>
      <c r="U308" s="176"/>
      <c r="V308" s="177" t="e">
        <f>IF(C308="",NA(),IF(OR(C308="Smelter not listed",C308="Smelter not yet identified"),MATCH($B308&amp;$D308,'Smelter Look-up'!$J:$J,0),MATCH($B308&amp;$C308,'Smelter Look-up'!$J:$J,0)))</f>
        <v>#N/A</v>
      </c>
      <c r="X308" s="140">
        <f t="shared" si="43"/>
        <v>0</v>
      </c>
      <c r="AB308" s="178" t="str">
        <f t="shared" si="44"/>
        <v>TantalumAvon Specialty Metals Ltd</v>
      </c>
    </row>
    <row r="309" spans="1:28" s="140" customFormat="1" ht="409.5">
      <c r="A309" s="167" t="s">
        <v>2700</v>
      </c>
      <c r="B309" s="168" t="s">
        <v>130</v>
      </c>
      <c r="C309" s="169" t="s">
        <v>2701</v>
      </c>
      <c r="D309" s="170" t="s">
        <v>2701</v>
      </c>
      <c r="E309" s="168" t="s">
        <v>192</v>
      </c>
      <c r="F309" s="168" t="s">
        <v>2700</v>
      </c>
      <c r="G309" s="168" t="s">
        <v>142</v>
      </c>
      <c r="H309" s="171" t="s">
        <v>2702</v>
      </c>
      <c r="I309" s="172" t="s">
        <v>2703</v>
      </c>
      <c r="J309" s="172" t="s">
        <v>709</v>
      </c>
      <c r="K309" s="173" t="s">
        <v>2704</v>
      </c>
      <c r="L309" s="173" t="s">
        <v>2705</v>
      </c>
      <c r="M309" s="173" t="s">
        <v>2706</v>
      </c>
      <c r="N309" s="173" t="s">
        <v>2707</v>
      </c>
      <c r="O309" s="173" t="s">
        <v>2708</v>
      </c>
      <c r="P309" s="174" t="s">
        <v>715</v>
      </c>
      <c r="Q309" s="175" t="s">
        <v>2709</v>
      </c>
      <c r="R309" s="168" t="str">
        <f ca="1">IF(ISERROR($V309),"",OFFSET('Smelter Look-up'!$C$4,$V309-4,0)&amp;"")</f>
        <v>Changsha South Tantalum Niobium Co., Ltd.</v>
      </c>
      <c r="S309" s="167" t="str">
        <f t="shared" ca="1" si="42"/>
        <v>CN</v>
      </c>
      <c r="T309" s="167" t="str">
        <f ca="1">IF(B309="","",IF(ISERROR(MATCH($J309,SorP!$B$1:$B$6230,0)),"",INDIRECT("'SorP'!$A$"&amp;MATCH($J309,SorP!$B$1:$B$6230,0))))</f>
        <v>CN-HN</v>
      </c>
      <c r="U309" s="176"/>
      <c r="V309" s="177">
        <f>IF(C309="",NA(),IF(OR(C309="Smelter not listed",C309="Smelter not yet identified"),MATCH($B309&amp;$D309,'Smelter Look-up'!$J:$J,0),MATCH($B309&amp;$C309,'Smelter Look-up'!$J:$J,0)))</f>
        <v>325</v>
      </c>
      <c r="X309" s="140">
        <f t="shared" si="43"/>
        <v>0</v>
      </c>
      <c r="AB309" s="178" t="str">
        <f t="shared" si="44"/>
        <v>TantalumChangsha South Tantalum Niobium Co., Ltd.</v>
      </c>
    </row>
    <row r="310" spans="1:28" s="140" customFormat="1" ht="409.5">
      <c r="A310" s="167" t="s">
        <v>2710</v>
      </c>
      <c r="B310" s="168" t="s">
        <v>130</v>
      </c>
      <c r="C310" s="169" t="s">
        <v>2711</v>
      </c>
      <c r="D310" s="170" t="s">
        <v>2711</v>
      </c>
      <c r="E310" s="168" t="s">
        <v>141</v>
      </c>
      <c r="F310" s="168" t="s">
        <v>2710</v>
      </c>
      <c r="G310" s="168" t="s">
        <v>142</v>
      </c>
      <c r="H310" s="171" t="s">
        <v>114</v>
      </c>
      <c r="I310" s="172" t="s">
        <v>2712</v>
      </c>
      <c r="J310" s="172" t="s">
        <v>2713</v>
      </c>
      <c r="K310" s="173" t="s">
        <v>2714</v>
      </c>
      <c r="L310" s="173" t="s">
        <v>2715</v>
      </c>
      <c r="M310" s="173" t="s">
        <v>2716</v>
      </c>
      <c r="N310" s="173" t="s">
        <v>2717</v>
      </c>
      <c r="O310" s="173" t="s">
        <v>2718</v>
      </c>
      <c r="P310" s="174" t="s">
        <v>732</v>
      </c>
      <c r="Q310" s="175" t="s">
        <v>2719</v>
      </c>
      <c r="R310" s="168" t="str">
        <f ca="1">IF(ISERROR($V310),"",OFFSET('Smelter Look-up'!$C$4,$V310-4,0)&amp;"")</f>
        <v>D Block Metals, LLC</v>
      </c>
      <c r="S310" s="167" t="str">
        <f t="shared" ca="1" si="42"/>
        <v>US</v>
      </c>
      <c r="T310" s="167" t="str">
        <f ca="1">IF(B310="","",IF(ISERROR(MATCH($J310,SorP!$B$1:$B$6230,0)),"",INDIRECT("'SorP'!$A$"&amp;MATCH($J310,SorP!$B$1:$B$6230,0))))</f>
        <v>US-NC</v>
      </c>
      <c r="U310" s="176"/>
      <c r="V310" s="177">
        <f>IF(C310="",NA(),IF(OR(C310="Smelter not listed",C310="Smelter not yet identified"),MATCH($B310&amp;$D310,'Smelter Look-up'!$J:$J,0),MATCH($B310&amp;$C310,'Smelter Look-up'!$J:$J,0)))</f>
        <v>327</v>
      </c>
      <c r="X310" s="140">
        <f t="shared" si="43"/>
        <v>0</v>
      </c>
      <c r="AB310" s="178" t="str">
        <f t="shared" si="44"/>
        <v>TantalumD Block Metals, LLC</v>
      </c>
    </row>
    <row r="311" spans="1:28" s="140" customFormat="1" ht="140.25">
      <c r="A311" s="167" t="s">
        <v>2726</v>
      </c>
      <c r="B311" s="168" t="s">
        <v>130</v>
      </c>
      <c r="C311" s="169" t="s">
        <v>2727</v>
      </c>
      <c r="D311" s="170" t="s">
        <v>2727</v>
      </c>
      <c r="E311" s="168" t="s">
        <v>192</v>
      </c>
      <c r="F311" s="168" t="s">
        <v>2726</v>
      </c>
      <c r="G311" s="168" t="s">
        <v>169</v>
      </c>
      <c r="H311" s="171" t="s">
        <v>114</v>
      </c>
      <c r="I311" s="172" t="s">
        <v>2728</v>
      </c>
      <c r="J311" s="172" t="s">
        <v>2729</v>
      </c>
      <c r="K311" s="173"/>
      <c r="L311" s="173"/>
      <c r="M311" s="173"/>
      <c r="N311" s="173"/>
      <c r="O311" s="173"/>
      <c r="P311" s="174"/>
      <c r="Q311" s="175"/>
      <c r="R311" s="168" t="str">
        <f ca="1">IF(ISERROR($V311),"",OFFSET('Smelter Look-up'!$C$4,$V311-4,0)&amp;"")</f>
        <v/>
      </c>
      <c r="S311" s="167" t="str">
        <f t="shared" ca="1" si="42"/>
        <v>CN</v>
      </c>
      <c r="T311" s="167" t="str">
        <f ca="1">IF(B311="","",IF(ISERROR(MATCH($J311,SorP!$B$1:$B$6230,0)),"",INDIRECT("'SorP'!$A$"&amp;MATCH($J311,SorP!$B$1:$B$6230,0))))</f>
        <v/>
      </c>
      <c r="U311" s="176"/>
      <c r="V311" s="177" t="e">
        <f>IF(C311="",NA(),IF(OR(C311="Smelter not listed",C311="Smelter not yet identified"),MATCH($B311&amp;$D311,'Smelter Look-up'!$J:$J,0),MATCH($B311&amp;$C311,'Smelter Look-up'!$J:$J,0)))</f>
        <v>#N/A</v>
      </c>
      <c r="X311" s="140">
        <f t="shared" si="43"/>
        <v>0</v>
      </c>
      <c r="AB311" s="178" t="str">
        <f t="shared" si="44"/>
        <v>TantalumGuizhou Zhenhua Xinyun Technology Ltd., Kaili branch</v>
      </c>
    </row>
    <row r="312" spans="1:28" s="140" customFormat="1" ht="409.5">
      <c r="A312" s="167" t="s">
        <v>2731</v>
      </c>
      <c r="B312" s="168" t="s">
        <v>130</v>
      </c>
      <c r="C312" s="169" t="s">
        <v>2732</v>
      </c>
      <c r="D312" s="170" t="s">
        <v>2733</v>
      </c>
      <c r="E312" s="168" t="s">
        <v>179</v>
      </c>
      <c r="F312" s="168" t="s">
        <v>2731</v>
      </c>
      <c r="G312" s="168" t="s">
        <v>142</v>
      </c>
      <c r="H312" s="171" t="s">
        <v>2734</v>
      </c>
      <c r="I312" s="172" t="s">
        <v>2735</v>
      </c>
      <c r="J312" s="172" t="s">
        <v>2736</v>
      </c>
      <c r="K312" s="173" t="s">
        <v>2737</v>
      </c>
      <c r="L312" s="173" t="s">
        <v>2738</v>
      </c>
      <c r="M312" s="173" t="s">
        <v>2739</v>
      </c>
      <c r="N312" s="173" t="s">
        <v>2740</v>
      </c>
      <c r="O312" s="173" t="s">
        <v>2741</v>
      </c>
      <c r="P312" s="174" t="s">
        <v>715</v>
      </c>
      <c r="Q312" s="175" t="s">
        <v>2742</v>
      </c>
      <c r="R312" s="168" t="str">
        <f ca="1">IF(ISERROR($V312),"",OFFSET('Smelter Look-up'!$C$4,$V312-4,0)&amp;"")</f>
        <v/>
      </c>
      <c r="S312" s="167" t="str">
        <f t="shared" ca="1" si="42"/>
        <v>DE</v>
      </c>
      <c r="T312" s="167" t="str">
        <f ca="1">IF(B312="","",IF(ISERROR(MATCH($J312,SorP!$B$1:$B$6230,0)),"",INDIRECT("'SorP'!$A$"&amp;MATCH($J312,SorP!$B$1:$B$6230,0))))</f>
        <v>DE-TH</v>
      </c>
      <c r="U312" s="176"/>
      <c r="V312" s="177" t="e">
        <f>IF(C312="",NA(),IF(OR(C312="Smelter not listed",C312="Smelter not yet identified"),MATCH($B312&amp;$D312,'Smelter Look-up'!$J:$J,0),MATCH($B312&amp;$C312,'Smelter Look-up'!$J:$J,0)))</f>
        <v>#N/A</v>
      </c>
      <c r="X312" s="140">
        <f t="shared" si="43"/>
        <v>0</v>
      </c>
      <c r="AB312" s="178" t="str">
        <f t="shared" si="44"/>
        <v>TantalumQSIL Metals Hermsdorf GmbH</v>
      </c>
    </row>
    <row r="313" spans="1:28" s="140" customFormat="1" ht="114.75">
      <c r="A313" s="167" t="s">
        <v>2743</v>
      </c>
      <c r="B313" s="168" t="s">
        <v>130</v>
      </c>
      <c r="C313" s="169" t="s">
        <v>1530</v>
      </c>
      <c r="D313" s="170" t="s">
        <v>1530</v>
      </c>
      <c r="E313" s="168" t="s">
        <v>192</v>
      </c>
      <c r="F313" s="168" t="s">
        <v>2743</v>
      </c>
      <c r="G313" s="168" t="s">
        <v>169</v>
      </c>
      <c r="H313" s="171" t="s">
        <v>114</v>
      </c>
      <c r="I313" s="172" t="s">
        <v>708</v>
      </c>
      <c r="J313" s="172" t="s">
        <v>1020</v>
      </c>
      <c r="K313" s="173"/>
      <c r="L313" s="173" t="s">
        <v>2744</v>
      </c>
      <c r="M313" s="173"/>
      <c r="N313" s="173"/>
      <c r="O313" s="173" t="s">
        <v>375</v>
      </c>
      <c r="P313" s="174"/>
      <c r="Q313" s="175" t="s">
        <v>1067</v>
      </c>
      <c r="R313" s="168" t="str">
        <f ca="1">IF(ISERROR($V313),"",OFFSET('Smelter Look-up'!$C$4,$V313-4,0)&amp;"")</f>
        <v/>
      </c>
      <c r="S313" s="167" t="str">
        <f t="shared" ca="1" si="42"/>
        <v>CN</v>
      </c>
      <c r="T313" s="167" t="str">
        <f ca="1">IF(B313="","",IF(ISERROR(MATCH($J313,SorP!$B$1:$B$6230,0)),"",INDIRECT("'SorP'!$A$"&amp;MATCH($J313,SorP!$B$1:$B$6230,0))))</f>
        <v/>
      </c>
      <c r="U313" s="176"/>
      <c r="V313" s="177" t="e">
        <f>IF(C313="",NA(),IF(OR(C313="Smelter not listed",C313="Smelter not yet identified"),MATCH($B313&amp;$D313,'Smelter Look-up'!$J:$J,0),MATCH($B313&amp;$C313,'Smelter Look-up'!$J:$J,0)))</f>
        <v>#N/A</v>
      </c>
      <c r="X313" s="140">
        <f t="shared" si="43"/>
        <v>0</v>
      </c>
      <c r="AB313" s="178" t="str">
        <f t="shared" si="44"/>
        <v>TantalumZhuzhou Cemented Carbide Group Co., Ltd.</v>
      </c>
    </row>
    <row r="314" spans="1:28" s="140" customFormat="1" ht="153">
      <c r="A314" s="167" t="s">
        <v>2745</v>
      </c>
      <c r="B314" s="168" t="s">
        <v>131</v>
      </c>
      <c r="C314" s="169" t="s">
        <v>2746</v>
      </c>
      <c r="D314" s="170" t="s">
        <v>2746</v>
      </c>
      <c r="E314" s="168" t="s">
        <v>1125</v>
      </c>
      <c r="F314" s="168" t="s">
        <v>2745</v>
      </c>
      <c r="G314" s="168" t="s">
        <v>142</v>
      </c>
      <c r="H314" s="171" t="s">
        <v>114</v>
      </c>
      <c r="I314" s="172" t="s">
        <v>1126</v>
      </c>
      <c r="J314" s="172" t="s">
        <v>1127</v>
      </c>
      <c r="K314" s="173" t="s">
        <v>2747</v>
      </c>
      <c r="L314" s="173" t="s">
        <v>2748</v>
      </c>
      <c r="M314" s="173" t="s">
        <v>173</v>
      </c>
      <c r="N314" s="173" t="s">
        <v>174</v>
      </c>
      <c r="O314" s="173" t="s">
        <v>2749</v>
      </c>
      <c r="P314" s="174" t="s">
        <v>175</v>
      </c>
      <c r="Q314" s="175" t="s">
        <v>2021</v>
      </c>
      <c r="R314" s="168" t="str">
        <f ca="1">IF(ISERROR($V314),"",OFFSET('Smelter Look-up'!$C$4,$V314-4,0)&amp;"")</f>
        <v>An Vinh Joint Stock Mineral Processing Company</v>
      </c>
      <c r="S314" s="167" t="str">
        <f t="shared" ca="1" si="42"/>
        <v>VN</v>
      </c>
      <c r="T314" s="167" t="str">
        <f ca="1">IF(B314="","",IF(ISERROR(MATCH($J314,SorP!$B$1:$B$6230,0)),"",INDIRECT("'SorP'!$A$"&amp;MATCH($J314,SorP!$B$1:$B$6230,0))))</f>
        <v>VN-22</v>
      </c>
      <c r="U314" s="176"/>
      <c r="V314" s="177">
        <f>IF(C314="",NA(),IF(OR(C314="Smelter not listed",C314="Smelter not yet identified"),MATCH($B314&amp;$D314,'Smelter Look-up'!$J:$J,0),MATCH($B314&amp;$C314,'Smelter Look-up'!$J:$J,0)))</f>
        <v>394</v>
      </c>
      <c r="X314" s="140">
        <f t="shared" si="43"/>
        <v>0</v>
      </c>
      <c r="AB314" s="178" t="str">
        <f t="shared" si="44"/>
        <v>TinAn Vinh Joint Stock Mineral Processing Company</v>
      </c>
    </row>
    <row r="315" spans="1:28" s="140" customFormat="1" ht="409.5">
      <c r="A315" s="167" t="s">
        <v>2750</v>
      </c>
      <c r="B315" s="168" t="s">
        <v>131</v>
      </c>
      <c r="C315" s="169" t="s">
        <v>2751</v>
      </c>
      <c r="D315" s="170" t="s">
        <v>2751</v>
      </c>
      <c r="E315" s="168" t="s">
        <v>192</v>
      </c>
      <c r="F315" s="168" t="s">
        <v>2750</v>
      </c>
      <c r="G315" s="168" t="s">
        <v>142</v>
      </c>
      <c r="H315" s="171" t="s">
        <v>2752</v>
      </c>
      <c r="I315" s="172" t="s">
        <v>985</v>
      </c>
      <c r="J315" s="172" t="s">
        <v>771</v>
      </c>
      <c r="K315" s="173" t="s">
        <v>2753</v>
      </c>
      <c r="L315" s="173" t="s">
        <v>2754</v>
      </c>
      <c r="M315" s="173" t="s">
        <v>2755</v>
      </c>
      <c r="N315" s="173" t="s">
        <v>2756</v>
      </c>
      <c r="O315" s="173" t="s">
        <v>2757</v>
      </c>
      <c r="P315" s="174" t="s">
        <v>600</v>
      </c>
      <c r="Q315" s="175" t="s">
        <v>2758</v>
      </c>
      <c r="R315" s="168" t="str">
        <f ca="1">IF(ISERROR($V315),"",OFFSET('Smelter Look-up'!$C$4,$V315-4,0)&amp;"")</f>
        <v>HuiChang Hill Tin Industry Co., Ltd.</v>
      </c>
      <c r="S315" s="167" t="str">
        <f t="shared" ca="1" si="42"/>
        <v>CN</v>
      </c>
      <c r="T315" s="167" t="str">
        <f ca="1">IF(B315="","",IF(ISERROR(MATCH($J315,SorP!$B$1:$B$6230,0)),"",INDIRECT("'SorP'!$A$"&amp;MATCH($J315,SorP!$B$1:$B$6230,0))))</f>
        <v>CN-JX</v>
      </c>
      <c r="U315" s="176"/>
      <c r="V315" s="177">
        <f>IF(C315="",NA(),IF(OR(C315="Smelter not listed",C315="Smelter not yet identified"),MATCH($B315&amp;$D315,'Smelter Look-up'!$J:$J,0),MATCH($B315&amp;$C315,'Smelter Look-up'!$J:$J,0)))</f>
        <v>442</v>
      </c>
      <c r="X315" s="140">
        <f t="shared" si="43"/>
        <v>0</v>
      </c>
      <c r="AB315" s="178" t="str">
        <f t="shared" si="44"/>
        <v>TinHuiChang Hill Tin Industry Co., Ltd.</v>
      </c>
    </row>
    <row r="316" spans="1:28" s="140" customFormat="1" ht="51">
      <c r="A316" s="167" t="s">
        <v>2764</v>
      </c>
      <c r="B316" s="168" t="s">
        <v>131</v>
      </c>
      <c r="C316" s="169" t="s">
        <v>2765</v>
      </c>
      <c r="D316" s="170" t="s">
        <v>2765</v>
      </c>
      <c r="E316" s="168" t="s">
        <v>2697</v>
      </c>
      <c r="F316" s="168" t="s">
        <v>2764</v>
      </c>
      <c r="G316" s="168" t="s">
        <v>114</v>
      </c>
      <c r="H316" s="171" t="s">
        <v>114</v>
      </c>
      <c r="I316" s="172"/>
      <c r="J316" s="172" t="s">
        <v>114</v>
      </c>
      <c r="K316" s="173"/>
      <c r="L316" s="173"/>
      <c r="M316" s="173"/>
      <c r="N316" s="173"/>
      <c r="O316" s="173"/>
      <c r="P316" s="174"/>
      <c r="Q316" s="175"/>
      <c r="R316" s="168" t="str">
        <f ca="1">IF(ISERROR($V316),"",OFFSET('Smelter Look-up'!$C$4,$V316-4,0)&amp;"")</f>
        <v/>
      </c>
      <c r="S316" s="167" t="str">
        <f t="shared" ref="S316:S329" ca="1" si="45">IF(B316="","",IF(ISERROR(MATCH($E316,CL,0)),"Unknown",INDIRECT("'C'!$A$"&amp;MATCH($E316,CL,0)+1)))</f>
        <v>Unknown</v>
      </c>
      <c r="T316" s="167" t="str">
        <f ca="1">IF(B316="","",IF(ISERROR(MATCH($J316,SorP!$B$1:$B$6230,0)),"",INDIRECT("'SorP'!$A$"&amp;MATCH($J316,SorP!$B$1:$B$6230,0))))</f>
        <v/>
      </c>
      <c r="U316" s="176"/>
      <c r="V316" s="177" t="e">
        <f>IF(C316="",NA(),IF(OR(C316="Smelter not listed",C316="Smelter not yet identified"),MATCH($B316&amp;$D316,'Smelter Look-up'!$J:$J,0),MATCH($B316&amp;$C316,'Smelter Look-up'!$J:$J,0)))</f>
        <v>#N/A</v>
      </c>
      <c r="X316" s="140">
        <f t="shared" ref="X316:X329" si="46">IF(AND(C316="Smelter not listed",OR(LEN(D316)=0,LEN(E316)=0)),1,0)</f>
        <v>0</v>
      </c>
      <c r="AB316" s="178" t="str">
        <f t="shared" ref="AB316:AB329" si="47">B316&amp;C316</f>
        <v>TinKARAS PLATING LTD</v>
      </c>
    </row>
    <row r="317" spans="1:28" s="140" customFormat="1" ht="306">
      <c r="A317" s="167" t="s">
        <v>2766</v>
      </c>
      <c r="B317" s="168" t="s">
        <v>131</v>
      </c>
      <c r="C317" s="169" t="s">
        <v>2767</v>
      </c>
      <c r="D317" s="170" t="s">
        <v>2767</v>
      </c>
      <c r="E317" s="168" t="s">
        <v>1125</v>
      </c>
      <c r="F317" s="168" t="s">
        <v>2766</v>
      </c>
      <c r="G317" s="168" t="s">
        <v>142</v>
      </c>
      <c r="H317" s="171" t="s">
        <v>2768</v>
      </c>
      <c r="I317" s="172" t="s">
        <v>2769</v>
      </c>
      <c r="J317" s="172" t="s">
        <v>2770</v>
      </c>
      <c r="K317" s="173" t="s">
        <v>2771</v>
      </c>
      <c r="L317" s="173" t="s">
        <v>2772</v>
      </c>
      <c r="M317" s="173"/>
      <c r="N317" s="173" t="s">
        <v>220</v>
      </c>
      <c r="O317" s="173" t="s">
        <v>2773</v>
      </c>
      <c r="P317" s="174" t="s">
        <v>175</v>
      </c>
      <c r="Q317" s="175" t="s">
        <v>2021</v>
      </c>
      <c r="R317" s="168" t="str">
        <f ca="1">IF(ISERROR($V317),"",OFFSET('Smelter Look-up'!$C$4,$V317-4,0)&amp;"")</f>
        <v>Tuyen Quang Non-Ferrous Metals Joint Stock Company</v>
      </c>
      <c r="S317" s="167" t="str">
        <f t="shared" ca="1" si="45"/>
        <v>VN</v>
      </c>
      <c r="T317" s="167" t="str">
        <f ca="1">IF(B317="","",IF(ISERROR(MATCH($J317,SorP!$B$1:$B$6230,0)),"",INDIRECT("'SorP'!$A$"&amp;MATCH($J317,SorP!$B$1:$B$6230,0))))</f>
        <v>VN-07</v>
      </c>
      <c r="U317" s="176"/>
      <c r="V317" s="177">
        <f>IF(C317="",NA(),IF(OR(C317="Smelter not listed",C317="Smelter not yet identified"),MATCH($B317&amp;$D317,'Smelter Look-up'!$J:$J,0),MATCH($B317&amp;$C317,'Smelter Look-up'!$J:$J,0)))</f>
        <v>529</v>
      </c>
      <c r="X317" s="140">
        <f t="shared" si="46"/>
        <v>0</v>
      </c>
      <c r="AB317" s="178" t="str">
        <f t="shared" si="47"/>
        <v>TinTuyen Quang Non-Ferrous Metals Joint Stock Company</v>
      </c>
    </row>
    <row r="318" spans="1:28" s="140" customFormat="1" ht="89.25">
      <c r="A318" s="167" t="s">
        <v>2774</v>
      </c>
      <c r="B318" s="168" t="s">
        <v>131</v>
      </c>
      <c r="C318" s="169" t="s">
        <v>930</v>
      </c>
      <c r="D318" s="170" t="s">
        <v>930</v>
      </c>
      <c r="E318" s="168" t="s">
        <v>192</v>
      </c>
      <c r="F318" s="168" t="s">
        <v>2774</v>
      </c>
      <c r="G318" s="168" t="s">
        <v>114</v>
      </c>
      <c r="H318" s="171" t="s">
        <v>114</v>
      </c>
      <c r="I318" s="172" t="s">
        <v>114</v>
      </c>
      <c r="J318" s="172" t="s">
        <v>114</v>
      </c>
      <c r="K318" s="173"/>
      <c r="L318" s="173"/>
      <c r="M318" s="173"/>
      <c r="N318" s="173"/>
      <c r="O318" s="173"/>
      <c r="P318" s="174"/>
      <c r="Q318" s="175"/>
      <c r="R318" s="168" t="str">
        <f ca="1">IF(ISERROR($V318),"",OFFSET('Smelter Look-up'!$C$4,$V318-4,0)&amp;"")</f>
        <v/>
      </c>
      <c r="S318" s="167" t="str">
        <f t="shared" ca="1" si="45"/>
        <v>CN</v>
      </c>
      <c r="T318" s="167" t="str">
        <f ca="1">IF(B318="","",IF(ISERROR(MATCH($J318,SorP!$B$1:$B$6230,0)),"",INDIRECT("'SorP'!$A$"&amp;MATCH($J318,SorP!$B$1:$B$6230,0))))</f>
        <v/>
      </c>
      <c r="U318" s="176"/>
      <c r="V318" s="177" t="e">
        <f>IF(C318="",NA(),IF(OR(C318="Smelter not listed",C318="Smelter not yet identified"),MATCH($B318&amp;$D318,'Smelter Look-up'!$J:$J,0),MATCH($B318&amp;$C318,'Smelter Look-up'!$J:$J,0)))</f>
        <v>#N/A</v>
      </c>
      <c r="X318" s="140">
        <f t="shared" si="46"/>
        <v>0</v>
      </c>
      <c r="AB318" s="178" t="str">
        <f t="shared" si="47"/>
        <v>TinUmicore SA Business Unit Precious Metals Refining</v>
      </c>
    </row>
    <row r="319" spans="1:28" s="140" customFormat="1" ht="51">
      <c r="A319" s="167" t="s">
        <v>2775</v>
      </c>
      <c r="B319" s="168" t="s">
        <v>131</v>
      </c>
      <c r="C319" s="169" t="s">
        <v>2776</v>
      </c>
      <c r="D319" s="170" t="s">
        <v>2776</v>
      </c>
      <c r="E319" s="168" t="s">
        <v>192</v>
      </c>
      <c r="F319" s="168" t="s">
        <v>2775</v>
      </c>
      <c r="G319" s="168" t="s">
        <v>114</v>
      </c>
      <c r="H319" s="171" t="s">
        <v>114</v>
      </c>
      <c r="I319" s="172" t="s">
        <v>114</v>
      </c>
      <c r="J319" s="172" t="s">
        <v>114</v>
      </c>
      <c r="K319" s="173"/>
      <c r="L319" s="173"/>
      <c r="M319" s="173"/>
      <c r="N319" s="173"/>
      <c r="O319" s="173"/>
      <c r="P319" s="174"/>
      <c r="Q319" s="175"/>
      <c r="R319" s="168" t="str">
        <f ca="1">IF(ISERROR($V319),"",OFFSET('Smelter Look-up'!$C$4,$V319-4,0)&amp;"")</f>
        <v/>
      </c>
      <c r="S319" s="167" t="str">
        <f t="shared" ca="1" si="45"/>
        <v>CN</v>
      </c>
      <c r="T319" s="167" t="str">
        <f ca="1">IF(B319="","",IF(ISERROR(MATCH($J319,SorP!$B$1:$B$6230,0)),"",INDIRECT("'SorP'!$A$"&amp;MATCH($J319,SorP!$B$1:$B$6230,0))))</f>
        <v/>
      </c>
      <c r="U319" s="176"/>
      <c r="V319" s="177" t="e">
        <f>IF(C319="",NA(),IF(OR(C319="Smelter not listed",C319="Smelter not yet identified"),MATCH($B319&amp;$D319,'Smelter Look-up'!$J:$J,0),MATCH($B319&amp;$C319,'Smelter Look-up'!$J:$J,0)))</f>
        <v>#N/A</v>
      </c>
      <c r="X319" s="140">
        <f t="shared" si="46"/>
        <v>0</v>
      </c>
      <c r="AB319" s="178" t="str">
        <f t="shared" si="47"/>
        <v>TinUNI BROS METAL PTE LTD</v>
      </c>
    </row>
    <row r="320" spans="1:28" s="140" customFormat="1" ht="76.5">
      <c r="A320" s="167" t="s">
        <v>2777</v>
      </c>
      <c r="B320" s="168" t="s">
        <v>131</v>
      </c>
      <c r="C320" s="169" t="s">
        <v>2778</v>
      </c>
      <c r="D320" s="170" t="s">
        <v>2778</v>
      </c>
      <c r="E320" s="168" t="s">
        <v>141</v>
      </c>
      <c r="F320" s="168" t="s">
        <v>2777</v>
      </c>
      <c r="G320" s="168" t="s">
        <v>114</v>
      </c>
      <c r="H320" s="171" t="s">
        <v>114</v>
      </c>
      <c r="I320" s="172" t="s">
        <v>114</v>
      </c>
      <c r="J320" s="172" t="s">
        <v>114</v>
      </c>
      <c r="K320" s="173"/>
      <c r="L320" s="173"/>
      <c r="M320" s="173"/>
      <c r="N320" s="173"/>
      <c r="O320" s="173"/>
      <c r="P320" s="174"/>
      <c r="Q320" s="175"/>
      <c r="R320" s="168" t="str">
        <f ca="1">IF(ISERROR($V320),"",OFFSET('Smelter Look-up'!$C$4,$V320-4,0)&amp;"")</f>
        <v/>
      </c>
      <c r="S320" s="167" t="str">
        <f t="shared" ca="1" si="45"/>
        <v>US</v>
      </c>
      <c r="T320" s="167" t="str">
        <f ca="1">IF(B320="","",IF(ISERROR(MATCH($J320,SorP!$B$1:$B$6230,0)),"",INDIRECT("'SorP'!$A$"&amp;MATCH($J320,SorP!$B$1:$B$6230,0))))</f>
        <v/>
      </c>
      <c r="U320" s="176"/>
      <c r="V320" s="177" t="e">
        <f>IF(C320="",NA(),IF(OR(C320="Smelter not listed",C320="Smelter not yet identified"),MATCH($B320&amp;$D320,'Smelter Look-up'!$J:$J,0),MATCH($B320&amp;$C320,'Smelter Look-up'!$J:$J,0)))</f>
        <v>#N/A</v>
      </c>
      <c r="X320" s="140">
        <f t="shared" si="46"/>
        <v>0</v>
      </c>
      <c r="AB320" s="178" t="str">
        <f t="shared" si="47"/>
        <v>TinUNIFORCE METAL INDUSTRIAL CORP.</v>
      </c>
    </row>
    <row r="321" spans="1:28" s="140" customFormat="1" ht="89.25">
      <c r="A321" s="167" t="s">
        <v>2779</v>
      </c>
      <c r="B321" s="168" t="s">
        <v>131</v>
      </c>
      <c r="C321" s="169" t="s">
        <v>2780</v>
      </c>
      <c r="D321" s="170" t="s">
        <v>2780</v>
      </c>
      <c r="E321" s="168" t="s">
        <v>141</v>
      </c>
      <c r="F321" s="168" t="s">
        <v>2779</v>
      </c>
      <c r="G321" s="168" t="s">
        <v>114</v>
      </c>
      <c r="H321" s="171" t="s">
        <v>114</v>
      </c>
      <c r="I321" s="172" t="s">
        <v>114</v>
      </c>
      <c r="J321" s="172" t="s">
        <v>114</v>
      </c>
      <c r="K321" s="173"/>
      <c r="L321" s="173"/>
      <c r="M321" s="173"/>
      <c r="N321" s="173"/>
      <c r="O321" s="173"/>
      <c r="P321" s="174"/>
      <c r="Q321" s="175"/>
      <c r="R321" s="168" t="str">
        <f ca="1">IF(ISERROR($V321),"",OFFSET('Smelter Look-up'!$C$4,$V321-4,0)&amp;"")</f>
        <v/>
      </c>
      <c r="S321" s="167" t="str">
        <f t="shared" ca="1" si="45"/>
        <v>US</v>
      </c>
      <c r="T321" s="167" t="str">
        <f ca="1">IF(B321="","",IF(ISERROR(MATCH($J321,SorP!$B$1:$B$6230,0)),"",INDIRECT("'SorP'!$A$"&amp;MATCH($J321,SorP!$B$1:$B$6230,0))))</f>
        <v/>
      </c>
      <c r="U321" s="176"/>
      <c r="V321" s="177" t="e">
        <f>IF(C321="",NA(),IF(OR(C321="Smelter not listed",C321="Smelter not yet identified"),MATCH($B321&amp;$D321,'Smelter Look-up'!$J:$J,0),MATCH($B321&amp;$C321,'Smelter Look-up'!$J:$J,0)))</f>
        <v>#N/A</v>
      </c>
      <c r="X321" s="140">
        <f t="shared" si="46"/>
        <v>0</v>
      </c>
      <c r="AB321" s="178" t="str">
        <f t="shared" si="47"/>
        <v>TinUnivertical International (Suzhou) Co., Ltd</v>
      </c>
    </row>
    <row r="322" spans="1:28" s="140" customFormat="1" ht="51">
      <c r="A322" s="167" t="s">
        <v>2781</v>
      </c>
      <c r="B322" s="168" t="s">
        <v>131</v>
      </c>
      <c r="C322" s="169" t="s">
        <v>2782</v>
      </c>
      <c r="D322" s="170" t="s">
        <v>2782</v>
      </c>
      <c r="E322" s="168" t="s">
        <v>1047</v>
      </c>
      <c r="F322" s="168" t="s">
        <v>2781</v>
      </c>
      <c r="G322" s="168" t="s">
        <v>142</v>
      </c>
      <c r="H322" s="171" t="s">
        <v>114</v>
      </c>
      <c r="I322" s="172" t="s">
        <v>196</v>
      </c>
      <c r="J322" s="172" t="s">
        <v>196</v>
      </c>
      <c r="K322" s="173"/>
      <c r="L322" s="173"/>
      <c r="M322" s="173"/>
      <c r="N322" s="173" t="s">
        <v>121</v>
      </c>
      <c r="O322" s="173" t="s">
        <v>121</v>
      </c>
      <c r="P322" s="174" t="s">
        <v>121</v>
      </c>
      <c r="Q322" s="175"/>
      <c r="R322" s="168" t="str">
        <f ca="1">IF(ISERROR($V322),"",OFFSET('Smelter Look-up'!$C$4,$V322-4,0)&amp;"")</f>
        <v/>
      </c>
      <c r="S322" s="167" t="str">
        <f t="shared" ca="1" si="45"/>
        <v>TH</v>
      </c>
      <c r="T322" s="167" t="str">
        <f ca="1">IF(B322="","",IF(ISERROR(MATCH($J322,SorP!$B$1:$B$6230,0)),"",INDIRECT("'SorP'!$A$"&amp;MATCH($J322,SorP!$B$1:$B$6230,0))))</f>
        <v/>
      </c>
      <c r="U322" s="176"/>
      <c r="V322" s="177" t="e">
        <f>IF(C322="",NA(),IF(OR(C322="Smelter not listed",C322="Smelter not yet identified"),MATCH($B322&amp;$D322,'Smelter Look-up'!$J:$J,0),MATCH($B322&amp;$C322,'Smelter Look-up'!$J:$J,0)))</f>
        <v>#N/A</v>
      </c>
      <c r="X322" s="140">
        <f t="shared" si="46"/>
        <v>0</v>
      </c>
      <c r="AB322" s="178" t="str">
        <f t="shared" si="47"/>
        <v>TinUntracore Co., Ltd.</v>
      </c>
    </row>
    <row r="323" spans="1:28" s="140" customFormat="1" ht="318.75">
      <c r="A323" s="167" t="s">
        <v>2783</v>
      </c>
      <c r="B323" s="168" t="s">
        <v>131</v>
      </c>
      <c r="C323" s="169" t="s">
        <v>2784</v>
      </c>
      <c r="D323" s="170" t="s">
        <v>2784</v>
      </c>
      <c r="E323" s="168" t="s">
        <v>1125</v>
      </c>
      <c r="F323" s="168" t="s">
        <v>2783</v>
      </c>
      <c r="G323" s="168" t="s">
        <v>142</v>
      </c>
      <c r="H323" s="171" t="s">
        <v>114</v>
      </c>
      <c r="I323" s="172" t="s">
        <v>2785</v>
      </c>
      <c r="J323" s="172" t="s">
        <v>2786</v>
      </c>
      <c r="K323" s="173" t="s">
        <v>2787</v>
      </c>
      <c r="L323" s="173" t="s">
        <v>2788</v>
      </c>
      <c r="M323" s="173"/>
      <c r="N323" s="173" t="s">
        <v>174</v>
      </c>
      <c r="O323" s="173" t="s">
        <v>2789</v>
      </c>
      <c r="P323" s="174" t="s">
        <v>175</v>
      </c>
      <c r="Q323" s="175" t="s">
        <v>2021</v>
      </c>
      <c r="R323" s="168" t="str">
        <f ca="1">IF(ISERROR($V323),"",OFFSET('Smelter Look-up'!$C$4,$V323-4,0)&amp;"")</f>
        <v>VQB Mineral and Trading Group JSC</v>
      </c>
      <c r="S323" s="167" t="str">
        <f t="shared" ca="1" si="45"/>
        <v>VN</v>
      </c>
      <c r="T323" s="167" t="str">
        <f ca="1">IF(B323="","",IF(ISERROR(MATCH($J323,SorP!$B$1:$B$6230,0)),"",INDIRECT("'SorP'!$A$"&amp;MATCH($J323,SorP!$B$1:$B$6230,0))))</f>
        <v>VN-HN</v>
      </c>
      <c r="U323" s="176"/>
      <c r="V323" s="177">
        <f>IF(C323="",NA(),IF(OR(C323="Smelter not listed",C323="Smelter not yet identified"),MATCH($B323&amp;$D323,'Smelter Look-up'!$J:$J,0),MATCH($B323&amp;$C323,'Smelter Look-up'!$J:$J,0)))</f>
        <v>531</v>
      </c>
      <c r="X323" s="140">
        <f t="shared" si="46"/>
        <v>0</v>
      </c>
      <c r="AB323" s="178" t="str">
        <f t="shared" si="47"/>
        <v>TinVQB Mineral and Trading Group JSC</v>
      </c>
    </row>
    <row r="324" spans="1:28" s="140" customFormat="1" ht="25.5">
      <c r="A324" s="167" t="s">
        <v>2790</v>
      </c>
      <c r="B324" s="168" t="s">
        <v>131</v>
      </c>
      <c r="C324" s="169" t="s">
        <v>2791</v>
      </c>
      <c r="D324" s="170" t="s">
        <v>2792</v>
      </c>
      <c r="E324" s="168" t="s">
        <v>369</v>
      </c>
      <c r="F324" s="168" t="s">
        <v>2790</v>
      </c>
      <c r="G324" s="168" t="s">
        <v>142</v>
      </c>
      <c r="H324" s="171" t="s">
        <v>114</v>
      </c>
      <c r="I324" s="172" t="s">
        <v>196</v>
      </c>
      <c r="J324" s="172" t="s">
        <v>196</v>
      </c>
      <c r="K324" s="173"/>
      <c r="L324" s="173"/>
      <c r="M324" s="173"/>
      <c r="N324" s="173" t="s">
        <v>121</v>
      </c>
      <c r="O324" s="173" t="s">
        <v>121</v>
      </c>
      <c r="P324" s="174" t="s">
        <v>121</v>
      </c>
      <c r="Q324" s="175"/>
      <c r="R324" s="168" t="str">
        <f ca="1">IF(ISERROR($V324),"",OFFSET('Smelter Look-up'!$C$4,$V324-4,0)&amp;"")</f>
        <v/>
      </c>
      <c r="S324" s="167" t="str">
        <f t="shared" ca="1" si="45"/>
        <v>TW</v>
      </c>
      <c r="T324" s="167" t="str">
        <f ca="1">IF(B324="","",IF(ISERROR(MATCH($J324,SorP!$B$1:$B$6230,0)),"",INDIRECT("'SorP'!$A$"&amp;MATCH($J324,SorP!$B$1:$B$6230,0))))</f>
        <v/>
      </c>
      <c r="U324" s="176"/>
      <c r="V324" s="177" t="e">
        <f>IF(C324="",NA(),IF(OR(C324="Smelter not listed",C324="Smelter not yet identified"),MATCH($B324&amp;$D324,'Smelter Look-up'!$J:$J,0),MATCH($B324&amp;$C324,'Smelter Look-up'!$J:$J,0)))</f>
        <v>#N/A</v>
      </c>
      <c r="X324" s="140">
        <f t="shared" si="46"/>
        <v>0</v>
      </c>
      <c r="AB324" s="178" t="str">
        <f t="shared" si="47"/>
        <v>TinWELLEY</v>
      </c>
    </row>
    <row r="325" spans="1:28" s="140" customFormat="1" ht="409.5">
      <c r="A325" s="167" t="s">
        <v>2793</v>
      </c>
      <c r="B325" s="168" t="s">
        <v>131</v>
      </c>
      <c r="C325" s="169" t="s">
        <v>2794</v>
      </c>
      <c r="D325" s="170" t="s">
        <v>2795</v>
      </c>
      <c r="E325" s="168" t="s">
        <v>192</v>
      </c>
      <c r="F325" s="168" t="s">
        <v>2793</v>
      </c>
      <c r="G325" s="168" t="s">
        <v>142</v>
      </c>
      <c r="H325" s="171" t="s">
        <v>2796</v>
      </c>
      <c r="I325" s="172" t="s">
        <v>1147</v>
      </c>
      <c r="J325" s="172" t="s">
        <v>1148</v>
      </c>
      <c r="K325" s="173" t="s">
        <v>2797</v>
      </c>
      <c r="L325" s="173" t="s">
        <v>2798</v>
      </c>
      <c r="M325" s="173" t="s">
        <v>2799</v>
      </c>
      <c r="N325" s="173" t="s">
        <v>2800</v>
      </c>
      <c r="O325" s="173" t="s">
        <v>2801</v>
      </c>
      <c r="P325" s="174" t="s">
        <v>2802</v>
      </c>
      <c r="Q325" s="175" t="s">
        <v>2803</v>
      </c>
      <c r="R325" s="168" t="str">
        <f ca="1">IF(ISERROR($V325),"",OFFSET('Smelter Look-up'!$C$4,$V325-4,0)&amp;"")</f>
        <v>Yunnan Chengfeng Non-ferrous Metals Co., Ltd.</v>
      </c>
      <c r="S325" s="167" t="str">
        <f t="shared" ca="1" si="45"/>
        <v>CN</v>
      </c>
      <c r="T325" s="167" t="str">
        <f ca="1">IF(B325="","",IF(ISERROR(MATCH($J325,SorP!$B$1:$B$6230,0)),"",INDIRECT("'SorP'!$A$"&amp;MATCH($J325,SorP!$B$1:$B$6230,0))))</f>
        <v>CN-YN</v>
      </c>
      <c r="U325" s="176"/>
      <c r="V325" s="177">
        <f>IF(C325="",NA(),IF(OR(C325="Smelter not listed",C325="Smelter not yet identified"),MATCH($B325&amp;$D325,'Smelter Look-up'!$J:$J,0),MATCH($B325&amp;$C325,'Smelter Look-up'!$J:$J,0)))</f>
        <v>543</v>
      </c>
      <c r="X325" s="140">
        <f t="shared" si="46"/>
        <v>0</v>
      </c>
      <c r="AB325" s="178" t="str">
        <f t="shared" si="47"/>
        <v>TinYunnan ride non-ferrous metal co., LTD</v>
      </c>
    </row>
    <row r="326" spans="1:28" s="140" customFormat="1" ht="409.5">
      <c r="A326" s="167" t="s">
        <v>2807</v>
      </c>
      <c r="B326" s="168" t="s">
        <v>132</v>
      </c>
      <c r="C326" s="169" t="s">
        <v>2808</v>
      </c>
      <c r="D326" s="170" t="s">
        <v>2809</v>
      </c>
      <c r="E326" s="168" t="s">
        <v>141</v>
      </c>
      <c r="F326" s="168" t="s">
        <v>2807</v>
      </c>
      <c r="G326" s="168" t="s">
        <v>142</v>
      </c>
      <c r="H326" s="171" t="s">
        <v>2810</v>
      </c>
      <c r="I326" s="172" t="s">
        <v>1684</v>
      </c>
      <c r="J326" s="172" t="s">
        <v>480</v>
      </c>
      <c r="K326" s="173" t="s">
        <v>2811</v>
      </c>
      <c r="L326" s="173" t="s">
        <v>2812</v>
      </c>
      <c r="M326" s="173" t="s">
        <v>2813</v>
      </c>
      <c r="N326" s="173" t="s">
        <v>2814</v>
      </c>
      <c r="O326" s="173" t="s">
        <v>2815</v>
      </c>
      <c r="P326" s="174" t="s">
        <v>715</v>
      </c>
      <c r="Q326" s="175" t="s">
        <v>2816</v>
      </c>
      <c r="R326" s="168" t="str">
        <f ca="1">IF(ISERROR($V326),"",OFFSET('Smelter Look-up'!$C$4,$V326-4,0)&amp;"")</f>
        <v>Global Tungsten &amp; Powders Corp.</v>
      </c>
      <c r="S326" s="167" t="str">
        <f t="shared" ca="1" si="45"/>
        <v>US</v>
      </c>
      <c r="T326" s="167" t="str">
        <f ca="1">IF(B326="","",IF(ISERROR(MATCH($J326,SorP!$B$1:$B$6230,0)),"",INDIRECT("'SorP'!$A$"&amp;MATCH($J326,SorP!$B$1:$B$6230,0))))</f>
        <v>US-PA</v>
      </c>
      <c r="U326" s="176"/>
      <c r="V326" s="177">
        <f>IF(C326="",NA(),IF(OR(C326="Smelter not listed",C326="Smelter not yet identified"),MATCH($B326&amp;$D326,'Smelter Look-up'!$J:$J,0),MATCH($B326&amp;$C326,'Smelter Look-up'!$J:$J,0)))</f>
        <v>581</v>
      </c>
      <c r="X326" s="140">
        <f t="shared" si="46"/>
        <v>0</v>
      </c>
      <c r="AB326" s="178" t="str">
        <f t="shared" si="47"/>
        <v>TungstenGTP</v>
      </c>
    </row>
    <row r="327" spans="1:28" s="140" customFormat="1" ht="25.5">
      <c r="A327" s="167" t="s">
        <v>2821</v>
      </c>
      <c r="B327" s="168" t="s">
        <v>131</v>
      </c>
      <c r="C327" s="169" t="s">
        <v>2819</v>
      </c>
      <c r="D327" s="170" t="s">
        <v>2819</v>
      </c>
      <c r="E327" s="285" t="s">
        <v>443</v>
      </c>
      <c r="F327" s="168" t="s">
        <v>2821</v>
      </c>
      <c r="G327" s="168" t="s">
        <v>114</v>
      </c>
      <c r="H327" s="171" t="s">
        <v>114</v>
      </c>
      <c r="I327" s="172"/>
      <c r="J327" s="172" t="s">
        <v>114</v>
      </c>
      <c r="K327" s="173"/>
      <c r="L327" s="173"/>
      <c r="M327" s="173"/>
      <c r="N327" s="173"/>
      <c r="O327" s="173"/>
      <c r="P327" s="174"/>
      <c r="Q327" s="175"/>
      <c r="R327" s="168" t="str">
        <f ca="1">IF(ISERROR($V327),"",OFFSET('Smelter Look-up'!$C$4,$V327-4,0)&amp;"")</f>
        <v/>
      </c>
      <c r="S327" s="167" t="str">
        <f t="shared" ca="1" si="45"/>
        <v>CH</v>
      </c>
      <c r="T327" s="167" t="str">
        <f ca="1">IF(B327="","",IF(ISERROR(MATCH($J327,SorP!$B$1:$B$6230,0)),"",INDIRECT("'SorP'!$A$"&amp;MATCH($J327,SorP!$B$1:$B$6230,0))))</f>
        <v/>
      </c>
      <c r="U327" s="176"/>
      <c r="V327" s="177" t="e">
        <f>IF(C327="",NA(),IF(OR(C327="Smelter not listed",C327="Smelter not yet identified"),MATCH($B327&amp;$D327,'Smelter Look-up'!$J:$J,0),MATCH($B327&amp;$C327,'Smelter Look-up'!$J:$J,0)))</f>
        <v>#N/A</v>
      </c>
      <c r="X327" s="140">
        <f t="shared" si="46"/>
        <v>0</v>
      </c>
      <c r="AB327" s="178" t="str">
        <f t="shared" si="47"/>
        <v>TinIMPAG AG</v>
      </c>
    </row>
    <row r="328" spans="1:28" s="140" customFormat="1" ht="63.75">
      <c r="A328" s="167" t="s">
        <v>2823</v>
      </c>
      <c r="B328" s="168" t="s">
        <v>131</v>
      </c>
      <c r="C328" s="169" t="s">
        <v>2822</v>
      </c>
      <c r="D328" s="170" t="s">
        <v>2822</v>
      </c>
      <c r="E328" s="168" t="s">
        <v>192</v>
      </c>
      <c r="F328" s="168" t="s">
        <v>2823</v>
      </c>
      <c r="G328" s="168" t="s">
        <v>142</v>
      </c>
      <c r="H328" s="171" t="s">
        <v>114</v>
      </c>
      <c r="I328" s="172" t="s">
        <v>114</v>
      </c>
      <c r="J328" s="172" t="s">
        <v>114</v>
      </c>
      <c r="K328" s="173"/>
      <c r="L328" s="173"/>
      <c r="M328" s="173"/>
      <c r="N328" s="173"/>
      <c r="O328" s="173"/>
      <c r="P328" s="174"/>
      <c r="Q328" s="175"/>
      <c r="R328" s="168" t="str">
        <f ca="1">IF(ISERROR($V328),"",OFFSET('Smelter Look-up'!$C$4,$V328-4,0)&amp;"")</f>
        <v/>
      </c>
      <c r="S328" s="167" t="str">
        <f t="shared" ca="1" si="45"/>
        <v>CN</v>
      </c>
      <c r="T328" s="167" t="str">
        <f ca="1">IF(B328="","",IF(ISERROR(MATCH($J328,SorP!$B$1:$B$6230,0)),"",INDIRECT("'SorP'!$A$"&amp;MATCH($J328,SorP!$B$1:$B$6230,0))))</f>
        <v/>
      </c>
      <c r="U328" s="176"/>
      <c r="V328" s="177" t="e">
        <f>IF(C328="",NA(),IF(OR(C328="Smelter not listed",C328="Smelter not yet identified"),MATCH($B328&amp;$D328,'Smelter Look-up'!$J:$J,0),MATCH($B328&amp;$C328,'Smelter Look-up'!$J:$J,0)))</f>
        <v>#N/A</v>
      </c>
      <c r="X328" s="140">
        <f t="shared" si="46"/>
        <v>0</v>
      </c>
      <c r="AB328" s="178" t="str">
        <f t="shared" si="47"/>
        <v>TinJiang Jia Wang Technology Co.</v>
      </c>
    </row>
    <row r="329" spans="1:28" s="140" customFormat="1" ht="409.5">
      <c r="A329" s="167" t="s">
        <v>2828</v>
      </c>
      <c r="B329" s="168" t="s">
        <v>131</v>
      </c>
      <c r="C329" s="169" t="s">
        <v>2829</v>
      </c>
      <c r="D329" s="170" t="s">
        <v>2829</v>
      </c>
      <c r="E329" s="168" t="s">
        <v>192</v>
      </c>
      <c r="F329" s="168" t="s">
        <v>2828</v>
      </c>
      <c r="G329" s="168" t="s">
        <v>142</v>
      </c>
      <c r="H329" s="171" t="s">
        <v>2830</v>
      </c>
      <c r="I329" s="172" t="s">
        <v>2831</v>
      </c>
      <c r="J329" s="172" t="s">
        <v>2094</v>
      </c>
      <c r="K329" s="173" t="s">
        <v>2832</v>
      </c>
      <c r="L329" s="173" t="s">
        <v>2833</v>
      </c>
      <c r="M329" s="173" t="s">
        <v>2834</v>
      </c>
      <c r="N329" s="173" t="s">
        <v>2835</v>
      </c>
      <c r="O329" s="173" t="s">
        <v>2836</v>
      </c>
      <c r="P329" s="174" t="s">
        <v>2837</v>
      </c>
      <c r="Q329" s="175" t="s">
        <v>2838</v>
      </c>
      <c r="R329" s="168" t="str">
        <f ca="1">IF(ISERROR($V329),"",OFFSET('Smelter Look-up'!$C$4,$V329-4,0)&amp;"")</f>
        <v>Ma'anshan Weitai Tin Co., Ltd.</v>
      </c>
      <c r="S329" s="167" t="str">
        <f t="shared" ca="1" si="45"/>
        <v>CN</v>
      </c>
      <c r="T329" s="167" t="str">
        <f ca="1">IF(B329="","",IF(ISERROR(MATCH($J329,SorP!$B$1:$B$6230,0)),"",INDIRECT("'SorP'!$A$"&amp;MATCH($J329,SorP!$B$1:$B$6230,0))))</f>
        <v>CN-AH</v>
      </c>
      <c r="U329" s="176"/>
      <c r="V329" s="177">
        <f>IF(C329="",NA(),IF(OR(C329="Smelter not listed",C329="Smelter not yet identified"),MATCH($B329&amp;$D329,'Smelter Look-up'!$J:$J,0),MATCH($B329&amp;$C329,'Smelter Look-up'!$J:$J,0)))</f>
        <v>455</v>
      </c>
      <c r="X329" s="140">
        <f t="shared" si="46"/>
        <v>0</v>
      </c>
      <c r="AB329" s="178" t="str">
        <f t="shared" si="47"/>
        <v>TinMa'anshan Weitai Tin Co., Ltd.</v>
      </c>
    </row>
    <row r="330" spans="1:28" s="140" customFormat="1" ht="76.5">
      <c r="A330" s="167" t="s">
        <v>2842</v>
      </c>
      <c r="B330" s="168" t="s">
        <v>131</v>
      </c>
      <c r="C330" s="169" t="s">
        <v>2172</v>
      </c>
      <c r="D330" s="170" t="s">
        <v>2172</v>
      </c>
      <c r="E330" s="168" t="s">
        <v>192</v>
      </c>
      <c r="F330" s="168" t="s">
        <v>2842</v>
      </c>
      <c r="G330" s="168" t="s">
        <v>142</v>
      </c>
      <c r="H330" s="171" t="s">
        <v>114</v>
      </c>
      <c r="I330" s="172" t="s">
        <v>2173</v>
      </c>
      <c r="J330" s="172" t="s">
        <v>2843</v>
      </c>
      <c r="K330" s="173"/>
      <c r="L330" s="173"/>
      <c r="M330" s="173"/>
      <c r="N330" s="173"/>
      <c r="O330" s="173"/>
      <c r="P330" s="174"/>
      <c r="Q330" s="175"/>
      <c r="R330" s="168" t="str">
        <f ca="1">IF(ISERROR($V330),"",OFFSET('Smelter Look-up'!$C$4,$V330-4,0)&amp;"")</f>
        <v>Malaysia Smelting Corporation (MSC)</v>
      </c>
      <c r="S330" s="167" t="str">
        <f t="shared" ref="S330:S353" ca="1" si="48">IF(B330="","",IF(ISERROR(MATCH($E330,CL,0)),"Unknown",INDIRECT("'C'!$A$"&amp;MATCH($E330,CL,0)+1)))</f>
        <v>CN</v>
      </c>
      <c r="T330" s="167" t="str">
        <f ca="1">IF(B330="","",IF(ISERROR(MATCH($J330,SorP!$B$1:$B$6230,0)),"",INDIRECT("'SorP'!$A$"&amp;MATCH($J330,SorP!$B$1:$B$6230,0))))</f>
        <v/>
      </c>
      <c r="U330" s="176"/>
      <c r="V330" s="177">
        <f>IF(C330="",NA(),IF(OR(C330="Smelter not listed",C330="Smelter not yet identified"),MATCH($B330&amp;$D330,'Smelter Look-up'!$J:$J,0),MATCH($B330&amp;$C330,'Smelter Look-up'!$J:$J,0)))</f>
        <v>457</v>
      </c>
      <c r="X330" s="140">
        <f t="shared" ref="X330:X353" si="49">IF(AND(C330="Smelter not listed",OR(LEN(D330)=0,LEN(E330)=0)),1,0)</f>
        <v>0</v>
      </c>
      <c r="AB330" s="178" t="str">
        <f t="shared" ref="AB330:AB353" si="50">B330&amp;C330</f>
        <v>TinMalaysia Smelting Corporation (MSC)</v>
      </c>
    </row>
    <row r="331" spans="1:28" s="140" customFormat="1" ht="76.5">
      <c r="A331" s="167" t="s">
        <v>2844</v>
      </c>
      <c r="B331" s="168" t="s">
        <v>131</v>
      </c>
      <c r="C331" s="169" t="s">
        <v>2845</v>
      </c>
      <c r="D331" s="170" t="s">
        <v>2845</v>
      </c>
      <c r="E331" s="168" t="s">
        <v>192</v>
      </c>
      <c r="F331" s="168" t="s">
        <v>2844</v>
      </c>
      <c r="G331" s="168" t="s">
        <v>142</v>
      </c>
      <c r="H331" s="171" t="s">
        <v>114</v>
      </c>
      <c r="I331" s="172" t="s">
        <v>196</v>
      </c>
      <c r="J331" s="172" t="s">
        <v>196</v>
      </c>
      <c r="K331" s="173"/>
      <c r="L331" s="173"/>
      <c r="M331" s="173"/>
      <c r="N331" s="173" t="s">
        <v>121</v>
      </c>
      <c r="O331" s="173" t="s">
        <v>121</v>
      </c>
      <c r="P331" s="174" t="s">
        <v>121</v>
      </c>
      <c r="Q331" s="175" t="s">
        <v>210</v>
      </c>
      <c r="R331" s="168" t="str">
        <f ca="1">IF(ISERROR($V331),"",OFFSET('Smelter Look-up'!$C$4,$V331-4,0)&amp;"")</f>
        <v/>
      </c>
      <c r="S331" s="167" t="str">
        <f t="shared" ca="1" si="48"/>
        <v>CN</v>
      </c>
      <c r="T331" s="167" t="str">
        <f ca="1">IF(B331="","",IF(ISERROR(MATCH($J331,SorP!$B$1:$B$6230,0)),"",INDIRECT("'SorP'!$A$"&amp;MATCH($J331,SorP!$B$1:$B$6230,0))))</f>
        <v/>
      </c>
      <c r="U331" s="176"/>
      <c r="V331" s="177" t="e">
        <f>IF(C331="",NA(),IF(OR(C331="Smelter not listed",C331="Smelter not yet identified"),MATCH($B331&amp;$D331,'Smelter Look-up'!$J:$J,0),MATCH($B331&amp;$C331,'Smelter Look-up'!$J:$J,0)))</f>
        <v>#N/A</v>
      </c>
      <c r="X331" s="140">
        <f t="shared" si="49"/>
        <v>0</v>
      </c>
      <c r="AB331" s="178" t="str">
        <f t="shared" si="50"/>
        <v>TinYiquan Manufacturing</v>
      </c>
    </row>
    <row r="332" spans="1:28" s="140" customFormat="1" ht="51">
      <c r="A332" s="167" t="s">
        <v>2846</v>
      </c>
      <c r="B332" s="168" t="s">
        <v>131</v>
      </c>
      <c r="C332" s="169" t="s">
        <v>2847</v>
      </c>
      <c r="D332" s="170" t="s">
        <v>2847</v>
      </c>
      <c r="E332" s="168" t="s">
        <v>192</v>
      </c>
      <c r="F332" s="168" t="s">
        <v>2846</v>
      </c>
      <c r="G332" s="168" t="s">
        <v>142</v>
      </c>
      <c r="H332" s="171" t="s">
        <v>114</v>
      </c>
      <c r="I332" s="172" t="s">
        <v>196</v>
      </c>
      <c r="J332" s="172" t="s">
        <v>196</v>
      </c>
      <c r="K332" s="173"/>
      <c r="L332" s="173"/>
      <c r="M332" s="173"/>
      <c r="N332" s="173" t="s">
        <v>121</v>
      </c>
      <c r="O332" s="173" t="s">
        <v>121</v>
      </c>
      <c r="P332" s="174" t="s">
        <v>121</v>
      </c>
      <c r="Q332" s="175"/>
      <c r="R332" s="168" t="str">
        <f ca="1">IF(ISERROR($V332),"",OFFSET('Smelter Look-up'!$C$4,$V332-4,0)&amp;"")</f>
        <v/>
      </c>
      <c r="S332" s="167" t="str">
        <f t="shared" ca="1" si="48"/>
        <v>CN</v>
      </c>
      <c r="T332" s="167" t="str">
        <f ca="1">IF(B332="","",IF(ISERROR(MATCH($J332,SorP!$B$1:$B$6230,0)),"",INDIRECT("'SorP'!$A$"&amp;MATCH($J332,SorP!$B$1:$B$6230,0))))</f>
        <v/>
      </c>
      <c r="U332" s="176"/>
      <c r="V332" s="177" t="e">
        <f>IF(C332="",NA(),IF(OR(C332="Smelter not listed",C332="Smelter not yet identified"),MATCH($B332&amp;$D332,'Smelter Look-up'!$J:$J,0),MATCH($B332&amp;$C332,'Smelter Look-up'!$J:$J,0)))</f>
        <v>#N/A</v>
      </c>
      <c r="X332" s="140">
        <f t="shared" si="49"/>
        <v>0</v>
      </c>
      <c r="AB332" s="178" t="str">
        <f t="shared" si="50"/>
        <v>TinYuecheng Tin Co., Ltd.</v>
      </c>
    </row>
    <row r="333" spans="1:28" s="140" customFormat="1" ht="409.5">
      <c r="A333" s="167" t="s">
        <v>2849</v>
      </c>
      <c r="B333" s="168" t="s">
        <v>131</v>
      </c>
      <c r="C333" s="169" t="s">
        <v>2850</v>
      </c>
      <c r="D333" s="170" t="s">
        <v>2850</v>
      </c>
      <c r="E333" s="168" t="s">
        <v>141</v>
      </c>
      <c r="F333" s="168" t="s">
        <v>2849</v>
      </c>
      <c r="G333" s="168" t="s">
        <v>142</v>
      </c>
      <c r="H333" s="171" t="s">
        <v>2851</v>
      </c>
      <c r="I333" s="172" t="s">
        <v>2852</v>
      </c>
      <c r="J333" s="172" t="s">
        <v>480</v>
      </c>
      <c r="K333" s="173" t="s">
        <v>2853</v>
      </c>
      <c r="L333" s="173" t="s">
        <v>2854</v>
      </c>
      <c r="M333" s="173" t="s">
        <v>2855</v>
      </c>
      <c r="N333" s="173" t="s">
        <v>2856</v>
      </c>
      <c r="O333" s="173" t="s">
        <v>2857</v>
      </c>
      <c r="P333" s="174" t="s">
        <v>151</v>
      </c>
      <c r="Q333" s="175" t="s">
        <v>2858</v>
      </c>
      <c r="R333" s="168" t="str">
        <f ca="1">IF(ISERROR($V333),"",OFFSET('Smelter Look-up'!$C$4,$V333-4,0)&amp;"")</f>
        <v>Tin Technology &amp; Refining</v>
      </c>
      <c r="S333" s="167" t="str">
        <f t="shared" ca="1" si="48"/>
        <v>US</v>
      </c>
      <c r="T333" s="167" t="str">
        <f ca="1">IF(B333="","",IF(ISERROR(MATCH($J333,SorP!$B$1:$B$6230,0)),"",INDIRECT("'SorP'!$A$"&amp;MATCH($J333,SorP!$B$1:$B$6230,0))))</f>
        <v>US-PA</v>
      </c>
      <c r="U333" s="176"/>
      <c r="V333" s="177">
        <f>IF(C333="",NA(),IF(OR(C333="Smelter not listed",C333="Smelter not yet identified"),MATCH($B333&amp;$D333,'Smelter Look-up'!$J:$J,0),MATCH($B333&amp;$C333,'Smelter Look-up'!$J:$J,0)))</f>
        <v>527</v>
      </c>
      <c r="X333" s="140">
        <f t="shared" si="49"/>
        <v>0</v>
      </c>
      <c r="AB333" s="178" t="str">
        <f t="shared" si="50"/>
        <v>TinTin Technology &amp; Refining</v>
      </c>
    </row>
    <row r="334" spans="1:28" s="140" customFormat="1" ht="76.5">
      <c r="A334" s="167" t="s">
        <v>2859</v>
      </c>
      <c r="B334" s="168" t="s">
        <v>131</v>
      </c>
      <c r="C334" s="169" t="s">
        <v>2860</v>
      </c>
      <c r="D334" s="170" t="s">
        <v>2860</v>
      </c>
      <c r="E334" s="168" t="s">
        <v>192</v>
      </c>
      <c r="F334" s="168" t="s">
        <v>2859</v>
      </c>
      <c r="G334" s="168" t="s">
        <v>142</v>
      </c>
      <c r="H334" s="171" t="s">
        <v>114</v>
      </c>
      <c r="I334" s="172" t="s">
        <v>196</v>
      </c>
      <c r="J334" s="172" t="s">
        <v>196</v>
      </c>
      <c r="K334" s="173"/>
      <c r="L334" s="173"/>
      <c r="M334" s="173"/>
      <c r="N334" s="173" t="s">
        <v>121</v>
      </c>
      <c r="O334" s="173" t="s">
        <v>121</v>
      </c>
      <c r="P334" s="174" t="s">
        <v>121</v>
      </c>
      <c r="Q334" s="175" t="s">
        <v>210</v>
      </c>
      <c r="R334" s="168" t="str">
        <f ca="1">IF(ISERROR($V334),"",OFFSET('Smelter Look-up'!$C$4,$V334-4,0)&amp;"")</f>
        <v/>
      </c>
      <c r="S334" s="167" t="str">
        <f t="shared" ca="1" si="48"/>
        <v>CN</v>
      </c>
      <c r="T334" s="167" t="str">
        <f ca="1">IF(B334="","",IF(ISERROR(MATCH($J334,SorP!$B$1:$B$6230,0)),"",INDIRECT("'SorP'!$A$"&amp;MATCH($J334,SorP!$B$1:$B$6230,0))))</f>
        <v/>
      </c>
      <c r="U334" s="176"/>
      <c r="V334" s="177" t="e">
        <f>IF(C334="",NA(),IF(OR(C334="Smelter not listed",C334="Smelter not yet identified"),MATCH($B334&amp;$D334,'Smelter Look-up'!$J:$J,0),MATCH($B334&amp;$C334,'Smelter Look-up'!$J:$J,0)))</f>
        <v>#N/A</v>
      </c>
      <c r="X334" s="140">
        <f t="shared" si="49"/>
        <v>0</v>
      </c>
      <c r="AB334" s="178" t="str">
        <f t="shared" si="50"/>
        <v>TinTONG LONG</v>
      </c>
    </row>
    <row r="335" spans="1:28" s="140" customFormat="1" ht="38.25">
      <c r="A335" s="167" t="s">
        <v>2861</v>
      </c>
      <c r="B335" s="168" t="s">
        <v>131</v>
      </c>
      <c r="C335" s="169" t="s">
        <v>2862</v>
      </c>
      <c r="D335" s="170" t="s">
        <v>2862</v>
      </c>
      <c r="E335" s="168" t="s">
        <v>2453</v>
      </c>
      <c r="F335" s="168" t="s">
        <v>2861</v>
      </c>
      <c r="G335" s="168" t="s">
        <v>114</v>
      </c>
      <c r="H335" s="171" t="s">
        <v>114</v>
      </c>
      <c r="I335" s="172" t="s">
        <v>114</v>
      </c>
      <c r="J335" s="172" t="s">
        <v>114</v>
      </c>
      <c r="K335" s="173"/>
      <c r="L335" s="173"/>
      <c r="M335" s="173"/>
      <c r="N335" s="173"/>
      <c r="O335" s="173"/>
      <c r="P335" s="174"/>
      <c r="Q335" s="175"/>
      <c r="R335" s="168" t="str">
        <f ca="1">IF(ISERROR($V335),"",OFFSET('Smelter Look-up'!$C$4,$V335-4,0)&amp;"")</f>
        <v/>
      </c>
      <c r="S335" s="167" t="str">
        <f t="shared" ca="1" si="48"/>
        <v>Unknown</v>
      </c>
      <c r="T335" s="167" t="str">
        <f ca="1">IF(B335="","",IF(ISERROR(MATCH($J335,SorP!$B$1:$B$6230,0)),"",INDIRECT("'SorP'!$A$"&amp;MATCH($J335,SorP!$B$1:$B$6230,0))))</f>
        <v/>
      </c>
      <c r="U335" s="176"/>
      <c r="V335" s="177" t="e">
        <f>IF(C335="",NA(),IF(OR(C335="Smelter not listed",C335="Smelter not yet identified"),MATCH($B335&amp;$D335,'Smelter Look-up'!$J:$J,0),MATCH($B335&amp;$C335,'Smelter Look-up'!$J:$J,0)))</f>
        <v>#N/A</v>
      </c>
      <c r="X335" s="140">
        <f t="shared" si="49"/>
        <v>0</v>
      </c>
      <c r="AB335" s="178" t="str">
        <f t="shared" si="50"/>
        <v>TinTongding Group</v>
      </c>
    </row>
    <row r="336" spans="1:28" s="140" customFormat="1" ht="76.5">
      <c r="A336" s="167" t="s">
        <v>2863</v>
      </c>
      <c r="B336" s="168" t="s">
        <v>131</v>
      </c>
      <c r="C336" s="169" t="s">
        <v>2864</v>
      </c>
      <c r="D336" s="170" t="s">
        <v>2864</v>
      </c>
      <c r="E336" s="168" t="s">
        <v>192</v>
      </c>
      <c r="F336" s="168" t="s">
        <v>2863</v>
      </c>
      <c r="G336" s="168" t="s">
        <v>142</v>
      </c>
      <c r="H336" s="171" t="s">
        <v>114</v>
      </c>
      <c r="I336" s="172" t="s">
        <v>196</v>
      </c>
      <c r="J336" s="172" t="s">
        <v>196</v>
      </c>
      <c r="K336" s="173"/>
      <c r="L336" s="173"/>
      <c r="M336" s="173"/>
      <c r="N336" s="173" t="s">
        <v>121</v>
      </c>
      <c r="O336" s="173" t="s">
        <v>121</v>
      </c>
      <c r="P336" s="174" t="s">
        <v>121</v>
      </c>
      <c r="Q336" s="175"/>
      <c r="R336" s="168" t="str">
        <f ca="1">IF(ISERROR($V336),"",OFFSET('Smelter Look-up'!$C$4,$V336-4,0)&amp;"")</f>
        <v/>
      </c>
      <c r="S336" s="167" t="str">
        <f t="shared" ca="1" si="48"/>
        <v>CN</v>
      </c>
      <c r="T336" s="167" t="str">
        <f ca="1">IF(B336="","",IF(ISERROR(MATCH($J336,SorP!$B$1:$B$6230,0)),"",INDIRECT("'SorP'!$A$"&amp;MATCH($J336,SorP!$B$1:$B$6230,0))))</f>
        <v/>
      </c>
      <c r="U336" s="176"/>
      <c r="V336" s="177" t="e">
        <f>IF(C336="",NA(),IF(OR(C336="Smelter not listed",C336="Smelter not yet identified"),MATCH($B336&amp;$D336,'Smelter Look-up'!$J:$J,0),MATCH($B336&amp;$C336,'Smelter Look-up'!$J:$J,0)))</f>
        <v>#N/A</v>
      </c>
      <c r="X336" s="140">
        <f t="shared" si="49"/>
        <v>0</v>
      </c>
      <c r="AB336" s="178" t="str">
        <f t="shared" si="50"/>
        <v>TinTop-Team Technology (Shenzhen) Ltd.</v>
      </c>
    </row>
    <row r="337" spans="1:28" s="140" customFormat="1" ht="25.5">
      <c r="A337" s="167" t="s">
        <v>2865</v>
      </c>
      <c r="B337" s="168" t="s">
        <v>131</v>
      </c>
      <c r="C337" s="169" t="s">
        <v>2866</v>
      </c>
      <c r="D337" s="170" t="s">
        <v>2866</v>
      </c>
      <c r="E337" s="168" t="s">
        <v>155</v>
      </c>
      <c r="F337" s="168" t="s">
        <v>2865</v>
      </c>
      <c r="G337" s="168" t="s">
        <v>114</v>
      </c>
      <c r="H337" s="171" t="s">
        <v>114</v>
      </c>
      <c r="I337" s="172" t="s">
        <v>114</v>
      </c>
      <c r="J337" s="172" t="s">
        <v>114</v>
      </c>
      <c r="K337" s="173"/>
      <c r="L337" s="173"/>
      <c r="M337" s="173"/>
      <c r="N337" s="173"/>
      <c r="O337" s="173"/>
      <c r="P337" s="174"/>
      <c r="Q337" s="175"/>
      <c r="R337" s="168" t="str">
        <f ca="1">IF(ISERROR($V337),"",OFFSET('Smelter Look-up'!$C$4,$V337-4,0)&amp;"")</f>
        <v/>
      </c>
      <c r="S337" s="167" t="str">
        <f t="shared" ca="1" si="48"/>
        <v>JP</v>
      </c>
      <c r="T337" s="167" t="str">
        <f ca="1">IF(B337="","",IF(ISERROR(MATCH($J337,SorP!$B$1:$B$6230,0)),"",INDIRECT("'SorP'!$A$"&amp;MATCH($J337,SorP!$B$1:$B$6230,0))))</f>
        <v/>
      </c>
      <c r="U337" s="176"/>
      <c r="V337" s="177" t="e">
        <f>IF(C337="",NA(),IF(OR(C337="Smelter not listed",C337="Smelter not yet identified"),MATCH($B337&amp;$D337,'Smelter Look-up'!$J:$J,0),MATCH($B337&amp;$C337,'Smelter Look-up'!$J:$J,0)))</f>
        <v>#N/A</v>
      </c>
      <c r="X337" s="140">
        <f t="shared" si="49"/>
        <v>0</v>
      </c>
      <c r="AB337" s="178" t="str">
        <f t="shared" si="50"/>
        <v>TinTosoh</v>
      </c>
    </row>
    <row r="338" spans="1:28" s="140" customFormat="1" ht="51">
      <c r="A338" s="167" t="s">
        <v>2867</v>
      </c>
      <c r="B338" s="168" t="s">
        <v>131</v>
      </c>
      <c r="C338" s="169" t="s">
        <v>2868</v>
      </c>
      <c r="D338" s="170" t="s">
        <v>2868</v>
      </c>
      <c r="E338" s="168" t="s">
        <v>192</v>
      </c>
      <c r="F338" s="168" t="s">
        <v>2867</v>
      </c>
      <c r="G338" s="168" t="s">
        <v>114</v>
      </c>
      <c r="H338" s="171" t="s">
        <v>114</v>
      </c>
      <c r="I338" s="172" t="s">
        <v>114</v>
      </c>
      <c r="J338" s="172" t="s">
        <v>114</v>
      </c>
      <c r="K338" s="173"/>
      <c r="L338" s="173"/>
      <c r="M338" s="173"/>
      <c r="N338" s="173"/>
      <c r="O338" s="173"/>
      <c r="P338" s="174"/>
      <c r="Q338" s="175"/>
      <c r="R338" s="168" t="str">
        <f ca="1">IF(ISERROR($V338),"",OFFSET('Smelter Look-up'!$C$4,$V338-4,0)&amp;"")</f>
        <v/>
      </c>
      <c r="S338" s="167" t="str">
        <f t="shared" ca="1" si="48"/>
        <v>CN</v>
      </c>
      <c r="T338" s="167" t="str">
        <f ca="1">IF(B338="","",IF(ISERROR(MATCH($J338,SorP!$B$1:$B$6230,0)),"",INDIRECT("'SorP'!$A$"&amp;MATCH($J338,SorP!$B$1:$B$6230,0))))</f>
        <v/>
      </c>
      <c r="U338" s="176"/>
      <c r="V338" s="177" t="e">
        <f>IF(C338="",NA(),IF(OR(C338="Smelter not listed",C338="Smelter not yet identified"),MATCH($B338&amp;$D338,'Smelter Look-up'!$J:$J,0),MATCH($B338&amp;$C338,'Smelter Look-up'!$J:$J,0)))</f>
        <v>#N/A</v>
      </c>
      <c r="X338" s="140">
        <f t="shared" si="49"/>
        <v>0</v>
      </c>
      <c r="AB338" s="178" t="str">
        <f t="shared" si="50"/>
        <v>TinTriumph Northwest</v>
      </c>
    </row>
    <row r="339" spans="1:28" s="140" customFormat="1" ht="409.5">
      <c r="A339" s="167" t="s">
        <v>2869</v>
      </c>
      <c r="B339" s="168" t="s">
        <v>131</v>
      </c>
      <c r="C339" s="169" t="s">
        <v>2870</v>
      </c>
      <c r="D339" s="170" t="s">
        <v>2871</v>
      </c>
      <c r="E339" s="168" t="s">
        <v>433</v>
      </c>
      <c r="F339" s="168" t="s">
        <v>2869</v>
      </c>
      <c r="G339" s="168" t="s">
        <v>142</v>
      </c>
      <c r="H339" s="171" t="s">
        <v>2872</v>
      </c>
      <c r="I339" s="172" t="s">
        <v>512</v>
      </c>
      <c r="J339" s="172" t="s">
        <v>838</v>
      </c>
      <c r="K339" s="173" t="s">
        <v>2873</v>
      </c>
      <c r="L339" s="173" t="s">
        <v>2874</v>
      </c>
      <c r="M339" s="173" t="s">
        <v>2875</v>
      </c>
      <c r="N339" s="173" t="s">
        <v>2876</v>
      </c>
      <c r="O339" s="173" t="s">
        <v>2877</v>
      </c>
      <c r="P339" s="174" t="s">
        <v>164</v>
      </c>
      <c r="Q339" s="175" t="s">
        <v>2878</v>
      </c>
      <c r="R339" s="168" t="str">
        <f ca="1">IF(ISERROR($V339),"",OFFSET('Smelter Look-up'!$C$4,$V339-4,0)&amp;"")</f>
        <v>White Solder Metalurgia e Mineracao Ltda.</v>
      </c>
      <c r="S339" s="167" t="str">
        <f t="shared" ca="1" si="48"/>
        <v>BR</v>
      </c>
      <c r="T339" s="167" t="str">
        <f ca="1">IF(B339="","",IF(ISERROR(MATCH($J339,SorP!$B$1:$B$6230,0)),"",INDIRECT("'SorP'!$A$"&amp;MATCH($J339,SorP!$B$1:$B$6230,0))))</f>
        <v>BR-RO</v>
      </c>
      <c r="U339" s="176"/>
      <c r="V339" s="177">
        <f>IF(C339="",NA(),IF(OR(C339="Smelter not listed",C339="Smelter not yet identified"),MATCH($B339&amp;$D339,'Smelter Look-up'!$J:$J,0),MATCH($B339&amp;$C339,'Smelter Look-up'!$J:$J,0)))</f>
        <v>534</v>
      </c>
      <c r="X339" s="140">
        <f t="shared" si="49"/>
        <v>0</v>
      </c>
      <c r="AB339" s="178" t="str">
        <f t="shared" si="50"/>
        <v>TinWhite Solder Metalurgica</v>
      </c>
    </row>
    <row r="340" spans="1:28" s="140" customFormat="1" ht="89.25">
      <c r="A340" s="167" t="s">
        <v>2879</v>
      </c>
      <c r="B340" s="168" t="s">
        <v>131</v>
      </c>
      <c r="C340" s="169" t="s">
        <v>2880</v>
      </c>
      <c r="D340" s="170" t="s">
        <v>2881</v>
      </c>
      <c r="E340" s="168" t="s">
        <v>192</v>
      </c>
      <c r="F340" s="168" t="s">
        <v>2879</v>
      </c>
      <c r="G340" s="168" t="s">
        <v>142</v>
      </c>
      <c r="H340" s="171" t="s">
        <v>114</v>
      </c>
      <c r="I340" s="172" t="s">
        <v>196</v>
      </c>
      <c r="J340" s="172" t="s">
        <v>196</v>
      </c>
      <c r="K340" s="173"/>
      <c r="L340" s="173"/>
      <c r="M340" s="173"/>
      <c r="N340" s="173" t="s">
        <v>121</v>
      </c>
      <c r="O340" s="173" t="s">
        <v>121</v>
      </c>
      <c r="P340" s="174" t="s">
        <v>121</v>
      </c>
      <c r="Q340" s="175"/>
      <c r="R340" s="168" t="str">
        <f ca="1">IF(ISERROR($V340),"",OFFSET('Smelter Look-up'!$C$4,$V340-4,0)&amp;"")</f>
        <v/>
      </c>
      <c r="S340" s="167" t="str">
        <f t="shared" ca="1" si="48"/>
        <v>CN</v>
      </c>
      <c r="T340" s="167" t="str">
        <f ca="1">IF(B340="","",IF(ISERROR(MATCH($J340,SorP!$B$1:$B$6230,0)),"",INDIRECT("'SorP'!$A$"&amp;MATCH($J340,SorP!$B$1:$B$6230,0))))</f>
        <v/>
      </c>
      <c r="U340" s="176"/>
      <c r="V340" s="177" t="e">
        <f>IF(C340="",NA(),IF(OR(C340="Smelter not listed",C340="Smelter not yet identified"),MATCH($B340&amp;$D340,'Smelter Look-up'!$J:$J,0),MATCH($B340&amp;$C340,'Smelter Look-up'!$J:$J,0)))</f>
        <v>#N/A</v>
      </c>
      <c r="X340" s="140">
        <f t="shared" si="49"/>
        <v>0</v>
      </c>
      <c r="AB340" s="178" t="str">
        <f t="shared" si="50"/>
        <v>TinWUJIANG CITY LUXE TIN FACTORY</v>
      </c>
    </row>
    <row r="341" spans="1:28" s="140" customFormat="1" ht="76.5">
      <c r="A341" s="167" t="s">
        <v>2882</v>
      </c>
      <c r="B341" s="168" t="s">
        <v>131</v>
      </c>
      <c r="C341" s="169" t="s">
        <v>2883</v>
      </c>
      <c r="D341" s="170" t="s">
        <v>2883</v>
      </c>
      <c r="E341" s="168" t="s">
        <v>192</v>
      </c>
      <c r="F341" s="168" t="s">
        <v>2882</v>
      </c>
      <c r="G341" s="168" t="s">
        <v>114</v>
      </c>
      <c r="H341" s="171" t="s">
        <v>114</v>
      </c>
      <c r="I341" s="172" t="s">
        <v>114</v>
      </c>
      <c r="J341" s="172" t="s">
        <v>114</v>
      </c>
      <c r="K341" s="173"/>
      <c r="L341" s="173"/>
      <c r="M341" s="173"/>
      <c r="N341" s="173"/>
      <c r="O341" s="173"/>
      <c r="P341" s="174"/>
      <c r="Q341" s="175"/>
      <c r="R341" s="168" t="str">
        <f ca="1">IF(ISERROR($V341),"",OFFSET('Smelter Look-up'!$C$4,$V341-4,0)&amp;"")</f>
        <v/>
      </c>
      <c r="S341" s="167" t="str">
        <f t="shared" ca="1" si="48"/>
        <v>CN</v>
      </c>
      <c r="T341" s="167" t="str">
        <f ca="1">IF(B341="","",IF(ISERROR(MATCH($J341,SorP!$B$1:$B$6230,0)),"",INDIRECT("'SorP'!$A$"&amp;MATCH($J341,SorP!$B$1:$B$6230,0))))</f>
        <v/>
      </c>
      <c r="U341" s="176"/>
      <c r="V341" s="177" t="e">
        <f>IF(C341="",NA(),IF(OR(C341="Smelter not listed",C341="Smelter not yet identified"),MATCH($B341&amp;$D341,'Smelter Look-up'!$J:$J,0),MATCH($B341&amp;$C341,'Smelter Look-up'!$J:$J,0)))</f>
        <v>#N/A</v>
      </c>
      <c r="X341" s="140">
        <f t="shared" si="49"/>
        <v>0</v>
      </c>
      <c r="AB341" s="178" t="str">
        <f t="shared" si="50"/>
        <v>TinWUXI YUNXI SANYE SOLDER FACTORY</v>
      </c>
    </row>
    <row r="342" spans="1:28" s="140" customFormat="1" ht="89.25">
      <c r="A342" s="167" t="s">
        <v>2884</v>
      </c>
      <c r="B342" s="168" t="s">
        <v>131</v>
      </c>
      <c r="C342" s="169" t="s">
        <v>2885</v>
      </c>
      <c r="D342" s="170" t="s">
        <v>2885</v>
      </c>
      <c r="E342" s="168" t="s">
        <v>141</v>
      </c>
      <c r="F342" s="168" t="s">
        <v>2884</v>
      </c>
      <c r="G342" s="168" t="s">
        <v>114</v>
      </c>
      <c r="H342" s="171" t="s">
        <v>114</v>
      </c>
      <c r="I342" s="172" t="s">
        <v>114</v>
      </c>
      <c r="J342" s="172" t="s">
        <v>114</v>
      </c>
      <c r="K342" s="173"/>
      <c r="L342" s="173"/>
      <c r="M342" s="173"/>
      <c r="N342" s="173"/>
      <c r="O342" s="173"/>
      <c r="P342" s="174"/>
      <c r="Q342" s="175"/>
      <c r="R342" s="168" t="str">
        <f ca="1">IF(ISERROR($V342),"",OFFSET('Smelter Look-up'!$C$4,$V342-4,0)&amp;"")</f>
        <v/>
      </c>
      <c r="S342" s="167" t="str">
        <f t="shared" ca="1" si="48"/>
        <v>US</v>
      </c>
      <c r="T342" s="167" t="str">
        <f ca="1">IF(B342="","",IF(ISERROR(MATCH($J342,SorP!$B$1:$B$6230,0)),"",INDIRECT("'SorP'!$A$"&amp;MATCH($J342,SorP!$B$1:$B$6230,0))))</f>
        <v/>
      </c>
      <c r="U342" s="176"/>
      <c r="V342" s="177" t="e">
        <f>IF(C342="",NA(),IF(OR(C342="Smelter not listed",C342="Smelter not yet identified"),MATCH($B342&amp;$D342,'Smelter Look-up'!$J:$J,0),MATCH($B342&amp;$C342,'Smelter Look-up'!$J:$J,0)))</f>
        <v>#N/A</v>
      </c>
      <c r="X342" s="140">
        <f t="shared" si="49"/>
        <v>0</v>
      </c>
      <c r="AB342" s="178" t="str">
        <f t="shared" si="50"/>
        <v>TinXiamen Golden Egret Special Alloy Co. Ltd.</v>
      </c>
    </row>
    <row r="343" spans="1:28" s="140" customFormat="1" ht="114.75">
      <c r="A343" s="167" t="s">
        <v>2886</v>
      </c>
      <c r="B343" s="168" t="s">
        <v>131</v>
      </c>
      <c r="C343" s="169" t="s">
        <v>2887</v>
      </c>
      <c r="D343" s="170" t="s">
        <v>2887</v>
      </c>
      <c r="E343" s="168" t="s">
        <v>192</v>
      </c>
      <c r="F343" s="168" t="s">
        <v>2886</v>
      </c>
      <c r="G343" s="168" t="s">
        <v>142</v>
      </c>
      <c r="H343" s="171" t="s">
        <v>114</v>
      </c>
      <c r="I343" s="172" t="s">
        <v>196</v>
      </c>
      <c r="J343" s="172" t="s">
        <v>196</v>
      </c>
      <c r="K343" s="173"/>
      <c r="L343" s="173"/>
      <c r="M343" s="173"/>
      <c r="N343" s="173" t="s">
        <v>121</v>
      </c>
      <c r="O343" s="173" t="s">
        <v>121</v>
      </c>
      <c r="P343" s="174" t="s">
        <v>121</v>
      </c>
      <c r="Q343" s="175"/>
      <c r="R343" s="168" t="str">
        <f ca="1">IF(ISERROR($V343),"",OFFSET('Smelter Look-up'!$C$4,$V343-4,0)&amp;"")</f>
        <v/>
      </c>
      <c r="S343" s="167" t="str">
        <f t="shared" ca="1" si="48"/>
        <v>CN</v>
      </c>
      <c r="T343" s="167" t="str">
        <f ca="1">IF(B343="","",IF(ISERROR(MATCH($J343,SorP!$B$1:$B$6230,0)),"",INDIRECT("'SorP'!$A$"&amp;MATCH($J343,SorP!$B$1:$B$6230,0))))</f>
        <v/>
      </c>
      <c r="U343" s="176"/>
      <c r="V343" s="177" t="e">
        <f>IF(C343="",NA(),IF(OR(C343="Smelter not listed",C343="Smelter not yet identified"),MATCH($B343&amp;$D343,'Smelter Look-up'!$J:$J,0),MATCH($B343&amp;$C343,'Smelter Look-up'!$J:$J,0)))</f>
        <v>#N/A</v>
      </c>
      <c r="X343" s="140">
        <f t="shared" si="49"/>
        <v>0</v>
      </c>
      <c r="AB343" s="178" t="str">
        <f t="shared" si="50"/>
        <v>TinXiamen Honglu Tungsten Molybdenum Co., Ltd.</v>
      </c>
    </row>
    <row r="344" spans="1:28" s="140" customFormat="1" ht="114.75">
      <c r="A344" s="167" t="s">
        <v>2888</v>
      </c>
      <c r="B344" s="168" t="s">
        <v>131</v>
      </c>
      <c r="C344" s="169" t="s">
        <v>2887</v>
      </c>
      <c r="D344" s="170" t="s">
        <v>2887</v>
      </c>
      <c r="E344" s="168" t="s">
        <v>141</v>
      </c>
      <c r="F344" s="168" t="s">
        <v>2888</v>
      </c>
      <c r="G344" s="168" t="s">
        <v>114</v>
      </c>
      <c r="H344" s="171" t="s">
        <v>114</v>
      </c>
      <c r="I344" s="172" t="s">
        <v>114</v>
      </c>
      <c r="J344" s="172" t="s">
        <v>114</v>
      </c>
      <c r="K344" s="173"/>
      <c r="L344" s="173"/>
      <c r="M344" s="173"/>
      <c r="N344" s="173"/>
      <c r="O344" s="173"/>
      <c r="P344" s="174"/>
      <c r="Q344" s="175"/>
      <c r="R344" s="168" t="str">
        <f ca="1">IF(ISERROR($V344),"",OFFSET('Smelter Look-up'!$C$4,$V344-4,0)&amp;"")</f>
        <v/>
      </c>
      <c r="S344" s="167" t="str">
        <f t="shared" ca="1" si="48"/>
        <v>US</v>
      </c>
      <c r="T344" s="167" t="str">
        <f ca="1">IF(B344="","",IF(ISERROR(MATCH($J344,SorP!$B$1:$B$6230,0)),"",INDIRECT("'SorP'!$A$"&amp;MATCH($J344,SorP!$B$1:$B$6230,0))))</f>
        <v/>
      </c>
      <c r="U344" s="176"/>
      <c r="V344" s="177" t="e">
        <f>IF(C344="",NA(),IF(OR(C344="Smelter not listed",C344="Smelter not yet identified"),MATCH($B344&amp;$D344,'Smelter Look-up'!$J:$J,0),MATCH($B344&amp;$C344,'Smelter Look-up'!$J:$J,0)))</f>
        <v>#N/A</v>
      </c>
      <c r="X344" s="140">
        <f t="shared" si="49"/>
        <v>0</v>
      </c>
      <c r="AB344" s="178" t="str">
        <f t="shared" si="50"/>
        <v>TinXiamen Honglu Tungsten Molybdenum Co., Ltd.</v>
      </c>
    </row>
    <row r="345" spans="1:28" s="140" customFormat="1" ht="409.5">
      <c r="A345" s="167" t="s">
        <v>2889</v>
      </c>
      <c r="B345" s="168" t="s">
        <v>132</v>
      </c>
      <c r="C345" s="169" t="s">
        <v>2890</v>
      </c>
      <c r="D345" s="170" t="s">
        <v>2891</v>
      </c>
      <c r="E345" s="168" t="s">
        <v>192</v>
      </c>
      <c r="F345" s="168" t="s">
        <v>2889</v>
      </c>
      <c r="G345" s="168" t="s">
        <v>142</v>
      </c>
      <c r="H345" s="171" t="s">
        <v>2892</v>
      </c>
      <c r="I345" s="172" t="s">
        <v>1921</v>
      </c>
      <c r="J345" s="172" t="s">
        <v>709</v>
      </c>
      <c r="K345" s="173" t="s">
        <v>2893</v>
      </c>
      <c r="L345" s="173" t="s">
        <v>2894</v>
      </c>
      <c r="M345" s="173" t="s">
        <v>2895</v>
      </c>
      <c r="N345" s="173" t="s">
        <v>2896</v>
      </c>
      <c r="O345" s="173" t="s">
        <v>2897</v>
      </c>
      <c r="P345" s="174" t="s">
        <v>715</v>
      </c>
      <c r="Q345" s="175" t="s">
        <v>2898</v>
      </c>
      <c r="R345" s="168" t="str">
        <f ca="1">IF(ISERROR($V345),"",OFFSET('Smelter Look-up'!$C$4,$V345-4,0)&amp;"")</f>
        <v/>
      </c>
      <c r="S345" s="167" t="str">
        <f t="shared" ca="1" si="48"/>
        <v>CN</v>
      </c>
      <c r="T345" s="167" t="str">
        <f ca="1">IF(B345="","",IF(ISERROR(MATCH($J345,SorP!$B$1:$B$6230,0)),"",INDIRECT("'SorP'!$A$"&amp;MATCH($J345,SorP!$B$1:$B$6230,0))))</f>
        <v>CN-HN</v>
      </c>
      <c r="U345" s="176"/>
      <c r="V345" s="177" t="e">
        <f>IF(C345="",NA(),IF(OR(C345="Smelter not listed",C345="Smelter not yet identified"),MATCH($B345&amp;$D345,'Smelter Look-up'!$J:$J,0),MATCH($B345&amp;$C345,'Smelter Look-up'!$J:$J,0)))</f>
        <v>#N/A</v>
      </c>
      <c r="X345" s="140">
        <f t="shared" si="49"/>
        <v>0</v>
      </c>
      <c r="AB345" s="178" t="str">
        <f t="shared" si="50"/>
        <v>TungstenHunan Shizhuyuan Nonferrous Metals Co., Ltd. Chenzhou Tungsten Products Branch</v>
      </c>
    </row>
    <row r="346" spans="1:28" s="140" customFormat="1" ht="409.5">
      <c r="A346" s="167" t="s">
        <v>2899</v>
      </c>
      <c r="B346" s="168" t="s">
        <v>132</v>
      </c>
      <c r="C346" s="169" t="s">
        <v>2900</v>
      </c>
      <c r="D346" s="170" t="s">
        <v>1912</v>
      </c>
      <c r="E346" s="168" t="s">
        <v>192</v>
      </c>
      <c r="F346" s="168" t="s">
        <v>2899</v>
      </c>
      <c r="G346" s="168" t="s">
        <v>142</v>
      </c>
      <c r="H346" s="171" t="s">
        <v>2901</v>
      </c>
      <c r="I346" s="172" t="s">
        <v>1913</v>
      </c>
      <c r="J346" s="172" t="s">
        <v>709</v>
      </c>
      <c r="K346" s="173" t="s">
        <v>2902</v>
      </c>
      <c r="L346" s="173" t="s">
        <v>2903</v>
      </c>
      <c r="M346" s="173" t="s">
        <v>2904</v>
      </c>
      <c r="N346" s="173" t="s">
        <v>2905</v>
      </c>
      <c r="O346" s="173" t="s">
        <v>2906</v>
      </c>
      <c r="P346" s="174" t="s">
        <v>715</v>
      </c>
      <c r="Q346" s="175" t="s">
        <v>2907</v>
      </c>
      <c r="R346" s="168" t="str">
        <f ca="1">IF(ISERROR($V346),"",OFFSET('Smelter Look-up'!$C$4,$V346-4,0)&amp;"")</f>
        <v>Hunan Chenzhou Mining Co., Ltd.</v>
      </c>
      <c r="S346" s="167" t="str">
        <f t="shared" ca="1" si="48"/>
        <v>CN</v>
      </c>
      <c r="T346" s="167" t="str">
        <f ca="1">IF(B346="","",IF(ISERROR(MATCH($J346,SorP!$B$1:$B$6230,0)),"",INDIRECT("'SorP'!$A$"&amp;MATCH($J346,SorP!$B$1:$B$6230,0))))</f>
        <v>CN-HN</v>
      </c>
      <c r="U346" s="176"/>
      <c r="V346" s="177">
        <f>IF(C346="",NA(),IF(OR(C346="Smelter not listed",C346="Smelter not yet identified"),MATCH($B346&amp;$D346,'Smelter Look-up'!$J:$J,0),MATCH($B346&amp;$C346,'Smelter Look-up'!$J:$J,0)))</f>
        <v>589</v>
      </c>
      <c r="X346" s="140">
        <f t="shared" si="49"/>
        <v>0</v>
      </c>
      <c r="AB346" s="178" t="str">
        <f t="shared" si="50"/>
        <v>TungstenHunan Chenzhou Mining Group Co., Ltd.</v>
      </c>
    </row>
    <row r="347" spans="1:28" s="140" customFormat="1" ht="409.5">
      <c r="A347" s="167" t="s">
        <v>2909</v>
      </c>
      <c r="B347" s="168" t="s">
        <v>132</v>
      </c>
      <c r="C347" s="169" t="s">
        <v>2910</v>
      </c>
      <c r="D347" s="170" t="s">
        <v>2910</v>
      </c>
      <c r="E347" s="168" t="s">
        <v>459</v>
      </c>
      <c r="F347" s="168" t="s">
        <v>2909</v>
      </c>
      <c r="G347" s="168" t="s">
        <v>142</v>
      </c>
      <c r="H347" s="171" t="s">
        <v>2911</v>
      </c>
      <c r="I347" s="172" t="s">
        <v>2912</v>
      </c>
      <c r="J347" s="172" t="s">
        <v>2389</v>
      </c>
      <c r="K347" s="173" t="s">
        <v>2913</v>
      </c>
      <c r="L347" s="173" t="s">
        <v>2914</v>
      </c>
      <c r="M347" s="173" t="s">
        <v>2915</v>
      </c>
      <c r="N347" s="173" t="s">
        <v>2916</v>
      </c>
      <c r="O347" s="173" t="s">
        <v>2917</v>
      </c>
      <c r="P347" s="174" t="s">
        <v>715</v>
      </c>
      <c r="Q347" s="175" t="s">
        <v>2918</v>
      </c>
      <c r="R347" s="168" t="str">
        <f ca="1">IF(ISERROR($V347),"",OFFSET('Smelter Look-up'!$C$4,$V347-4,0)&amp;"")</f>
        <v>Moliren Ltd.</v>
      </c>
      <c r="S347" s="167" t="str">
        <f t="shared" ca="1" si="48"/>
        <v>RU</v>
      </c>
      <c r="T347" s="167" t="str">
        <f ca="1">IF(B347="","",IF(ISERROR(MATCH($J347,SorP!$B$1:$B$6230,0)),"",INDIRECT("'SorP'!$A$"&amp;MATCH($J347,SorP!$B$1:$B$6230,0))))</f>
        <v>RU-MOS</v>
      </c>
      <c r="U347" s="176"/>
      <c r="V347" s="177">
        <f>IF(C347="",NA(),IF(OR(C347="Smelter not listed",C347="Smelter not yet identified"),MATCH($B347&amp;$D347,'Smelter Look-up'!$J:$J,0),MATCH($B347&amp;$C347,'Smelter Look-up'!$J:$J,0)))</f>
        <v>611</v>
      </c>
      <c r="X347" s="140">
        <f t="shared" si="49"/>
        <v>0</v>
      </c>
      <c r="AB347" s="178" t="str">
        <f t="shared" si="50"/>
        <v>TungstenMoliren Ltd.</v>
      </c>
    </row>
    <row r="348" spans="1:28" s="140" customFormat="1" ht="127.5">
      <c r="A348" s="167" t="s">
        <v>2919</v>
      </c>
      <c r="B348" s="168" t="s">
        <v>132</v>
      </c>
      <c r="C348" s="169" t="s">
        <v>2920</v>
      </c>
      <c r="D348" s="170" t="s">
        <v>2920</v>
      </c>
      <c r="E348" s="168" t="s">
        <v>253</v>
      </c>
      <c r="F348" s="168" t="s">
        <v>2919</v>
      </c>
      <c r="G348" s="168" t="s">
        <v>114</v>
      </c>
      <c r="H348" s="171" t="s">
        <v>114</v>
      </c>
      <c r="I348" s="172" t="s">
        <v>114</v>
      </c>
      <c r="J348" s="172" t="s">
        <v>114</v>
      </c>
      <c r="K348" s="173"/>
      <c r="L348" s="173"/>
      <c r="M348" s="173"/>
      <c r="N348" s="173"/>
      <c r="O348" s="173"/>
      <c r="P348" s="174"/>
      <c r="Q348" s="175"/>
      <c r="R348" s="168" t="str">
        <f ca="1">IF(ISERROR($V348),"",OFFSET('Smelter Look-up'!$C$4,$V348-4,0)&amp;"")</f>
        <v/>
      </c>
      <c r="S348" s="167" t="str">
        <f t="shared" ca="1" si="48"/>
        <v>ID</v>
      </c>
      <c r="T348" s="167" t="str">
        <f ca="1">IF(B348="","",IF(ISERROR(MATCH($J348,SorP!$B$1:$B$6230,0)),"",INDIRECT("'SorP'!$A$"&amp;MATCH($J348,SorP!$B$1:$B$6230,0))))</f>
        <v/>
      </c>
      <c r="U348" s="176"/>
      <c r="V348" s="177" t="e">
        <f>IF(C348="",NA(),IF(OR(C348="Smelter not listed",C348="Smelter not yet identified"),MATCH($B348&amp;$D348,'Smelter Look-up'!$J:$J,0),MATCH($B348&amp;$C348,'Smelter Look-up'!$J:$J,0)))</f>
        <v>#N/A</v>
      </c>
      <c r="X348" s="140">
        <f t="shared" si="49"/>
        <v>0</v>
      </c>
      <c r="AB348" s="178" t="str">
        <f t="shared" si="50"/>
        <v>TungstenNanchang Cemented Carbide Limited Liability Company</v>
      </c>
    </row>
    <row r="349" spans="1:28" s="140" customFormat="1" ht="409.5">
      <c r="A349" s="167" t="s">
        <v>2921</v>
      </c>
      <c r="B349" s="168" t="s">
        <v>132</v>
      </c>
      <c r="C349" s="169" t="s">
        <v>2922</v>
      </c>
      <c r="D349" s="170" t="s">
        <v>2922</v>
      </c>
      <c r="E349" s="168" t="s">
        <v>141</v>
      </c>
      <c r="F349" s="168" t="s">
        <v>2921</v>
      </c>
      <c r="G349" s="168" t="s">
        <v>142</v>
      </c>
      <c r="H349" s="171" t="s">
        <v>2923</v>
      </c>
      <c r="I349" s="172" t="s">
        <v>2924</v>
      </c>
      <c r="J349" s="172" t="s">
        <v>606</v>
      </c>
      <c r="K349" s="173" t="s">
        <v>2925</v>
      </c>
      <c r="L349" s="173" t="s">
        <v>2926</v>
      </c>
      <c r="M349" s="173" t="s">
        <v>2927</v>
      </c>
      <c r="N349" s="173" t="s">
        <v>2928</v>
      </c>
      <c r="O349" s="173" t="s">
        <v>2929</v>
      </c>
      <c r="P349" s="174" t="s">
        <v>715</v>
      </c>
      <c r="Q349" s="175" t="s">
        <v>2930</v>
      </c>
      <c r="R349" s="168" t="str">
        <f ca="1">IF(ISERROR($V349),"",OFFSET('Smelter Look-up'!$C$4,$V349-4,0)&amp;"")</f>
        <v>Niagara Refining LLC</v>
      </c>
      <c r="S349" s="167" t="str">
        <f t="shared" ca="1" si="48"/>
        <v>US</v>
      </c>
      <c r="T349" s="167" t="str">
        <f ca="1">IF(B349="","",IF(ISERROR(MATCH($J349,SorP!$B$1:$B$6230,0)),"",INDIRECT("'SorP'!$A$"&amp;MATCH($J349,SorP!$B$1:$B$6230,0))))</f>
        <v>US-NY</v>
      </c>
      <c r="U349" s="176"/>
      <c r="V349" s="177">
        <f>IF(C349="",NA(),IF(OR(C349="Smelter not listed",C349="Smelter not yet identified"),MATCH($B349&amp;$D349,'Smelter Look-up'!$J:$J,0),MATCH($B349&amp;$C349,'Smelter Look-up'!$J:$J,0)))</f>
        <v>612</v>
      </c>
      <c r="X349" s="140">
        <f t="shared" si="49"/>
        <v>0</v>
      </c>
      <c r="AB349" s="178" t="str">
        <f t="shared" si="50"/>
        <v>TungstenNiagara Refining LLC</v>
      </c>
    </row>
    <row r="350" spans="1:28" s="140" customFormat="1" ht="409.5">
      <c r="A350" s="167" t="s">
        <v>2936</v>
      </c>
      <c r="B350" s="168" t="s">
        <v>133</v>
      </c>
      <c r="C350" s="169" t="s">
        <v>2937</v>
      </c>
      <c r="D350" s="170" t="s">
        <v>2937</v>
      </c>
      <c r="E350" s="168" t="s">
        <v>256</v>
      </c>
      <c r="F350" s="168" t="s">
        <v>2936</v>
      </c>
      <c r="G350" s="168" t="s">
        <v>142</v>
      </c>
      <c r="H350" s="171" t="s">
        <v>2938</v>
      </c>
      <c r="I350" s="172" t="s">
        <v>2939</v>
      </c>
      <c r="J350" s="172" t="s">
        <v>542</v>
      </c>
      <c r="K350" s="173" t="s">
        <v>2940</v>
      </c>
      <c r="L350" s="173" t="s">
        <v>2941</v>
      </c>
      <c r="M350" s="173" t="s">
        <v>2942</v>
      </c>
      <c r="N350" s="173" t="s">
        <v>2943</v>
      </c>
      <c r="O350" s="173" t="s">
        <v>2944</v>
      </c>
      <c r="P350" s="174" t="s">
        <v>164</v>
      </c>
      <c r="Q350" s="175" t="s">
        <v>2945</v>
      </c>
      <c r="R350" s="168" t="str">
        <f ca="1">IF(ISERROR($V350),"",OFFSET('Smelter Look-up'!$C$4,$V350-4,0)&amp;"")</f>
        <v>Samduck Precious Metals</v>
      </c>
      <c r="S350" s="167" t="str">
        <f t="shared" ca="1" si="48"/>
        <v>KR</v>
      </c>
      <c r="T350" s="167" t="str">
        <f ca="1">IF(B350="","",IF(ISERROR(MATCH($J350,SorP!$B$1:$B$6230,0)),"",INDIRECT("'SorP'!$A$"&amp;MATCH($J350,SorP!$B$1:$B$6230,0))))</f>
        <v>KR-28</v>
      </c>
      <c r="U350" s="176"/>
      <c r="V350" s="177">
        <f>IF(C350="",NA(),IF(OR(C350="Smelter not listed",C350="Smelter not yet identified"),MATCH($B350&amp;$D350,'Smelter Look-up'!$J:$J,0),MATCH($B350&amp;$C350,'Smelter Look-up'!$J:$J,0)))</f>
        <v>228</v>
      </c>
      <c r="X350" s="140">
        <f t="shared" si="49"/>
        <v>0</v>
      </c>
      <c r="AB350" s="178" t="str">
        <f t="shared" si="50"/>
        <v>GoldSamduck Precious Metals</v>
      </c>
    </row>
    <row r="351" spans="1:28" s="140" customFormat="1" ht="216.75">
      <c r="A351" s="167" t="s">
        <v>2947</v>
      </c>
      <c r="B351" s="168" t="s">
        <v>133</v>
      </c>
      <c r="C351" s="169" t="s">
        <v>2948</v>
      </c>
      <c r="D351" s="170" t="s">
        <v>2948</v>
      </c>
      <c r="E351" s="168" t="s">
        <v>256</v>
      </c>
      <c r="F351" s="168" t="s">
        <v>2947</v>
      </c>
      <c r="G351" s="168" t="s">
        <v>142</v>
      </c>
      <c r="H351" s="171" t="s">
        <v>2949</v>
      </c>
      <c r="I351" s="172" t="s">
        <v>2946</v>
      </c>
      <c r="J351" s="172" t="s">
        <v>2950</v>
      </c>
      <c r="K351" s="173" t="s">
        <v>2951</v>
      </c>
      <c r="L351" s="173" t="s">
        <v>2952</v>
      </c>
      <c r="M351" s="173"/>
      <c r="N351" s="173" t="s">
        <v>174</v>
      </c>
      <c r="O351" s="173" t="s">
        <v>2953</v>
      </c>
      <c r="P351" s="174" t="s">
        <v>175</v>
      </c>
      <c r="Q351" s="175" t="s">
        <v>196</v>
      </c>
      <c r="R351" s="168" t="str">
        <f ca="1">IF(ISERROR($V351),"",OFFSET('Smelter Look-up'!$C$4,$V351-4,0)&amp;"")</f>
        <v>Samwon Metals Corp.</v>
      </c>
      <c r="S351" s="167" t="str">
        <f t="shared" ca="1" si="48"/>
        <v>KR</v>
      </c>
      <c r="T351" s="167" t="str">
        <f ca="1">IF(B351="","",IF(ISERROR(MATCH($J351,SorP!$B$1:$B$6230,0)),"",INDIRECT("'SorP'!$A$"&amp;MATCH($J351,SorP!$B$1:$B$6230,0))))</f>
        <v>KR-48</v>
      </c>
      <c r="U351" s="176"/>
      <c r="V351" s="177">
        <f>IF(C351="",NA(),IF(OR(C351="Smelter not listed",C351="Smelter not yet identified"),MATCH($B351&amp;$D351,'Smelter Look-up'!$J:$J,0),MATCH($B351&amp;$C351,'Smelter Look-up'!$J:$J,0)))</f>
        <v>229</v>
      </c>
      <c r="X351" s="140">
        <f t="shared" si="49"/>
        <v>0</v>
      </c>
      <c r="AB351" s="178" t="str">
        <f t="shared" si="50"/>
        <v>GoldSamwon Metals Corp.</v>
      </c>
    </row>
    <row r="352" spans="1:28" s="140" customFormat="1" ht="38.25">
      <c r="A352" s="167" t="s">
        <v>2958</v>
      </c>
      <c r="B352" s="168" t="s">
        <v>132</v>
      </c>
      <c r="C352" s="169" t="s">
        <v>2959</v>
      </c>
      <c r="D352" s="170" t="s">
        <v>2959</v>
      </c>
      <c r="E352" s="168" t="s">
        <v>433</v>
      </c>
      <c r="F352" s="168" t="s">
        <v>2958</v>
      </c>
      <c r="G352" s="168" t="s">
        <v>114</v>
      </c>
      <c r="H352" s="171" t="s">
        <v>114</v>
      </c>
      <c r="I352" s="172" t="s">
        <v>114</v>
      </c>
      <c r="J352" s="172" t="s">
        <v>114</v>
      </c>
      <c r="K352" s="173"/>
      <c r="L352" s="173"/>
      <c r="M352" s="173"/>
      <c r="N352" s="173"/>
      <c r="O352" s="173"/>
      <c r="P352" s="174"/>
      <c r="Q352" s="175"/>
      <c r="R352" s="168" t="str">
        <f ca="1">IF(ISERROR($V352),"",OFFSET('Smelter Look-up'!$C$4,$V352-4,0)&amp;"")</f>
        <v/>
      </c>
      <c r="S352" s="167" t="str">
        <f t="shared" ca="1" si="48"/>
        <v>BR</v>
      </c>
      <c r="T352" s="167" t="str">
        <f ca="1">IF(B352="","",IF(ISERROR(MATCH($J352,SorP!$B$1:$B$6230,0)),"",INDIRECT("'SorP'!$A$"&amp;MATCH($J352,SorP!$B$1:$B$6230,0))))</f>
        <v/>
      </c>
      <c r="U352" s="176"/>
      <c r="V352" s="177" t="e">
        <f>IF(C352="",NA(),IF(OR(C352="Smelter not listed",C352="Smelter not yet identified"),MATCH($B352&amp;$D352,'Smelter Look-up'!$J:$J,0),MATCH($B352&amp;$C352,'Smelter Look-up'!$J:$J,0)))</f>
        <v>#N/A</v>
      </c>
      <c r="X352" s="140">
        <f t="shared" si="49"/>
        <v>0</v>
      </c>
      <c r="AB352" s="178" t="str">
        <f t="shared" si="50"/>
        <v>TungstenKIHONG T &amp; G</v>
      </c>
    </row>
    <row r="353" spans="1:28" s="140" customFormat="1" ht="89.25">
      <c r="A353" s="167" t="s">
        <v>2960</v>
      </c>
      <c r="B353" s="168" t="s">
        <v>132</v>
      </c>
      <c r="C353" s="169" t="s">
        <v>2961</v>
      </c>
      <c r="D353" s="170" t="s">
        <v>2961</v>
      </c>
      <c r="E353" s="168" t="s">
        <v>141</v>
      </c>
      <c r="F353" s="168" t="s">
        <v>2960</v>
      </c>
      <c r="G353" s="168" t="s">
        <v>142</v>
      </c>
      <c r="H353" s="171" t="s">
        <v>114</v>
      </c>
      <c r="I353" s="172" t="s">
        <v>196</v>
      </c>
      <c r="J353" s="172" t="s">
        <v>196</v>
      </c>
      <c r="K353" s="173"/>
      <c r="L353" s="173"/>
      <c r="M353" s="173"/>
      <c r="N353" s="173" t="s">
        <v>121</v>
      </c>
      <c r="O353" s="173" t="s">
        <v>121</v>
      </c>
      <c r="P353" s="174" t="s">
        <v>121</v>
      </c>
      <c r="Q353" s="175"/>
      <c r="R353" s="168" t="str">
        <f ca="1">IF(ISERROR($V353),"",OFFSET('Smelter Look-up'!$C$4,$V353-4,0)&amp;"")</f>
        <v/>
      </c>
      <c r="S353" s="167" t="str">
        <f t="shared" ca="1" si="48"/>
        <v>US</v>
      </c>
      <c r="T353" s="167" t="str">
        <f ca="1">IF(B353="","",IF(ISERROR(MATCH($J353,SorP!$B$1:$B$6230,0)),"",INDIRECT("'SorP'!$A$"&amp;MATCH($J353,SorP!$B$1:$B$6230,0))))</f>
        <v/>
      </c>
      <c r="U353" s="176"/>
      <c r="V353" s="177" t="e">
        <f>IF(C353="",NA(),IF(OR(C353="Smelter not listed",C353="Smelter not yet identified"),MATCH($B353&amp;$D353,'Smelter Look-up'!$J:$J,0),MATCH($B353&amp;$C353,'Smelter Look-up'!$J:$J,0)))</f>
        <v>#N/A</v>
      </c>
      <c r="X353" s="140">
        <f t="shared" si="49"/>
        <v>0</v>
      </c>
      <c r="AB353" s="178" t="str">
        <f t="shared" si="50"/>
        <v>TungstenTungsten Diversified Industries LLC</v>
      </c>
    </row>
    <row r="354" spans="1:28" s="140" customFormat="1" ht="409.5">
      <c r="A354" s="167" t="s">
        <v>2971</v>
      </c>
      <c r="B354" s="168" t="s">
        <v>133</v>
      </c>
      <c r="C354" s="169" t="s">
        <v>2972</v>
      </c>
      <c r="D354" s="170" t="s">
        <v>2973</v>
      </c>
      <c r="E354" s="168" t="s">
        <v>226</v>
      </c>
      <c r="F354" s="168" t="s">
        <v>2971</v>
      </c>
      <c r="G354" s="168" t="s">
        <v>142</v>
      </c>
      <c r="H354" s="171" t="s">
        <v>2974</v>
      </c>
      <c r="I354" s="172" t="s">
        <v>2975</v>
      </c>
      <c r="J354" s="172" t="s">
        <v>1746</v>
      </c>
      <c r="K354" s="173" t="s">
        <v>2976</v>
      </c>
      <c r="L354" s="173" t="s">
        <v>2977</v>
      </c>
      <c r="M354" s="173" t="s">
        <v>219</v>
      </c>
      <c r="N354" s="173" t="s">
        <v>174</v>
      </c>
      <c r="O354" s="173" t="s">
        <v>2978</v>
      </c>
      <c r="P354" s="174" t="s">
        <v>175</v>
      </c>
      <c r="Q354" s="175" t="s">
        <v>2979</v>
      </c>
      <c r="R354" s="168" t="str">
        <f ca="1">IF(ISERROR($V354),"",OFFSET('Smelter Look-up'!$C$4,$V354-4,0)&amp;"")</f>
        <v>GGC Gujrat Gold Centre Pvt. Ltd.</v>
      </c>
      <c r="S354" s="167" t="str">
        <f t="shared" ref="S354:S371" ca="1" si="51">IF(B354="","",IF(ISERROR(MATCH($E354,CL,0)),"Unknown",INDIRECT("'C'!$A$"&amp;MATCH($E354,CL,0)+1)))</f>
        <v>IN</v>
      </c>
      <c r="T354" s="167" t="str">
        <f ca="1">IF(B354="","",IF(ISERROR(MATCH($J354,SorP!$B$1:$B$6230,0)),"",INDIRECT("'SorP'!$A$"&amp;MATCH($J354,SorP!$B$1:$B$6230,0))))</f>
        <v>IN-GJ</v>
      </c>
      <c r="U354" s="176"/>
      <c r="V354" s="177">
        <f>IF(C354="",NA(),IF(OR(C354="Smelter not listed",C354="Smelter not yet identified"),MATCH($B354&amp;$D354,'Smelter Look-up'!$J:$J,0),MATCH($B354&amp;$C354,'Smelter Look-up'!$J:$J,0)))</f>
        <v>89</v>
      </c>
      <c r="X354" s="140">
        <f t="shared" ref="X354:X371" si="52">IF(AND(C354="Smelter not listed",OR(LEN(D354)=0,LEN(E354)=0)),1,0)</f>
        <v>0</v>
      </c>
      <c r="AB354" s="178" t="str">
        <f t="shared" ref="AB354:AB371" si="53">B354&amp;C354</f>
        <v>GoldGGC Gujrat Gold Centre Pvt. Ltd.</v>
      </c>
    </row>
    <row r="355" spans="1:28" s="140" customFormat="1" ht="357">
      <c r="A355" s="167" t="s">
        <v>2984</v>
      </c>
      <c r="B355" s="168" t="s">
        <v>133</v>
      </c>
      <c r="C355" s="169" t="s">
        <v>2983</v>
      </c>
      <c r="D355" s="170" t="s">
        <v>2985</v>
      </c>
      <c r="E355" s="168" t="s">
        <v>192</v>
      </c>
      <c r="F355" s="168" t="s">
        <v>2984</v>
      </c>
      <c r="G355" s="168" t="s">
        <v>142</v>
      </c>
      <c r="H355" s="171" t="s">
        <v>2986</v>
      </c>
      <c r="I355" s="172" t="s">
        <v>2242</v>
      </c>
      <c r="J355" s="172" t="s">
        <v>2243</v>
      </c>
      <c r="K355" s="173" t="s">
        <v>2987</v>
      </c>
      <c r="L355" s="173" t="s">
        <v>2988</v>
      </c>
      <c r="M355" s="173"/>
      <c r="N355" s="173" t="s">
        <v>174</v>
      </c>
      <c r="O355" s="173" t="s">
        <v>2989</v>
      </c>
      <c r="P355" s="174" t="s">
        <v>175</v>
      </c>
      <c r="Q355" s="175" t="s">
        <v>2990</v>
      </c>
      <c r="R355" s="168" t="str">
        <f ca="1">IF(ISERROR($V355),"",OFFSET('Smelter Look-up'!$C$4,$V355-4,0)&amp;"")</f>
        <v>Great Wall Precious Metals Co., Ltd. of CBPM</v>
      </c>
      <c r="S355" s="167" t="str">
        <f t="shared" ca="1" si="51"/>
        <v>CN</v>
      </c>
      <c r="T355" s="167" t="str">
        <f ca="1">IF(B355="","",IF(ISERROR(MATCH($J355,SorP!$B$1:$B$6230,0)),"",INDIRECT("'SorP'!$A$"&amp;MATCH($J355,SorP!$B$1:$B$6230,0))))</f>
        <v>CN-SC</v>
      </c>
      <c r="U355" s="176"/>
      <c r="V355" s="177">
        <f>IF(C355="",NA(),IF(OR(C355="Smelter not listed",C355="Smelter not yet identified"),MATCH($B355&amp;$D355,'Smelter Look-up'!$J:$J,0),MATCH($B355&amp;$C355,'Smelter Look-up'!$J:$J,0)))</f>
        <v>280</v>
      </c>
      <c r="X355" s="140">
        <f t="shared" si="52"/>
        <v>0</v>
      </c>
      <c r="AB355" s="178" t="str">
        <f t="shared" si="53"/>
        <v>GoldThe Great Wall Gold and Silver Refinery of China</v>
      </c>
    </row>
    <row r="356" spans="1:28" s="140" customFormat="1" ht="409.5">
      <c r="A356" s="167" t="s">
        <v>2994</v>
      </c>
      <c r="B356" s="168" t="s">
        <v>133</v>
      </c>
      <c r="C356" s="169" t="s">
        <v>2995</v>
      </c>
      <c r="D356" s="170" t="s">
        <v>2995</v>
      </c>
      <c r="E356" s="168" t="s">
        <v>141</v>
      </c>
      <c r="F356" s="168" t="s">
        <v>2994</v>
      </c>
      <c r="G356" s="168" t="s">
        <v>142</v>
      </c>
      <c r="H356" s="171" t="s">
        <v>2996</v>
      </c>
      <c r="I356" s="172" t="s">
        <v>2997</v>
      </c>
      <c r="J356" s="172" t="s">
        <v>1204</v>
      </c>
      <c r="K356" s="173" t="s">
        <v>2998</v>
      </c>
      <c r="L356" s="173" t="s">
        <v>2999</v>
      </c>
      <c r="M356" s="173" t="s">
        <v>3000</v>
      </c>
      <c r="N356" s="173" t="s">
        <v>3001</v>
      </c>
      <c r="O356" s="173" t="s">
        <v>3002</v>
      </c>
      <c r="P356" s="174" t="s">
        <v>2802</v>
      </c>
      <c r="Q356" s="175" t="s">
        <v>3003</v>
      </c>
      <c r="R356" s="168" t="str">
        <f ca="1">IF(ISERROR($V356),"",OFFSET('Smelter Look-up'!$C$4,$V356-4,0)&amp;"")</f>
        <v>Metalor USA Refining Corporation</v>
      </c>
      <c r="S356" s="167" t="str">
        <f t="shared" ca="1" si="51"/>
        <v>US</v>
      </c>
      <c r="T356" s="167" t="str">
        <f ca="1">IF(B356="","",IF(ISERROR(MATCH($J356,SorP!$B$1:$B$6230,0)),"",INDIRECT("'SorP'!$A$"&amp;MATCH($J356,SorP!$B$1:$B$6230,0))))</f>
        <v>US-MA</v>
      </c>
      <c r="U356" s="176"/>
      <c r="V356" s="177">
        <f>IF(C356="",NA(),IF(OR(C356="Smelter not listed",C356="Smelter not yet identified"),MATCH($B356&amp;$D356,'Smelter Look-up'!$J:$J,0),MATCH($B356&amp;$C356,'Smelter Look-up'!$J:$J,0)))</f>
        <v>177</v>
      </c>
      <c r="X356" s="140">
        <f t="shared" si="52"/>
        <v>0</v>
      </c>
      <c r="AB356" s="178" t="str">
        <f t="shared" si="53"/>
        <v>GoldMetalor USA Refining Corporation</v>
      </c>
    </row>
    <row r="357" spans="1:28" s="140" customFormat="1" ht="409.5">
      <c r="A357" s="167" t="s">
        <v>3004</v>
      </c>
      <c r="B357" s="168" t="s">
        <v>133</v>
      </c>
      <c r="C357" s="169" t="s">
        <v>1589</v>
      </c>
      <c r="D357" s="170" t="s">
        <v>1589</v>
      </c>
      <c r="E357" s="168" t="s">
        <v>155</v>
      </c>
      <c r="F357" s="168" t="s">
        <v>3004</v>
      </c>
      <c r="G357" s="168" t="s">
        <v>142</v>
      </c>
      <c r="H357" s="171" t="s">
        <v>3005</v>
      </c>
      <c r="I357" s="172" t="s">
        <v>3006</v>
      </c>
      <c r="J357" s="172" t="s">
        <v>3007</v>
      </c>
      <c r="K357" s="173" t="s">
        <v>3008</v>
      </c>
      <c r="L357" s="173" t="s">
        <v>3009</v>
      </c>
      <c r="M357" s="173" t="s">
        <v>3010</v>
      </c>
      <c r="N357" s="173" t="s">
        <v>3011</v>
      </c>
      <c r="O357" s="173" t="s">
        <v>3012</v>
      </c>
      <c r="P357" s="174" t="s">
        <v>164</v>
      </c>
      <c r="Q357" s="175" t="s">
        <v>3013</v>
      </c>
      <c r="R357" s="168" t="str">
        <f ca="1">IF(ISERROR($V357),"",OFFSET('Smelter Look-up'!$C$4,$V357-4,0)&amp;"")</f>
        <v>Mitsui Mining and Smelting Co., Ltd.</v>
      </c>
      <c r="S357" s="167" t="str">
        <f t="shared" ca="1" si="51"/>
        <v>JP</v>
      </c>
      <c r="T357" s="167" t="str">
        <f ca="1">IF(B357="","",IF(ISERROR(MATCH($J357,SorP!$B$1:$B$6230,0)),"",INDIRECT("'SorP'!$A$"&amp;MATCH($J357,SorP!$B$1:$B$6230,0))))</f>
        <v>JP-34</v>
      </c>
      <c r="U357" s="176"/>
      <c r="V357" s="177">
        <f>IF(C357="",NA(),IF(OR(C357="Smelter not listed",C357="Smelter not yet identified"),MATCH($B357&amp;$D357,'Smelter Look-up'!$J:$J,0),MATCH($B357&amp;$C357,'Smelter Look-up'!$J:$J,0)))</f>
        <v>184</v>
      </c>
      <c r="X357" s="140">
        <f t="shared" si="52"/>
        <v>0</v>
      </c>
      <c r="AB357" s="178" t="str">
        <f t="shared" si="53"/>
        <v>GoldMitsui Mining and Smelting Co., Ltd.</v>
      </c>
    </row>
    <row r="358" spans="1:28" s="140" customFormat="1" ht="409.5">
      <c r="A358" s="167" t="s">
        <v>3014</v>
      </c>
      <c r="B358" s="168" t="s">
        <v>131</v>
      </c>
      <c r="C358" s="169" t="s">
        <v>3015</v>
      </c>
      <c r="D358" s="170" t="s">
        <v>3016</v>
      </c>
      <c r="E358" s="168" t="s">
        <v>931</v>
      </c>
      <c r="F358" s="168" t="s">
        <v>3014</v>
      </c>
      <c r="G358" s="168" t="s">
        <v>142</v>
      </c>
      <c r="H358" s="171" t="s">
        <v>3017</v>
      </c>
      <c r="I358" s="172" t="s">
        <v>3018</v>
      </c>
      <c r="J358" s="172" t="s">
        <v>1793</v>
      </c>
      <c r="K358" s="173" t="s">
        <v>3019</v>
      </c>
      <c r="L358" s="173" t="s">
        <v>3020</v>
      </c>
      <c r="M358" s="173" t="s">
        <v>3021</v>
      </c>
      <c r="N358" s="173" t="s">
        <v>3022</v>
      </c>
      <c r="O358" s="173" t="s">
        <v>3023</v>
      </c>
      <c r="P358" s="174" t="s">
        <v>164</v>
      </c>
      <c r="Q358" s="175" t="s">
        <v>3024</v>
      </c>
      <c r="R358" s="168" t="str">
        <f ca="1">IF(ISERROR($V358),"",OFFSET('Smelter Look-up'!$C$4,$V358-4,0)&amp;"")</f>
        <v/>
      </c>
      <c r="S358" s="167" t="str">
        <f t="shared" ca="1" si="51"/>
        <v>BE</v>
      </c>
      <c r="T358" s="167" t="str">
        <f ca="1">IF(B358="","",IF(ISERROR(MATCH($J358,SorP!$B$1:$B$6230,0)),"",INDIRECT("'SorP'!$A$"&amp;MATCH($J358,SorP!$B$1:$B$6230,0))))</f>
        <v>BE-VAN</v>
      </c>
      <c r="U358" s="176"/>
      <c r="V358" s="177" t="e">
        <f>IF(C358="",NA(),IF(OR(C358="Smelter not listed",C358="Smelter not yet identified"),MATCH($B358&amp;$D358,'Smelter Look-up'!$J:$J,0),MATCH($B358&amp;$C358,'Smelter Look-up'!$J:$J,0)))</f>
        <v>#N/A</v>
      </c>
      <c r="X358" s="140">
        <f t="shared" si="52"/>
        <v>0</v>
      </c>
      <c r="AB358" s="178" t="str">
        <f t="shared" si="53"/>
        <v>TinMetallo-Chimique N.V.</v>
      </c>
    </row>
    <row r="359" spans="1:28" s="140" customFormat="1" ht="409.5">
      <c r="A359" s="167" t="s">
        <v>3025</v>
      </c>
      <c r="B359" s="168" t="s">
        <v>131</v>
      </c>
      <c r="C359" s="169" t="s">
        <v>3026</v>
      </c>
      <c r="D359" s="170" t="s">
        <v>3026</v>
      </c>
      <c r="E359" s="168" t="s">
        <v>793</v>
      </c>
      <c r="F359" s="168" t="s">
        <v>3025</v>
      </c>
      <c r="G359" s="168" t="s">
        <v>142</v>
      </c>
      <c r="H359" s="171" t="s">
        <v>3027</v>
      </c>
      <c r="I359" s="172" t="s">
        <v>3028</v>
      </c>
      <c r="J359" s="172" t="s">
        <v>3029</v>
      </c>
      <c r="K359" s="173" t="s">
        <v>3030</v>
      </c>
      <c r="L359" s="173" t="s">
        <v>3031</v>
      </c>
      <c r="M359" s="173" t="s">
        <v>3032</v>
      </c>
      <c r="N359" s="173" t="s">
        <v>3033</v>
      </c>
      <c r="O359" s="173" t="s">
        <v>3034</v>
      </c>
      <c r="P359" s="174" t="s">
        <v>3035</v>
      </c>
      <c r="Q359" s="175" t="s">
        <v>3036</v>
      </c>
      <c r="R359" s="168" t="str">
        <f ca="1">IF(ISERROR($V359),"",OFFSET('Smelter Look-up'!$C$4,$V359-4,0)&amp;"")</f>
        <v>Metallo Spain S.L.U.</v>
      </c>
      <c r="S359" s="167" t="str">
        <f t="shared" ca="1" si="51"/>
        <v>ES</v>
      </c>
      <c r="T359" s="167" t="str">
        <f ca="1">IF(B359="","",IF(ISERROR(MATCH($J359,SorP!$B$1:$B$6230,0)),"",INDIRECT("'SorP'!$A$"&amp;MATCH($J359,SorP!$B$1:$B$6230,0))))</f>
        <v>ES-BI</v>
      </c>
      <c r="U359" s="176"/>
      <c r="V359" s="177">
        <f>IF(C359="",NA(),IF(OR(C359="Smelter not listed",C359="Smelter not yet identified"),MATCH($B359&amp;$D359,'Smelter Look-up'!$J:$J,0),MATCH($B359&amp;$C359,'Smelter Look-up'!$J:$J,0)))</f>
        <v>463</v>
      </c>
      <c r="X359" s="140">
        <f t="shared" si="52"/>
        <v>0</v>
      </c>
      <c r="AB359" s="178" t="str">
        <f t="shared" si="53"/>
        <v>TinMetallo Spain S.L.U.</v>
      </c>
    </row>
    <row r="360" spans="1:28" s="140" customFormat="1" ht="409.5">
      <c r="A360" s="167" t="s">
        <v>3039</v>
      </c>
      <c r="B360" s="168" t="s">
        <v>131</v>
      </c>
      <c r="C360" s="169" t="s">
        <v>2536</v>
      </c>
      <c r="D360" s="170" t="s">
        <v>2536</v>
      </c>
      <c r="E360" s="168" t="s">
        <v>253</v>
      </c>
      <c r="F360" s="168" t="s">
        <v>3039</v>
      </c>
      <c r="G360" s="168" t="s">
        <v>142</v>
      </c>
      <c r="H360" s="171" t="s">
        <v>3040</v>
      </c>
      <c r="I360" s="172" t="s">
        <v>1056</v>
      </c>
      <c r="J360" s="172" t="s">
        <v>833</v>
      </c>
      <c r="K360" s="173" t="s">
        <v>3041</v>
      </c>
      <c r="L360" s="173" t="s">
        <v>3042</v>
      </c>
      <c r="M360" s="173" t="s">
        <v>3043</v>
      </c>
      <c r="N360" s="173" t="s">
        <v>3044</v>
      </c>
      <c r="O360" s="173" t="s">
        <v>3045</v>
      </c>
      <c r="P360" s="174" t="s">
        <v>3046</v>
      </c>
      <c r="Q360" s="175" t="s">
        <v>3047</v>
      </c>
      <c r="R360" s="168" t="str">
        <f ca="1">IF(ISERROR($V360),"",OFFSET('Smelter Look-up'!$C$4,$V360-4,0)&amp;"")</f>
        <v>PT Mitra Stania Prima</v>
      </c>
      <c r="S360" s="167" t="str">
        <f t="shared" ca="1" si="51"/>
        <v>ID</v>
      </c>
      <c r="T360" s="167" t="str">
        <f ca="1">IF(B360="","",IF(ISERROR(MATCH($J360,SorP!$B$1:$B$6230,0)),"",INDIRECT("'SorP'!$A$"&amp;MATCH($J360,SorP!$B$1:$B$6230,0))))</f>
        <v>ID-BB</v>
      </c>
      <c r="U360" s="176"/>
      <c r="V360" s="177">
        <f>IF(C360="",NA(),IF(OR(C360="Smelter not listed",C360="Smelter not yet identified"),MATCH($B360&amp;$D360,'Smelter Look-up'!$J:$J,0),MATCH($B360&amp;$C360,'Smelter Look-up'!$J:$J,0)))</f>
        <v>496</v>
      </c>
      <c r="X360" s="140">
        <f t="shared" si="52"/>
        <v>0</v>
      </c>
      <c r="AB360" s="178" t="str">
        <f t="shared" si="53"/>
        <v>TinPT Mitra Stania Prima</v>
      </c>
    </row>
    <row r="361" spans="1:28" s="140" customFormat="1" ht="89.25">
      <c r="A361" s="167" t="s">
        <v>3048</v>
      </c>
      <c r="B361" s="168" t="s">
        <v>131</v>
      </c>
      <c r="C361" s="169" t="s">
        <v>3049</v>
      </c>
      <c r="D361" s="170" t="s">
        <v>3049</v>
      </c>
      <c r="E361" s="168" t="s">
        <v>253</v>
      </c>
      <c r="F361" s="168" t="s">
        <v>3048</v>
      </c>
      <c r="G361" s="168" t="s">
        <v>142</v>
      </c>
      <c r="H361" s="171" t="s">
        <v>3050</v>
      </c>
      <c r="I361" s="172" t="s">
        <v>1297</v>
      </c>
      <c r="J361" s="172" t="s">
        <v>833</v>
      </c>
      <c r="K361" s="173" t="s">
        <v>3051</v>
      </c>
      <c r="L361" s="173" t="s">
        <v>3052</v>
      </c>
      <c r="M361" s="173" t="s">
        <v>3053</v>
      </c>
      <c r="N361" s="173" t="s">
        <v>3054</v>
      </c>
      <c r="O361" s="173" t="s">
        <v>3055</v>
      </c>
      <c r="P361" s="174" t="s">
        <v>151</v>
      </c>
      <c r="Q361" s="175" t="s">
        <v>3056</v>
      </c>
      <c r="R361" s="168" t="str">
        <f ca="1">IF(ISERROR($V361),"",OFFSET('Smelter Look-up'!$C$4,$V361-4,0)&amp;"")</f>
        <v>PT Mitra Sukses Globalindo</v>
      </c>
      <c r="S361" s="167" t="str">
        <f t="shared" ca="1" si="51"/>
        <v>ID</v>
      </c>
      <c r="T361" s="167" t="str">
        <f ca="1">IF(B361="","",IF(ISERROR(MATCH($J361,SorP!$B$1:$B$6230,0)),"",INDIRECT("'SorP'!$A$"&amp;MATCH($J361,SorP!$B$1:$B$6230,0))))</f>
        <v>ID-BB</v>
      </c>
      <c r="U361" s="176"/>
      <c r="V361" s="177">
        <f>IF(C361="",NA(),IF(OR(C361="Smelter not listed",C361="Smelter not yet identified"),MATCH($B361&amp;$D361,'Smelter Look-up'!$J:$J,0),MATCH($B361&amp;$C361,'Smelter Look-up'!$J:$J,0)))</f>
        <v>497</v>
      </c>
      <c r="X361" s="140">
        <f t="shared" si="52"/>
        <v>0</v>
      </c>
      <c r="AB361" s="178" t="str">
        <f t="shared" si="53"/>
        <v>TinPT Mitra Sukses Globalindo</v>
      </c>
    </row>
    <row r="362" spans="1:28" s="140" customFormat="1" ht="51">
      <c r="A362" s="167" t="s">
        <v>3060</v>
      </c>
      <c r="B362" s="168" t="s">
        <v>131</v>
      </c>
      <c r="C362" s="169" t="s">
        <v>2475</v>
      </c>
      <c r="D362" s="170" t="s">
        <v>2475</v>
      </c>
      <c r="E362" s="168" t="s">
        <v>253</v>
      </c>
      <c r="F362" s="168" t="s">
        <v>3060</v>
      </c>
      <c r="G362" s="168" t="s">
        <v>142</v>
      </c>
      <c r="H362" s="171" t="s">
        <v>114</v>
      </c>
      <c r="I362" s="172" t="s">
        <v>1056</v>
      </c>
      <c r="J362" s="172" t="s">
        <v>833</v>
      </c>
      <c r="K362" s="173"/>
      <c r="L362" s="173"/>
      <c r="M362" s="173"/>
      <c r="N362" s="173"/>
      <c r="O362" s="173"/>
      <c r="P362" s="174"/>
      <c r="Q362" s="175"/>
      <c r="R362" s="168" t="str">
        <f ca="1">IF(ISERROR($V362),"",OFFSET('Smelter Look-up'!$C$4,$V362-4,0)&amp;"")</f>
        <v>PT Refined Bangka Tin</v>
      </c>
      <c r="S362" s="167" t="str">
        <f t="shared" ca="1" si="51"/>
        <v>ID</v>
      </c>
      <c r="T362" s="167" t="str">
        <f ca="1">IF(B362="","",IF(ISERROR(MATCH($J362,SorP!$B$1:$B$6230,0)),"",INDIRECT("'SorP'!$A$"&amp;MATCH($J362,SorP!$B$1:$B$6230,0))))</f>
        <v>ID-BB</v>
      </c>
      <c r="U362" s="176"/>
      <c r="V362" s="177">
        <f>IF(C362="",NA(),IF(OR(C362="Smelter not listed",C362="Smelter not yet identified"),MATCH($B362&amp;$D362,'Smelter Look-up'!$J:$J,0),MATCH($B362&amp;$C362,'Smelter Look-up'!$J:$J,0)))</f>
        <v>502</v>
      </c>
      <c r="X362" s="140">
        <f t="shared" si="52"/>
        <v>0</v>
      </c>
      <c r="AB362" s="178" t="str">
        <f t="shared" si="53"/>
        <v>TinPT Refined Bangka Tin</v>
      </c>
    </row>
    <row r="363" spans="1:28" s="140" customFormat="1" ht="51">
      <c r="A363" s="167" t="s">
        <v>3062</v>
      </c>
      <c r="B363" s="168" t="s">
        <v>131</v>
      </c>
      <c r="C363" s="169" t="s">
        <v>3063</v>
      </c>
      <c r="D363" s="170" t="s">
        <v>3063</v>
      </c>
      <c r="E363" s="168" t="s">
        <v>253</v>
      </c>
      <c r="F363" s="168" t="s">
        <v>3062</v>
      </c>
      <c r="G363" s="168" t="s">
        <v>114</v>
      </c>
      <c r="H363" s="171" t="s">
        <v>114</v>
      </c>
      <c r="I363" s="172"/>
      <c r="J363" s="172" t="s">
        <v>114</v>
      </c>
      <c r="K363" s="173"/>
      <c r="L363" s="173"/>
      <c r="M363" s="173"/>
      <c r="N363" s="173"/>
      <c r="O363" s="173"/>
      <c r="P363" s="174"/>
      <c r="Q363" s="175"/>
      <c r="R363" s="168" t="str">
        <f ca="1">IF(ISERROR($V363),"",OFFSET('Smelter Look-up'!$C$4,$V363-4,0)&amp;"")</f>
        <v/>
      </c>
      <c r="S363" s="167" t="str">
        <f t="shared" ca="1" si="51"/>
        <v>ID</v>
      </c>
      <c r="T363" s="167" t="str">
        <f ca="1">IF(B363="","",IF(ISERROR(MATCH($J363,SorP!$B$1:$B$6230,0)),"",INDIRECT("'SorP'!$A$"&amp;MATCH($J363,SorP!$B$1:$B$6230,0))))</f>
        <v/>
      </c>
      <c r="U363" s="176"/>
      <c r="V363" s="177" t="e">
        <f>IF(C363="",NA(),IF(OR(C363="Smelter not listed",C363="Smelter not yet identified"),MATCH($B363&amp;$D363,'Smelter Look-up'!$J:$J,0),MATCH($B363&amp;$C363,'Smelter Look-up'!$J:$J,0)))</f>
        <v>#N/A</v>
      </c>
      <c r="X363" s="140">
        <f t="shared" si="52"/>
        <v>0</v>
      </c>
      <c r="AB363" s="178" t="str">
        <f t="shared" si="53"/>
        <v>TinPT Singkep Times Utama</v>
      </c>
    </row>
    <row r="364" spans="1:28" s="140" customFormat="1" ht="51">
      <c r="A364" s="167" t="s">
        <v>3064</v>
      </c>
      <c r="B364" s="168" t="s">
        <v>131</v>
      </c>
      <c r="C364" s="169" t="s">
        <v>1986</v>
      </c>
      <c r="D364" s="170" t="s">
        <v>1986</v>
      </c>
      <c r="E364" s="168" t="s">
        <v>253</v>
      </c>
      <c r="F364" s="168" t="s">
        <v>3064</v>
      </c>
      <c r="G364" s="168" t="s">
        <v>169</v>
      </c>
      <c r="H364" s="171" t="s">
        <v>1071</v>
      </c>
      <c r="I364" s="172" t="s">
        <v>1066</v>
      </c>
      <c r="J364" s="172" t="s">
        <v>833</v>
      </c>
      <c r="K364" s="173"/>
      <c r="L364" s="173"/>
      <c r="M364" s="173"/>
      <c r="N364" s="173"/>
      <c r="O364" s="173"/>
      <c r="P364" s="174"/>
      <c r="Q364" s="175"/>
      <c r="R364" s="168" t="str">
        <f ca="1">IF(ISERROR($V364),"",OFFSET('Smelter Look-up'!$C$4,$V364-4,0)&amp;"")</f>
        <v>PT Stanindo Inti Perkasa</v>
      </c>
      <c r="S364" s="167" t="str">
        <f t="shared" ca="1" si="51"/>
        <v>ID</v>
      </c>
      <c r="T364" s="167" t="str">
        <f ca="1">IF(B364="","",IF(ISERROR(MATCH($J364,SorP!$B$1:$B$6230,0)),"",INDIRECT("'SorP'!$A$"&amp;MATCH($J364,SorP!$B$1:$B$6230,0))))</f>
        <v>ID-BB</v>
      </c>
      <c r="U364" s="176"/>
      <c r="V364" s="177">
        <f>IF(C364="",NA(),IF(OR(C364="Smelter not listed",C364="Smelter not yet identified"),MATCH($B364&amp;$D364,'Smelter Look-up'!$J:$J,0),MATCH($B364&amp;$C364,'Smelter Look-up'!$J:$J,0)))</f>
        <v>504</v>
      </c>
      <c r="X364" s="140">
        <f t="shared" si="52"/>
        <v>0</v>
      </c>
      <c r="AB364" s="178" t="str">
        <f t="shared" si="53"/>
        <v>TinPT Stanindo Inti Perkasa</v>
      </c>
    </row>
    <row r="365" spans="1:28" s="140" customFormat="1" ht="409.5">
      <c r="A365" s="167" t="s">
        <v>3066</v>
      </c>
      <c r="B365" s="168" t="s">
        <v>130</v>
      </c>
      <c r="C365" s="169" t="s">
        <v>3067</v>
      </c>
      <c r="D365" s="170" t="s">
        <v>3067</v>
      </c>
      <c r="E365" s="168" t="s">
        <v>141</v>
      </c>
      <c r="F365" s="168" t="s">
        <v>3066</v>
      </c>
      <c r="G365" s="168" t="s">
        <v>142</v>
      </c>
      <c r="H365" s="171" t="s">
        <v>3068</v>
      </c>
      <c r="I365" s="172" t="s">
        <v>3069</v>
      </c>
      <c r="J365" s="172" t="s">
        <v>480</v>
      </c>
      <c r="K365" s="173" t="s">
        <v>3070</v>
      </c>
      <c r="L365" s="173" t="s">
        <v>3071</v>
      </c>
      <c r="M365" s="173" t="s">
        <v>3072</v>
      </c>
      <c r="N365" s="173" t="s">
        <v>3073</v>
      </c>
      <c r="O365" s="173" t="s">
        <v>3074</v>
      </c>
      <c r="P365" s="174" t="s">
        <v>715</v>
      </c>
      <c r="Q365" s="175" t="s">
        <v>3075</v>
      </c>
      <c r="R365" s="168" t="str">
        <f ca="1">IF(ISERROR($V365),"",OFFSET('Smelter Look-up'!$C$4,$V365-4,0)&amp;"")</f>
        <v>Telex Metals</v>
      </c>
      <c r="S365" s="167" t="str">
        <f t="shared" ca="1" si="51"/>
        <v>US</v>
      </c>
      <c r="T365" s="167" t="str">
        <f ca="1">IF(B365="","",IF(ISERROR(MATCH($J365,SorP!$B$1:$B$6230,0)),"",INDIRECT("'SorP'!$A$"&amp;MATCH($J365,SorP!$B$1:$B$6230,0))))</f>
        <v>US-PA</v>
      </c>
      <c r="U365" s="176"/>
      <c r="V365" s="177">
        <f>IF(C365="",NA(),IF(OR(C365="Smelter not listed",C365="Smelter not yet identified"),MATCH($B365&amp;$D365,'Smelter Look-up'!$J:$J,0),MATCH($B365&amp;$C365,'Smelter Look-up'!$J:$J,0)))</f>
        <v>378</v>
      </c>
      <c r="X365" s="140">
        <f t="shared" si="52"/>
        <v>0</v>
      </c>
      <c r="AB365" s="178" t="str">
        <f t="shared" si="53"/>
        <v>TantalumTelex Metals</v>
      </c>
    </row>
    <row r="366" spans="1:28" s="140" customFormat="1" ht="51">
      <c r="A366" s="167" t="s">
        <v>3076</v>
      </c>
      <c r="B366" s="168" t="s">
        <v>130</v>
      </c>
      <c r="C366" s="169" t="s">
        <v>3077</v>
      </c>
      <c r="D366" s="170" t="s">
        <v>3077</v>
      </c>
      <c r="E366" s="168" t="s">
        <v>141</v>
      </c>
      <c r="F366" s="168" t="s">
        <v>3076</v>
      </c>
      <c r="G366" s="168" t="s">
        <v>169</v>
      </c>
      <c r="H366" s="171" t="s">
        <v>3078</v>
      </c>
      <c r="I366" s="172" t="s">
        <v>3079</v>
      </c>
      <c r="J366" s="172" t="s">
        <v>480</v>
      </c>
      <c r="K366" s="173"/>
      <c r="L366" s="173" t="s">
        <v>3080</v>
      </c>
      <c r="M366" s="173"/>
      <c r="N366" s="173" t="s">
        <v>121</v>
      </c>
      <c r="O366" s="173" t="s">
        <v>121</v>
      </c>
      <c r="P366" s="174" t="s">
        <v>121</v>
      </c>
      <c r="Q366" s="175"/>
      <c r="R366" s="168" t="str">
        <f ca="1">IF(ISERROR($V366),"",OFFSET('Smelter Look-up'!$C$4,$V366-4,0)&amp;"")</f>
        <v/>
      </c>
      <c r="S366" s="167" t="str">
        <f t="shared" ca="1" si="51"/>
        <v>US</v>
      </c>
      <c r="T366" s="167" t="str">
        <f ca="1">IF(B366="","",IF(ISERROR(MATCH($J366,SorP!$B$1:$B$6230,0)),"",INDIRECT("'SorP'!$A$"&amp;MATCH($J366,SorP!$B$1:$B$6230,0))))</f>
        <v>US-PA</v>
      </c>
      <c r="U366" s="176"/>
      <c r="V366" s="177" t="e">
        <f>IF(C366="",NA(),IF(OR(C366="Smelter not listed",C366="Smelter not yet identified"),MATCH($B366&amp;$D366,'Smelter Look-up'!$J:$J,0),MATCH($B366&amp;$C366,'Smelter Look-up'!$J:$J,0)))</f>
        <v>#N/A</v>
      </c>
      <c r="X366" s="140">
        <f t="shared" si="52"/>
        <v>0</v>
      </c>
      <c r="AB366" s="178" t="str">
        <f t="shared" si="53"/>
        <v>TantalumTranzact, Inc.</v>
      </c>
    </row>
    <row r="367" spans="1:28" s="140" customFormat="1" ht="38.25">
      <c r="A367" s="167" t="s">
        <v>3086</v>
      </c>
      <c r="B367" s="168" t="s">
        <v>131</v>
      </c>
      <c r="C367" s="169" t="s">
        <v>3087</v>
      </c>
      <c r="D367" s="170" t="s">
        <v>3087</v>
      </c>
      <c r="E367" s="168" t="s">
        <v>192</v>
      </c>
      <c r="F367" s="168" t="s">
        <v>3086</v>
      </c>
      <c r="G367" s="168" t="s">
        <v>114</v>
      </c>
      <c r="H367" s="171" t="s">
        <v>114</v>
      </c>
      <c r="I367" s="172" t="s">
        <v>114</v>
      </c>
      <c r="J367" s="172" t="s">
        <v>114</v>
      </c>
      <c r="K367" s="173"/>
      <c r="L367" s="173"/>
      <c r="M367" s="173"/>
      <c r="N367" s="173"/>
      <c r="O367" s="173"/>
      <c r="P367" s="174"/>
      <c r="Q367" s="175"/>
      <c r="R367" s="168" t="str">
        <f ca="1">IF(ISERROR($V367),"",OFFSET('Smelter Look-up'!$C$4,$V367-4,0)&amp;"")</f>
        <v/>
      </c>
      <c r="S367" s="167" t="str">
        <f t="shared" ca="1" si="51"/>
        <v>CN</v>
      </c>
      <c r="T367" s="167" t="str">
        <f ca="1">IF(B367="","",IF(ISERROR(MATCH($J367,SorP!$B$1:$B$6230,0)),"",INDIRECT("'SorP'!$A$"&amp;MATCH($J367,SorP!$B$1:$B$6230,0))))</f>
        <v/>
      </c>
      <c r="U367" s="176"/>
      <c r="V367" s="177" t="e">
        <f>IF(C367="",NA(),IF(OR(C367="Smelter not listed",C367="Smelter not yet identified"),MATCH($B367&amp;$D367,'Smelter Look-up'!$J:$J,0),MATCH($B367&amp;$C367,'Smelter Look-up'!$J:$J,0)))</f>
        <v>#N/A</v>
      </c>
      <c r="X367" s="140">
        <f t="shared" si="52"/>
        <v>0</v>
      </c>
      <c r="AB367" s="178" t="str">
        <f t="shared" si="53"/>
        <v>TinSincemat Co, Ltd.</v>
      </c>
    </row>
    <row r="368" spans="1:28" s="140" customFormat="1" ht="409.5">
      <c r="A368" s="167" t="s">
        <v>3090</v>
      </c>
      <c r="B368" s="168" t="s">
        <v>131</v>
      </c>
      <c r="C368" s="169" t="s">
        <v>3091</v>
      </c>
      <c r="D368" s="170" t="s">
        <v>3092</v>
      </c>
      <c r="E368" s="168" t="s">
        <v>192</v>
      </c>
      <c r="F368" s="168" t="s">
        <v>3090</v>
      </c>
      <c r="G368" s="168" t="s">
        <v>142</v>
      </c>
      <c r="H368" s="171" t="s">
        <v>3093</v>
      </c>
      <c r="I368" s="172" t="s">
        <v>1147</v>
      </c>
      <c r="J368" s="172" t="s">
        <v>1148</v>
      </c>
      <c r="K368" s="173" t="s">
        <v>3094</v>
      </c>
      <c r="L368" s="173" t="s">
        <v>3095</v>
      </c>
      <c r="M368" s="173" t="s">
        <v>3096</v>
      </c>
      <c r="N368" s="173" t="s">
        <v>3097</v>
      </c>
      <c r="O368" s="173" t="s">
        <v>3098</v>
      </c>
      <c r="P368" s="174" t="s">
        <v>600</v>
      </c>
      <c r="Q368" s="175" t="s">
        <v>3099</v>
      </c>
      <c r="R368" s="168" t="str">
        <f ca="1">IF(ISERROR($V368),"",OFFSET('Smelter Look-up'!$C$4,$V368-4,0)&amp;"")</f>
        <v>Gejiu Yunxin Nonferrous Electrolysis Co., Ltd.</v>
      </c>
      <c r="S368" s="167" t="str">
        <f t="shared" ca="1" si="51"/>
        <v>CN</v>
      </c>
      <c r="T368" s="167" t="str">
        <f ca="1">IF(B368="","",IF(ISERROR(MATCH($J368,SorP!$B$1:$B$6230,0)),"",INDIRECT("'SorP'!$A$"&amp;MATCH($J368,SorP!$B$1:$B$6230,0))))</f>
        <v>CN-YN</v>
      </c>
      <c r="U368" s="176"/>
      <c r="V368" s="177">
        <f>IF(C368="",NA(),IF(OR(C368="Smelter not listed",C368="Smelter not yet identified"),MATCH($B368&amp;$D368,'Smelter Look-up'!$J:$J,0),MATCH($B368&amp;$C368,'Smelter Look-up'!$J:$J,0)))</f>
        <v>541</v>
      </c>
      <c r="X368" s="140">
        <f t="shared" si="52"/>
        <v>0</v>
      </c>
      <c r="AB368" s="178" t="str">
        <f t="shared" si="53"/>
        <v>TinYunNan Gejiu Yunxin Electrolyze Limited</v>
      </c>
    </row>
    <row r="369" spans="1:28" s="140" customFormat="1" ht="409.5">
      <c r="A369" s="167" t="s">
        <v>3101</v>
      </c>
      <c r="B369" s="168" t="s">
        <v>133</v>
      </c>
      <c r="C369" s="169" t="s">
        <v>3102</v>
      </c>
      <c r="D369" s="170" t="s">
        <v>3102</v>
      </c>
      <c r="E369" s="168" t="s">
        <v>155</v>
      </c>
      <c r="F369" s="168" t="s">
        <v>3101</v>
      </c>
      <c r="G369" s="168" t="s">
        <v>142</v>
      </c>
      <c r="H369" s="171" t="s">
        <v>3103</v>
      </c>
      <c r="I369" s="172" t="s">
        <v>3104</v>
      </c>
      <c r="J369" s="172" t="s">
        <v>265</v>
      </c>
      <c r="K369" s="173" t="s">
        <v>3105</v>
      </c>
      <c r="L369" s="173" t="s">
        <v>3106</v>
      </c>
      <c r="M369" s="173" t="s">
        <v>3107</v>
      </c>
      <c r="N369" s="173" t="s">
        <v>3108</v>
      </c>
      <c r="O369" s="173" t="s">
        <v>3109</v>
      </c>
      <c r="P369" s="174" t="s">
        <v>164</v>
      </c>
      <c r="Q369" s="175" t="s">
        <v>3110</v>
      </c>
      <c r="R369" s="168" t="str">
        <f ca="1">IF(ISERROR($V369),"",OFFSET('Smelter Look-up'!$C$4,$V369-4,0)&amp;"")</f>
        <v>Kojima Chemicals Co., Ltd.</v>
      </c>
      <c r="S369" s="167" t="str">
        <f t="shared" ca="1" si="51"/>
        <v>JP</v>
      </c>
      <c r="T369" s="167" t="str">
        <f ca="1">IF(B369="","",IF(ISERROR(MATCH($J369,SorP!$B$1:$B$6230,0)),"",INDIRECT("'SorP'!$A$"&amp;MATCH($J369,SorP!$B$1:$B$6230,0))))</f>
        <v>JP-11</v>
      </c>
      <c r="U369" s="176"/>
      <c r="V369" s="177">
        <f>IF(C369="",NA(),IF(OR(C369="Smelter not listed",C369="Smelter not yet identified"),MATCH($B369&amp;$D369,'Smelter Look-up'!$J:$J,0),MATCH($B369&amp;$C369,'Smelter Look-up'!$J:$J,0)))</f>
        <v>142</v>
      </c>
      <c r="X369" s="140">
        <f t="shared" si="52"/>
        <v>0</v>
      </c>
      <c r="AB369" s="178" t="str">
        <f t="shared" si="53"/>
        <v>GoldKojima Chemicals Co., Ltd.</v>
      </c>
    </row>
    <row r="370" spans="1:28" s="140" customFormat="1" ht="63.75">
      <c r="A370" s="167" t="s">
        <v>3112</v>
      </c>
      <c r="B370" s="168" t="s">
        <v>133</v>
      </c>
      <c r="C370" s="169" t="s">
        <v>3113</v>
      </c>
      <c r="D370" s="170" t="s">
        <v>3111</v>
      </c>
      <c r="E370" s="168" t="s">
        <v>256</v>
      </c>
      <c r="F370" s="168" t="s">
        <v>3112</v>
      </c>
      <c r="G370" s="168" t="s">
        <v>169</v>
      </c>
      <c r="H370" s="171" t="s">
        <v>114</v>
      </c>
      <c r="I370" s="172" t="s">
        <v>114</v>
      </c>
      <c r="J370" s="172" t="s">
        <v>114</v>
      </c>
      <c r="K370" s="173"/>
      <c r="L370" s="173"/>
      <c r="M370" s="173"/>
      <c r="N370" s="173"/>
      <c r="O370" s="173"/>
      <c r="P370" s="174"/>
      <c r="Q370" s="175"/>
      <c r="R370" s="168" t="str">
        <f ca="1">IF(ISERROR($V370),"",OFFSET('Smelter Look-up'!$C$4,$V370-4,0)&amp;"")</f>
        <v/>
      </c>
      <c r="S370" s="167" t="str">
        <f t="shared" ca="1" si="51"/>
        <v>KR</v>
      </c>
      <c r="T370" s="167" t="str">
        <f ca="1">IF(B370="","",IF(ISERROR(MATCH($J370,SorP!$B$1:$B$6230,0)),"",INDIRECT("'SorP'!$A$"&amp;MATCH($J370,SorP!$B$1:$B$6230,0))))</f>
        <v/>
      </c>
      <c r="U370" s="176"/>
      <c r="V370" s="177" t="e">
        <f>IF(C370="",NA(),IF(OR(C370="Smelter not listed",C370="Smelter not yet identified"),MATCH($B370&amp;$D370,'Smelter Look-up'!$J:$J,0),MATCH($B370&amp;$C370,'Smelter Look-up'!$J:$J,0)))</f>
        <v>#N/A</v>
      </c>
      <c r="X370" s="140">
        <f t="shared" si="52"/>
        <v>0</v>
      </c>
      <c r="AB370" s="178" t="str">
        <f t="shared" si="53"/>
        <v>GoldKorea Metal Co., Ltd.</v>
      </c>
    </row>
    <row r="371" spans="1:28" s="140" customFormat="1" ht="409.5">
      <c r="A371" s="167" t="s">
        <v>3114</v>
      </c>
      <c r="B371" s="168" t="s">
        <v>133</v>
      </c>
      <c r="C371" s="169" t="s">
        <v>3115</v>
      </c>
      <c r="D371" s="170" t="s">
        <v>3115</v>
      </c>
      <c r="E371" s="168" t="s">
        <v>256</v>
      </c>
      <c r="F371" s="168" t="s">
        <v>3114</v>
      </c>
      <c r="G371" s="168" t="s">
        <v>142</v>
      </c>
      <c r="H371" s="171" t="s">
        <v>3116</v>
      </c>
      <c r="I371" s="172" t="s">
        <v>3117</v>
      </c>
      <c r="J371" s="172" t="s">
        <v>3118</v>
      </c>
      <c r="K371" s="173" t="s">
        <v>3119</v>
      </c>
      <c r="L371" s="173" t="s">
        <v>3120</v>
      </c>
      <c r="M371" s="173" t="s">
        <v>3121</v>
      </c>
      <c r="N371" s="173" t="s">
        <v>3122</v>
      </c>
      <c r="O371" s="173" t="s">
        <v>3123</v>
      </c>
      <c r="P371" s="174" t="s">
        <v>151</v>
      </c>
      <c r="Q371" s="175" t="s">
        <v>3124</v>
      </c>
      <c r="R371" s="168" t="str">
        <f ca="1">IF(ISERROR($V371),"",OFFSET('Smelter Look-up'!$C$4,$V371-4,0)&amp;"")</f>
        <v>Korea Zinc Co., Ltd.</v>
      </c>
      <c r="S371" s="167" t="str">
        <f t="shared" ca="1" si="51"/>
        <v>KR</v>
      </c>
      <c r="T371" s="167" t="str">
        <f ca="1">IF(B371="","",IF(ISERROR(MATCH($J371,SorP!$B$1:$B$6230,0)),"",INDIRECT("'SorP'!$A$"&amp;MATCH($J371,SorP!$B$1:$B$6230,0))))</f>
        <v>KR-11</v>
      </c>
      <c r="U371" s="176"/>
      <c r="V371" s="177">
        <f>IF(C371="",NA(),IF(OR(C371="Smelter not listed",C371="Smelter not yet identified"),MATCH($B371&amp;$D371,'Smelter Look-up'!$J:$J,0),MATCH($B371&amp;$C371,'Smelter Look-up'!$J:$J,0)))</f>
        <v>145</v>
      </c>
      <c r="X371" s="140">
        <f t="shared" si="52"/>
        <v>0</v>
      </c>
      <c r="AB371" s="178" t="str">
        <f t="shared" si="53"/>
        <v>GoldKorea Zinc Co., Ltd.</v>
      </c>
    </row>
    <row r="372" spans="1:28" s="140" customFormat="1" ht="38.25">
      <c r="A372" s="167" t="s">
        <v>3126</v>
      </c>
      <c r="B372" s="168" t="s">
        <v>131</v>
      </c>
      <c r="C372" s="169" t="s">
        <v>3127</v>
      </c>
      <c r="D372" s="170" t="s">
        <v>3128</v>
      </c>
      <c r="E372" s="168" t="s">
        <v>192</v>
      </c>
      <c r="F372" s="168" t="s">
        <v>3126</v>
      </c>
      <c r="G372" s="168" t="s">
        <v>142</v>
      </c>
      <c r="H372" s="171" t="s">
        <v>114</v>
      </c>
      <c r="I372" s="172" t="s">
        <v>196</v>
      </c>
      <c r="J372" s="172" t="s">
        <v>196</v>
      </c>
      <c r="K372" s="173"/>
      <c r="L372" s="173"/>
      <c r="M372" s="173"/>
      <c r="N372" s="173" t="s">
        <v>121</v>
      </c>
      <c r="O372" s="173" t="s">
        <v>121</v>
      </c>
      <c r="P372" s="174" t="s">
        <v>121</v>
      </c>
      <c r="Q372" s="175"/>
      <c r="R372" s="168" t="str">
        <f ca="1">IF(ISERROR($V372),"",OFFSET('Smelter Look-up'!$C$4,$V372-4,0)&amp;"")</f>
        <v/>
      </c>
      <c r="S372" s="167" t="str">
        <f t="shared" ref="S372:S391" ca="1" si="54">IF(B372="","",IF(ISERROR(MATCH($E372,CL,0)),"Unknown",INDIRECT("'C'!$A$"&amp;MATCH($E372,CL,0)+1)))</f>
        <v>CN</v>
      </c>
      <c r="T372" s="167" t="str">
        <f ca="1">IF(B372="","",IF(ISERROR(MATCH($J372,SorP!$B$1:$B$6230,0)),"",INDIRECT("'SorP'!$A$"&amp;MATCH($J372,SorP!$B$1:$B$6230,0))))</f>
        <v/>
      </c>
      <c r="U372" s="176"/>
      <c r="V372" s="177" t="e">
        <f>IF(C372="",NA(),IF(OR(C372="Smelter not listed",C372="Smelter not yet identified"),MATCH($B372&amp;$D372,'Smelter Look-up'!$J:$J,0),MATCH($B372&amp;$C372,'Smelter Look-up'!$J:$J,0)))</f>
        <v>#N/A</v>
      </c>
      <c r="X372" s="140">
        <f t="shared" ref="X372:X391" si="55">IF(AND(C372="Smelter not listed",OR(LEN(D372)=0,LEN(E372)=0)),1,0)</f>
        <v>0</v>
      </c>
      <c r="AB372" s="178" t="str">
        <f t="shared" ref="AB372:AB391" si="56">B372&amp;C372</f>
        <v>TinTIN PLATING GEJIU</v>
      </c>
    </row>
    <row r="373" spans="1:28" s="140" customFormat="1" ht="409.5">
      <c r="A373" s="167" t="s">
        <v>3129</v>
      </c>
      <c r="B373" s="168" t="s">
        <v>133</v>
      </c>
      <c r="C373" s="169" t="s">
        <v>2630</v>
      </c>
      <c r="D373" s="170" t="s">
        <v>2630</v>
      </c>
      <c r="E373" s="168" t="s">
        <v>2631</v>
      </c>
      <c r="F373" s="168" t="s">
        <v>3129</v>
      </c>
      <c r="G373" s="168" t="s">
        <v>142</v>
      </c>
      <c r="H373" s="171" t="s">
        <v>3130</v>
      </c>
      <c r="I373" s="172" t="s">
        <v>2632</v>
      </c>
      <c r="J373" s="172" t="s">
        <v>3131</v>
      </c>
      <c r="K373" s="173" t="s">
        <v>3132</v>
      </c>
      <c r="L373" s="173" t="s">
        <v>3133</v>
      </c>
      <c r="M373" s="173" t="s">
        <v>3134</v>
      </c>
      <c r="N373" s="173" t="s">
        <v>3135</v>
      </c>
      <c r="O373" s="173" t="s">
        <v>3136</v>
      </c>
      <c r="P373" s="174" t="s">
        <v>175</v>
      </c>
      <c r="Q373" s="175" t="s">
        <v>3137</v>
      </c>
      <c r="R373" s="168" t="str">
        <f ca="1">IF(ISERROR($V373),"",OFFSET('Smelter Look-up'!$C$4,$V373-4,0)&amp;"")</f>
        <v>Kyrgyzaltyn JSC</v>
      </c>
      <c r="S373" s="167" t="str">
        <f t="shared" ca="1" si="54"/>
        <v>KG</v>
      </c>
      <c r="T373" s="167" t="str">
        <f ca="1">IF(B373="","",IF(ISERROR(MATCH($J373,SorP!$B$1:$B$6230,0)),"",INDIRECT("'SorP'!$A$"&amp;MATCH($J373,SorP!$B$1:$B$6230,0))))</f>
        <v>KG-C</v>
      </c>
      <c r="U373" s="176"/>
      <c r="V373" s="177">
        <f>IF(C373="",NA(),IF(OR(C373="Smelter not listed",C373="Smelter not yet identified"),MATCH($B373&amp;$D373,'Smelter Look-up'!$J:$J,0),MATCH($B373&amp;$C373,'Smelter Look-up'!$J:$J,0)))</f>
        <v>149</v>
      </c>
      <c r="X373" s="140">
        <f t="shared" si="55"/>
        <v>0</v>
      </c>
      <c r="AB373" s="178" t="str">
        <f t="shared" si="56"/>
        <v>GoldKyrgyzaltyn JSC</v>
      </c>
    </row>
    <row r="374" spans="1:28" s="140" customFormat="1" ht="102">
      <c r="A374" s="167" t="s">
        <v>3138</v>
      </c>
      <c r="B374" s="168" t="s">
        <v>133</v>
      </c>
      <c r="C374" s="169" t="s">
        <v>3139</v>
      </c>
      <c r="D374" s="170" t="s">
        <v>3139</v>
      </c>
      <c r="E374" s="168" t="s">
        <v>459</v>
      </c>
      <c r="F374" s="168" t="s">
        <v>3138</v>
      </c>
      <c r="G374" s="168" t="s">
        <v>142</v>
      </c>
      <c r="H374" s="171" t="s">
        <v>3140</v>
      </c>
      <c r="I374" s="172" t="s">
        <v>3141</v>
      </c>
      <c r="J374" s="172" t="s">
        <v>3142</v>
      </c>
      <c r="K374" s="173" t="s">
        <v>3143</v>
      </c>
      <c r="L374" s="173" t="s">
        <v>3144</v>
      </c>
      <c r="M374" s="173"/>
      <c r="N374" s="173" t="s">
        <v>220</v>
      </c>
      <c r="O374" s="173" t="s">
        <v>3145</v>
      </c>
      <c r="P374" s="174" t="s">
        <v>175</v>
      </c>
      <c r="Q374" s="175" t="s">
        <v>196</v>
      </c>
      <c r="R374" s="168" t="str">
        <f ca="1">IF(ISERROR($V374),"",OFFSET('Smelter Look-up'!$C$4,$V374-4,0)&amp;"")</f>
        <v>Kyshtym Copper-Electrolytic Plant ZAO</v>
      </c>
      <c r="S374" s="167" t="str">
        <f t="shared" ca="1" si="54"/>
        <v>RU</v>
      </c>
      <c r="T374" s="167" t="str">
        <f ca="1">IF(B374="","",IF(ISERROR(MATCH($J374,SorP!$B$1:$B$6230,0)),"",INDIRECT("'SorP'!$A$"&amp;MATCH($J374,SorP!$B$1:$B$6230,0))))</f>
        <v>RU-CHE</v>
      </c>
      <c r="U374" s="176"/>
      <c r="V374" s="177">
        <f>IF(C374="",NA(),IF(OR(C374="Smelter not listed",C374="Smelter not yet identified"),MATCH($B374&amp;$D374,'Smelter Look-up'!$J:$J,0),MATCH($B374&amp;$C374,'Smelter Look-up'!$J:$J,0)))</f>
        <v>150</v>
      </c>
      <c r="X374" s="140">
        <f t="shared" si="55"/>
        <v>0</v>
      </c>
      <c r="AB374" s="178" t="str">
        <f t="shared" si="56"/>
        <v>GoldKyshtym Copper-Electrolytic Plant ZAO</v>
      </c>
    </row>
    <row r="375" spans="1:28" s="140" customFormat="1" ht="280.5">
      <c r="A375" s="167" t="s">
        <v>3146</v>
      </c>
      <c r="B375" s="168" t="s">
        <v>133</v>
      </c>
      <c r="C375" s="169" t="s">
        <v>3147</v>
      </c>
      <c r="D375" s="170" t="s">
        <v>3148</v>
      </c>
      <c r="E375" s="168" t="s">
        <v>192</v>
      </c>
      <c r="F375" s="168" t="s">
        <v>3146</v>
      </c>
      <c r="G375" s="168" t="s">
        <v>142</v>
      </c>
      <c r="H375" s="171" t="s">
        <v>3149</v>
      </c>
      <c r="I375" s="172" t="s">
        <v>3150</v>
      </c>
      <c r="J375" s="172" t="s">
        <v>554</v>
      </c>
      <c r="K375" s="173" t="s">
        <v>3151</v>
      </c>
      <c r="L375" s="173" t="s">
        <v>3152</v>
      </c>
      <c r="M375" s="173"/>
      <c r="N375" s="173" t="s">
        <v>174</v>
      </c>
      <c r="O375" s="173" t="s">
        <v>3153</v>
      </c>
      <c r="P375" s="174" t="s">
        <v>175</v>
      </c>
      <c r="Q375" s="175" t="s">
        <v>196</v>
      </c>
      <c r="R375" s="168" t="str">
        <f ca="1">IF(ISERROR($V375),"",OFFSET('Smelter Look-up'!$C$4,$V375-4,0)&amp;"")</f>
        <v/>
      </c>
      <c r="S375" s="167" t="str">
        <f t="shared" ca="1" si="54"/>
        <v>CN</v>
      </c>
      <c r="T375" s="167" t="str">
        <f ca="1">IF(B375="","",IF(ISERROR(MATCH($J375,SorP!$B$1:$B$6230,0)),"",INDIRECT("'SorP'!$A$"&amp;MATCH($J375,SorP!$B$1:$B$6230,0))))</f>
        <v>CN-HA</v>
      </c>
      <c r="U375" s="176"/>
      <c r="V375" s="177" t="e">
        <f>IF(C375="",NA(),IF(OR(C375="Smelter not listed",C375="Smelter not yet identified"),MATCH($B375&amp;$D375,'Smelter Look-up'!$J:$J,0),MATCH($B375&amp;$C375,'Smelter Look-up'!$J:$J,0)))</f>
        <v>#N/A</v>
      </c>
      <c r="X375" s="140">
        <f t="shared" si="55"/>
        <v>0</v>
      </c>
      <c r="AB375" s="178" t="str">
        <f t="shared" si="56"/>
        <v>GoldLingbao Gold Company Limited</v>
      </c>
    </row>
    <row r="376" spans="1:28" s="140" customFormat="1" ht="409.5">
      <c r="A376" s="167" t="s">
        <v>3156</v>
      </c>
      <c r="B376" s="168" t="s">
        <v>133</v>
      </c>
      <c r="C376" s="169" t="s">
        <v>3157</v>
      </c>
      <c r="D376" s="170" t="s">
        <v>3157</v>
      </c>
      <c r="E376" s="168" t="s">
        <v>3158</v>
      </c>
      <c r="F376" s="168" t="s">
        <v>3156</v>
      </c>
      <c r="G376" s="168" t="s">
        <v>142</v>
      </c>
      <c r="H376" s="171" t="s">
        <v>3159</v>
      </c>
      <c r="I376" s="172" t="s">
        <v>3160</v>
      </c>
      <c r="J376" s="172" t="s">
        <v>3160</v>
      </c>
      <c r="K376" s="173" t="s">
        <v>3161</v>
      </c>
      <c r="L376" s="173" t="s">
        <v>3162</v>
      </c>
      <c r="M376" s="173" t="s">
        <v>3163</v>
      </c>
      <c r="N376" s="173" t="s">
        <v>3164</v>
      </c>
      <c r="O376" s="173" t="s">
        <v>3165</v>
      </c>
      <c r="P376" s="174" t="s">
        <v>151</v>
      </c>
      <c r="Q376" s="175" t="s">
        <v>3166</v>
      </c>
      <c r="R376" s="168" t="str">
        <f ca="1">IF(ISERROR($V376),"",OFFSET('Smelter Look-up'!$C$4,$V376-4,0)&amp;"")</f>
        <v>L'Orfebre S.A.</v>
      </c>
      <c r="S376" s="167" t="str">
        <f t="shared" ca="1" si="54"/>
        <v>AD</v>
      </c>
      <c r="T376" s="167" t="str">
        <f ca="1">IF(B376="","",IF(ISERROR(MATCH($J376,SorP!$B$1:$B$6230,0)),"",INDIRECT("'SorP'!$A$"&amp;MATCH($J376,SorP!$B$1:$B$6230,0))))</f>
        <v>AD-07</v>
      </c>
      <c r="U376" s="176"/>
      <c r="V376" s="177">
        <f>IF(C376="",NA(),IF(OR(C376="Smelter not listed",C376="Smelter not yet identified"),MATCH($B376&amp;$D376,'Smelter Look-up'!$J:$J,0),MATCH($B376&amp;$C376,'Smelter Look-up'!$J:$J,0)))</f>
        <v>157</v>
      </c>
      <c r="X376" s="140">
        <f t="shared" si="55"/>
        <v>0</v>
      </c>
      <c r="AB376" s="178" t="str">
        <f t="shared" si="56"/>
        <v>GoldL'Orfebre S.A.</v>
      </c>
    </row>
    <row r="377" spans="1:28" s="140" customFormat="1" ht="409.5">
      <c r="A377" s="167" t="s">
        <v>3167</v>
      </c>
      <c r="B377" s="168" t="s">
        <v>133</v>
      </c>
      <c r="C377" s="169" t="s">
        <v>3168</v>
      </c>
      <c r="D377" s="170" t="s">
        <v>3168</v>
      </c>
      <c r="E377" s="168" t="s">
        <v>256</v>
      </c>
      <c r="F377" s="168" t="s">
        <v>3167</v>
      </c>
      <c r="G377" s="168" t="s">
        <v>142</v>
      </c>
      <c r="H377" s="171" t="s">
        <v>3169</v>
      </c>
      <c r="I377" s="172" t="s">
        <v>3170</v>
      </c>
      <c r="J377" s="172" t="s">
        <v>3171</v>
      </c>
      <c r="K377" s="173" t="s">
        <v>3172</v>
      </c>
      <c r="L377" s="173" t="s">
        <v>3173</v>
      </c>
      <c r="M377" s="173" t="s">
        <v>3174</v>
      </c>
      <c r="N377" s="173" t="s">
        <v>3175</v>
      </c>
      <c r="O377" s="173" t="s">
        <v>3176</v>
      </c>
      <c r="P377" s="174" t="s">
        <v>151</v>
      </c>
      <c r="Q377" s="175" t="s">
        <v>3177</v>
      </c>
      <c r="R377" s="168" t="str">
        <f ca="1">IF(ISERROR($V377),"",OFFSET('Smelter Look-up'!$C$4,$V377-4,0)&amp;"")</f>
        <v>LS-NIKKO Copper Inc.</v>
      </c>
      <c r="S377" s="167" t="str">
        <f t="shared" ca="1" si="54"/>
        <v>KR</v>
      </c>
      <c r="T377" s="167" t="str">
        <f ca="1">IF(B377="","",IF(ISERROR(MATCH($J377,SorP!$B$1:$B$6230,0)),"",INDIRECT("'SorP'!$A$"&amp;MATCH($J377,SorP!$B$1:$B$6230,0))))</f>
        <v>KR-31</v>
      </c>
      <c r="U377" s="176"/>
      <c r="V377" s="177">
        <f>IF(C377="",NA(),IF(OR(C377="Smelter not listed",C377="Smelter not yet identified"),MATCH($B377&amp;$D377,'Smelter Look-up'!$J:$J,0),MATCH($B377&amp;$C377,'Smelter Look-up'!$J:$J,0)))</f>
        <v>158</v>
      </c>
      <c r="X377" s="140">
        <f t="shared" si="55"/>
        <v>0</v>
      </c>
      <c r="AB377" s="178" t="str">
        <f t="shared" si="56"/>
        <v>GoldLS-NIKKO Copper Inc.</v>
      </c>
    </row>
    <row r="378" spans="1:28" s="140" customFormat="1" ht="409.5">
      <c r="A378" s="167" t="s">
        <v>3185</v>
      </c>
      <c r="B378" s="168" t="s">
        <v>133</v>
      </c>
      <c r="C378" s="169" t="s">
        <v>3186</v>
      </c>
      <c r="D378" s="170" t="s">
        <v>3186</v>
      </c>
      <c r="E378" s="168" t="s">
        <v>226</v>
      </c>
      <c r="F378" s="168" t="s">
        <v>3185</v>
      </c>
      <c r="G378" s="168" t="s">
        <v>142</v>
      </c>
      <c r="H378" s="171" t="s">
        <v>3187</v>
      </c>
      <c r="I378" s="172" t="s">
        <v>3188</v>
      </c>
      <c r="J378" s="172" t="s">
        <v>3189</v>
      </c>
      <c r="K378" s="173" t="s">
        <v>3190</v>
      </c>
      <c r="L378" s="173" t="s">
        <v>3191</v>
      </c>
      <c r="M378" s="173" t="s">
        <v>3192</v>
      </c>
      <c r="N378" s="173" t="s">
        <v>3193</v>
      </c>
      <c r="O378" s="173" t="s">
        <v>3194</v>
      </c>
      <c r="P378" s="174" t="s">
        <v>151</v>
      </c>
      <c r="Q378" s="175" t="s">
        <v>3195</v>
      </c>
      <c r="R378" s="168" t="str">
        <f ca="1">IF(ISERROR($V378),"",OFFSET('Smelter Look-up'!$C$4,$V378-4,0)&amp;"")</f>
        <v>MMTC-PAMP India Pvt., Ltd.</v>
      </c>
      <c r="S378" s="167" t="str">
        <f t="shared" ca="1" si="54"/>
        <v>IN</v>
      </c>
      <c r="T378" s="167" t="str">
        <f ca="1">IF(B378="","",IF(ISERROR(MATCH($J378,SorP!$B$1:$B$6230,0)),"",INDIRECT("'SorP'!$A$"&amp;MATCH($J378,SorP!$B$1:$B$6230,0))))</f>
        <v>IN-HR</v>
      </c>
      <c r="U378" s="176"/>
      <c r="V378" s="177">
        <f>IF(C378="",NA(),IF(OR(C378="Smelter not listed",C378="Smelter not yet identified"),MATCH($B378&amp;$D378,'Smelter Look-up'!$J:$J,0),MATCH($B378&amp;$C378,'Smelter Look-up'!$J:$J,0)))</f>
        <v>185</v>
      </c>
      <c r="X378" s="140">
        <f t="shared" si="55"/>
        <v>0</v>
      </c>
      <c r="AB378" s="178" t="str">
        <f t="shared" si="56"/>
        <v>GoldMMTC-PAMP India Pvt., Ltd.</v>
      </c>
    </row>
    <row r="379" spans="1:28" s="140" customFormat="1" ht="409.5">
      <c r="A379" s="167" t="s">
        <v>3198</v>
      </c>
      <c r="B379" s="168" t="s">
        <v>133</v>
      </c>
      <c r="C379" s="169" t="s">
        <v>1426</v>
      </c>
      <c r="D379" s="170" t="s">
        <v>1426</v>
      </c>
      <c r="E379" s="168" t="s">
        <v>155</v>
      </c>
      <c r="F379" s="168" t="s">
        <v>3198</v>
      </c>
      <c r="G379" s="168" t="s">
        <v>142</v>
      </c>
      <c r="H379" s="171" t="s">
        <v>2161</v>
      </c>
      <c r="I379" s="172" t="s">
        <v>277</v>
      </c>
      <c r="J379" s="172" t="s">
        <v>277</v>
      </c>
      <c r="K379" s="173" t="s">
        <v>3199</v>
      </c>
      <c r="L379" s="173" t="s">
        <v>3200</v>
      </c>
      <c r="M379" s="173" t="s">
        <v>3201</v>
      </c>
      <c r="N379" s="173" t="s">
        <v>3202</v>
      </c>
      <c r="O379" s="173" t="s">
        <v>3203</v>
      </c>
      <c r="P379" s="174" t="s">
        <v>164</v>
      </c>
      <c r="Q379" s="175" t="s">
        <v>3204</v>
      </c>
      <c r="R379" s="168" t="str">
        <f ca="1">IF(ISERROR($V379),"",OFFSET('Smelter Look-up'!$C$4,$V379-4,0)&amp;"")</f>
        <v>Mitsubishi Materials Corporation</v>
      </c>
      <c r="S379" s="167" t="str">
        <f t="shared" ca="1" si="54"/>
        <v>JP</v>
      </c>
      <c r="T379" s="167" t="str">
        <f ca="1">IF(B379="","",IF(ISERROR(MATCH($J379,SorP!$B$1:$B$6230,0)),"",INDIRECT("'SorP'!$A$"&amp;MATCH($J379,SorP!$B$1:$B$6230,0))))</f>
        <v>JP-13</v>
      </c>
      <c r="U379" s="176"/>
      <c r="V379" s="177">
        <f>IF(C379="",NA(),IF(OR(C379="Smelter not listed",C379="Smelter not yet identified"),MATCH($B379&amp;$D379,'Smelter Look-up'!$J:$J,0),MATCH($B379&amp;$C379,'Smelter Look-up'!$J:$J,0)))</f>
        <v>182</v>
      </c>
      <c r="X379" s="140">
        <f t="shared" si="55"/>
        <v>0</v>
      </c>
      <c r="AB379" s="178" t="str">
        <f t="shared" si="56"/>
        <v>GoldMitsubishi Materials Corporation</v>
      </c>
    </row>
    <row r="380" spans="1:28" s="140" customFormat="1" ht="409.5">
      <c r="A380" s="167" t="s">
        <v>3209</v>
      </c>
      <c r="B380" s="168" t="s">
        <v>131</v>
      </c>
      <c r="C380" s="169" t="s">
        <v>2475</v>
      </c>
      <c r="D380" s="170" t="s">
        <v>3210</v>
      </c>
      <c r="E380" s="168" t="s">
        <v>253</v>
      </c>
      <c r="F380" s="168" t="s">
        <v>3209</v>
      </c>
      <c r="G380" s="168" t="s">
        <v>142</v>
      </c>
      <c r="H380" s="171" t="s">
        <v>114</v>
      </c>
      <c r="I380" s="172" t="s">
        <v>1056</v>
      </c>
      <c r="J380" s="172" t="s">
        <v>833</v>
      </c>
      <c r="K380" s="173" t="s">
        <v>3211</v>
      </c>
      <c r="L380" s="173" t="s">
        <v>3212</v>
      </c>
      <c r="M380" s="173" t="s">
        <v>3213</v>
      </c>
      <c r="N380" s="173" t="s">
        <v>3214</v>
      </c>
      <c r="O380" s="173" t="s">
        <v>3215</v>
      </c>
      <c r="P380" s="174" t="s">
        <v>668</v>
      </c>
      <c r="Q380" s="175" t="s">
        <v>3216</v>
      </c>
      <c r="R380" s="168" t="str">
        <f ca="1">IF(ISERROR($V380),"",OFFSET('Smelter Look-up'!$C$4,$V380-4,0)&amp;"")</f>
        <v>PT Refined Bangka Tin</v>
      </c>
      <c r="S380" s="167" t="str">
        <f t="shared" ca="1" si="54"/>
        <v>ID</v>
      </c>
      <c r="T380" s="167" t="str">
        <f ca="1">IF(B380="","",IF(ISERROR(MATCH($J380,SorP!$B$1:$B$6230,0)),"",INDIRECT("'SorP'!$A$"&amp;MATCH($J380,SorP!$B$1:$B$6230,0))))</f>
        <v>ID-BB</v>
      </c>
      <c r="U380" s="176"/>
      <c r="V380" s="177">
        <f>IF(C380="",NA(),IF(OR(C380="Smelter not listed",C380="Smelter not yet identified"),MATCH($B380&amp;$D380,'Smelter Look-up'!$J:$J,0),MATCH($B380&amp;$C380,'Smelter Look-up'!$J:$J,0)))</f>
        <v>502</v>
      </c>
      <c r="X380" s="140">
        <f t="shared" si="55"/>
        <v>0</v>
      </c>
      <c r="AB380" s="178" t="str">
        <f t="shared" si="56"/>
        <v>TinPT Refined Bangka Tin</v>
      </c>
    </row>
    <row r="381" spans="1:28" s="140" customFormat="1" ht="409.5">
      <c r="A381" s="167" t="s">
        <v>3219</v>
      </c>
      <c r="B381" s="168" t="s">
        <v>131</v>
      </c>
      <c r="C381" s="169" t="s">
        <v>3220</v>
      </c>
      <c r="D381" s="170" t="s">
        <v>3220</v>
      </c>
      <c r="E381" s="168" t="s">
        <v>192</v>
      </c>
      <c r="F381" s="168" t="s">
        <v>3219</v>
      </c>
      <c r="G381" s="168" t="s">
        <v>142</v>
      </c>
      <c r="H381" s="171" t="s">
        <v>3221</v>
      </c>
      <c r="I381" s="172" t="s">
        <v>3222</v>
      </c>
      <c r="J381" s="172" t="s">
        <v>1927</v>
      </c>
      <c r="K381" s="173" t="s">
        <v>3223</v>
      </c>
      <c r="L381" s="173" t="s">
        <v>3224</v>
      </c>
      <c r="M381" s="173" t="s">
        <v>3225</v>
      </c>
      <c r="N381" s="173" t="s">
        <v>3226</v>
      </c>
      <c r="O381" s="173" t="s">
        <v>3227</v>
      </c>
      <c r="P381" s="174" t="s">
        <v>151</v>
      </c>
      <c r="Q381" s="175" t="s">
        <v>3228</v>
      </c>
      <c r="R381" s="168" t="str">
        <f ca="1">IF(ISERROR($V381),"",OFFSET('Smelter Look-up'!$C$4,$V381-4,0)&amp;"")</f>
        <v>Chifeng Dajingzi Tin Industry Co., Ltd.</v>
      </c>
      <c r="S381" s="167" t="str">
        <f t="shared" ca="1" si="54"/>
        <v>CN</v>
      </c>
      <c r="T381" s="167" t="str">
        <f ca="1">IF(B381="","",IF(ISERROR(MATCH($J381,SorP!$B$1:$B$6230,0)),"",INDIRECT("'SorP'!$A$"&amp;MATCH($J381,SorP!$B$1:$B$6230,0))))</f>
        <v>CN-NM</v>
      </c>
      <c r="U381" s="176"/>
      <c r="V381" s="177">
        <f>IF(C381="",NA(),IF(OR(C381="Smelter not listed",C381="Smelter not yet identified"),MATCH($B381&amp;$D381,'Smelter Look-up'!$J:$J,0),MATCH($B381&amp;$C381,'Smelter Look-up'!$J:$J,0)))</f>
        <v>400</v>
      </c>
      <c r="X381" s="140">
        <f t="shared" si="55"/>
        <v>0</v>
      </c>
      <c r="AB381" s="178" t="str">
        <f t="shared" si="56"/>
        <v>TinChifeng Dajingzi Tin Industry Co., Ltd.</v>
      </c>
    </row>
    <row r="382" spans="1:28" s="140" customFormat="1" ht="153">
      <c r="A382" s="167" t="s">
        <v>3232</v>
      </c>
      <c r="B382" s="168" t="s">
        <v>131</v>
      </c>
      <c r="C382" s="169" t="s">
        <v>3230</v>
      </c>
      <c r="D382" s="170" t="s">
        <v>3230</v>
      </c>
      <c r="E382" s="168" t="s">
        <v>253</v>
      </c>
      <c r="F382" s="168" t="s">
        <v>3232</v>
      </c>
      <c r="G382" s="168" t="s">
        <v>114</v>
      </c>
      <c r="H382" s="171" t="s">
        <v>114</v>
      </c>
      <c r="I382" s="172" t="s">
        <v>114</v>
      </c>
      <c r="J382" s="172" t="s">
        <v>114</v>
      </c>
      <c r="K382" s="173"/>
      <c r="L382" s="173"/>
      <c r="M382" s="173"/>
      <c r="N382" s="173"/>
      <c r="O382" s="173"/>
      <c r="P382" s="174"/>
      <c r="Q382" s="175"/>
      <c r="R382" s="168" t="str">
        <f ca="1">IF(ISERROR($V382),"",OFFSET('Smelter Look-up'!$C$4,$V382-4,0)&amp;"")</f>
        <v>CRM Fundicao De Metais E Comercio De Equipamentos Eletronicos Do Brasil Ltda</v>
      </c>
      <c r="S382" s="167" t="str">
        <f t="shared" ca="1" si="54"/>
        <v>ID</v>
      </c>
      <c r="T382" s="167" t="str">
        <f ca="1">IF(B382="","",IF(ISERROR(MATCH($J382,SorP!$B$1:$B$6230,0)),"",INDIRECT("'SorP'!$A$"&amp;MATCH($J382,SorP!$B$1:$B$6230,0))))</f>
        <v/>
      </c>
      <c r="U382" s="176"/>
      <c r="V382" s="177">
        <f>IF(C382="",NA(),IF(OR(C382="Smelter not listed",C382="Smelter not yet identified"),MATCH($B382&amp;$D382,'Smelter Look-up'!$J:$J,0),MATCH($B382&amp;$C382,'Smelter Look-up'!$J:$J,0)))</f>
        <v>408</v>
      </c>
      <c r="X382" s="140">
        <f t="shared" si="55"/>
        <v>0</v>
      </c>
      <c r="AB382" s="178" t="str">
        <f t="shared" si="56"/>
        <v>TinCRM Fundicao De Metais E Comercio De Equipamentos Eletronicos Do Brasil Ltda</v>
      </c>
    </row>
    <row r="383" spans="1:28" s="140" customFormat="1" ht="153">
      <c r="A383" s="167" t="s">
        <v>3229</v>
      </c>
      <c r="B383" s="168" t="str">
        <f ca="1">IF(LEN(A383)=0,"",INDEX('Smelter Look-up'!$A:$A,MATCH($A383,'Smelter Look-up'!$E:$E,0)))</f>
        <v>Tin</v>
      </c>
      <c r="C383" s="169" t="str">
        <f ca="1">IF(LEN(A383)=0,"",INDEX('Smelter Look-up'!$C:$C,MATCH($A383,'Smelter Look-up'!$E:$E,0)))</f>
        <v>CRM Fundicao De Metais E Comercio De Equipamentos Eletronicos Do Brasil Ltda</v>
      </c>
      <c r="D383" s="170"/>
      <c r="E383" s="168" t="str">
        <f ca="1">IF(ISERROR($V383),"",OFFSET('Smelter Look-up'!$D$4,$V383-4,0)&amp;"")</f>
        <v>BRAZIL</v>
      </c>
      <c r="F383" s="168" t="str">
        <f ca="1">IF(ISERROR($V383),"",OFFSET('Smelter Look-up'!$E$4,$V383-4,0))</f>
        <v>CID003486</v>
      </c>
      <c r="G383" s="168" t="str">
        <f ca="1">IF(C383=$X$4,IF(ISERROR($V383),"Enter smelter details","RMI"),IF(ISERROR($V383),"",OFFSET('Smelter Look-up'!$F$4,$V383-4,0)))</f>
        <v>RMI</v>
      </c>
      <c r="H383" s="171">
        <f ca="1">IF(ISERROR($V383),"",OFFSET('Smelter Look-up'!$G$4,$V383-4,0))</f>
        <v>0</v>
      </c>
      <c r="I383" s="172" t="str">
        <f ca="1">IF(ISERROR($V383),"",OFFSET('Smelter Look-up'!$H$4,$V383-4,0))</f>
        <v>São José</v>
      </c>
      <c r="J383" s="172" t="str">
        <f ca="1">IF(ISERROR($V383),"",OFFSET('Smelter Look-up'!$I$4,$V383-4,0))</f>
        <v>Santa Catarina</v>
      </c>
      <c r="K383" s="173"/>
      <c r="L383" s="173"/>
      <c r="M383" s="173"/>
      <c r="N383" s="173"/>
      <c r="O383" s="173"/>
      <c r="P383" s="174"/>
      <c r="Q383" s="175"/>
      <c r="R383" s="168" t="str">
        <f ca="1">IF(ISERROR($V383),"",OFFSET('Smelter Look-up'!$C$4,$V383-4,0)&amp;"")</f>
        <v>CRM Fundicao De Metais E Comercio De Equipamentos Eletronicos Do Brasil Ltda</v>
      </c>
      <c r="S383" s="167" t="str">
        <f t="shared" ca="1" si="54"/>
        <v>BR</v>
      </c>
      <c r="T383" s="167" t="str">
        <f ca="1">IF(B383="","",IF(ISERROR(MATCH($J383,SorP!$B$1:$B$6230,0)),"",INDIRECT("'SorP'!$A$"&amp;MATCH($J383,SorP!$B$1:$B$6230,0))))</f>
        <v>BR-SC</v>
      </c>
      <c r="U383" s="176"/>
      <c r="V383" s="177">
        <f ca="1">IF(C383="",NA(),IF(OR(C383="Smelter not listed",C383="Smelter not yet identified"),MATCH($B383&amp;$D383,'Smelter Look-up'!$J:$J,0),MATCH($B383&amp;$C383,'Smelter Look-up'!$J:$J,0)))</f>
        <v>408</v>
      </c>
      <c r="X383" s="140">
        <f t="shared" ca="1" si="55"/>
        <v>0</v>
      </c>
      <c r="AB383" s="178" t="str">
        <f t="shared" ca="1" si="56"/>
        <v>TinCRM Fundicao De Metais E Comercio De Equipamentos Eletronicos Do Brasil Ltda</v>
      </c>
    </row>
    <row r="384" spans="1:28" s="140" customFormat="1" ht="38.25">
      <c r="A384" s="167" t="s">
        <v>965</v>
      </c>
      <c r="B384" s="168" t="str">
        <f ca="1">IF(LEN(A384)=0,"",INDEX('Smelter Look-up'!$A:$A,MATCH($A384,'Smelter Look-up'!$E:$E,0)))</f>
        <v>Tungsten</v>
      </c>
      <c r="C384" s="169" t="str">
        <f ca="1">IF(LEN(A384)=0,"",INDEX('Smelter Look-up'!$C:$C,MATCH($A384,'Smelter Look-up'!$E:$E,0)))</f>
        <v>A.L.M.T. Corp.</v>
      </c>
      <c r="D384" s="170"/>
      <c r="E384" s="168" t="str">
        <f ca="1">IF(ISERROR($V384),"",OFFSET('Smelter Look-up'!$D$4,$V384-4,0)&amp;"")</f>
        <v>JAPAN</v>
      </c>
      <c r="F384" s="168" t="str">
        <f ca="1">IF(ISERROR($V384),"",OFFSET('Smelter Look-up'!$E$4,$V384-4,0))</f>
        <v>CID000004</v>
      </c>
      <c r="G384" s="168" t="str">
        <f ca="1">IF(C384=$X$4,IF(ISERROR($V384),"Enter smelter details","RMI"),IF(ISERROR($V384),"",OFFSET('Smelter Look-up'!$F$4,$V384-4,0)))</f>
        <v>RMI</v>
      </c>
      <c r="H384" s="171">
        <f ca="1">IF(ISERROR($V384),"",OFFSET('Smelter Look-up'!$G$4,$V384-4,0))</f>
        <v>0</v>
      </c>
      <c r="I384" s="172" t="str">
        <f ca="1">IF(ISERROR($V384),"",OFFSET('Smelter Look-up'!$H$4,$V384-4,0))</f>
        <v>Toyama City</v>
      </c>
      <c r="J384" s="172" t="str">
        <f ca="1">IF(ISERROR($V384),"",OFFSET('Smelter Look-up'!$I$4,$V384-4,0))</f>
        <v>Toyama</v>
      </c>
      <c r="K384" s="173"/>
      <c r="L384" s="173"/>
      <c r="M384" s="173"/>
      <c r="N384" s="173"/>
      <c r="O384" s="173"/>
      <c r="P384" s="174"/>
      <c r="Q384" s="175"/>
      <c r="R384" s="168" t="str">
        <f ca="1">IF(ISERROR($V384),"",OFFSET('Smelter Look-up'!$C$4,$V384-4,0)&amp;"")</f>
        <v>A.L.M.T. Corp.</v>
      </c>
      <c r="S384" s="167" t="str">
        <f t="shared" ca="1" si="54"/>
        <v>JP</v>
      </c>
      <c r="T384" s="167" t="str">
        <f ca="1">IF(B384="","",IF(ISERROR(MATCH($J384,SorP!$B$1:$B$6230,0)),"",INDIRECT("'SorP'!$A$"&amp;MATCH($J384,SorP!$B$1:$B$6230,0))))</f>
        <v>JP-16</v>
      </c>
      <c r="U384" s="176"/>
      <c r="V384" s="177">
        <f ca="1">IF(C384="",NA(),IF(OR(C384="Smelter not listed",C384="Smelter not yet identified"),MATCH($B384&amp;$D384,'Smelter Look-up'!$J:$J,0),MATCH($B384&amp;$C384,'Smelter Look-up'!$J:$J,0)))</f>
        <v>554</v>
      </c>
      <c r="X384" s="140">
        <f t="shared" ca="1" si="55"/>
        <v>0</v>
      </c>
      <c r="AB384" s="178" t="str">
        <f t="shared" ca="1" si="56"/>
        <v>TungstenA.L.M.T. Corp.</v>
      </c>
    </row>
    <row r="385" spans="1:28" s="140" customFormat="1" ht="409.5">
      <c r="A385" s="167" t="s">
        <v>431</v>
      </c>
      <c r="B385" s="168" t="str">
        <f ca="1">IF(LEN(A385)=0,"",INDEX('Smelter Look-up'!$A:$A,MATCH($A385,'Smelter Look-up'!$E:$E,0)))</f>
        <v>Gold</v>
      </c>
      <c r="C385" s="169" t="str">
        <f ca="1">IF(LEN(A385)=0,"",INDEX('Smelter Look-up'!$C:$C,MATCH($A385,'Smelter Look-up'!$E:$E,0)))</f>
        <v>AngloGold Ashanti Corrego do Sitio Mineracao</v>
      </c>
      <c r="D385" s="170"/>
      <c r="E385" s="168" t="str">
        <f ca="1">IF(ISERROR($V385),"",OFFSET('Smelter Look-up'!$D$4,$V385-4,0)&amp;"")</f>
        <v>BRAZIL</v>
      </c>
      <c r="F385" s="168" t="str">
        <f ca="1">IF(ISERROR($V385),"",OFFSET('Smelter Look-up'!$E$4,$V385-4,0))</f>
        <v>CID000058</v>
      </c>
      <c r="G385" s="168" t="str">
        <f ca="1">IF(C385=$X$4,IF(ISERROR($V385),"Enter smelter details","RMI"),IF(ISERROR($V385),"",OFFSET('Smelter Look-up'!$F$4,$V385-4,0)))</f>
        <v>RMI</v>
      </c>
      <c r="H385" s="171">
        <f ca="1">IF(ISERROR($V385),"",OFFSET('Smelter Look-up'!$G$4,$V385-4,0))</f>
        <v>0</v>
      </c>
      <c r="I385" s="172" t="str">
        <f ca="1">IF(ISERROR($V385),"",OFFSET('Smelter Look-up'!$H$4,$V385-4,0))</f>
        <v>Nova Lima</v>
      </c>
      <c r="J385" s="172" t="str">
        <f ca="1">IF(ISERROR($V385),"",OFFSET('Smelter Look-up'!$I$4,$V385-4,0))</f>
        <v>Minas Gerais</v>
      </c>
      <c r="K385" s="173" t="s">
        <v>436</v>
      </c>
      <c r="L385" s="173" t="s">
        <v>437</v>
      </c>
      <c r="M385" s="173" t="s">
        <v>438</v>
      </c>
      <c r="N385" s="173" t="s">
        <v>439</v>
      </c>
      <c r="O385" s="173" t="s">
        <v>440</v>
      </c>
      <c r="P385" s="174" t="s">
        <v>151</v>
      </c>
      <c r="Q385" s="175" t="s">
        <v>441</v>
      </c>
      <c r="R385" s="168" t="str">
        <f ca="1">IF(ISERROR($V385),"",OFFSET('Smelter Look-up'!$C$4,$V385-4,0)&amp;"")</f>
        <v>AngloGold Ashanti Corrego do Sitio Mineracao</v>
      </c>
      <c r="S385" s="167" t="str">
        <f t="shared" ca="1" si="54"/>
        <v>BR</v>
      </c>
      <c r="T385" s="167" t="str">
        <f ca="1">IF(B385="","",IF(ISERROR(MATCH($J385,SorP!$B$1:$B$6230,0)),"",INDIRECT("'SorP'!$A$"&amp;MATCH($J385,SorP!$B$1:$B$6230,0))))</f>
        <v>BR-MG</v>
      </c>
      <c r="U385" s="176"/>
      <c r="V385" s="177">
        <f ca="1">IF(C385="",NA(),IF(OR(C385="Smelter not listed",C385="Smelter not yet identified"),MATCH($B385&amp;$D385,'Smelter Look-up'!$J:$J,0),MATCH($B385&amp;$C385,'Smelter Look-up'!$J:$J,0)))</f>
        <v>23</v>
      </c>
      <c r="X385" s="140">
        <f t="shared" ca="1" si="55"/>
        <v>0</v>
      </c>
      <c r="AB385" s="178" t="str">
        <f t="shared" ca="1" si="56"/>
        <v>GoldAngloGold Ashanti Corrego do Sitio Mineracao</v>
      </c>
    </row>
    <row r="386" spans="1:28" s="140" customFormat="1" ht="409.5">
      <c r="A386" s="167" t="s">
        <v>339</v>
      </c>
      <c r="B386" s="168" t="str">
        <f ca="1">IF(LEN(A386)=0,"",INDEX('Smelter Look-up'!$A:$A,MATCH($A386,'Smelter Look-up'!$E:$E,0)))</f>
        <v>Gold</v>
      </c>
      <c r="C386" s="169" t="str">
        <f ca="1">IF(LEN(A386)=0,"",INDEX('Smelter Look-up'!$C:$C,MATCH($A386,'Smelter Look-up'!$E:$E,0)))</f>
        <v>Asahi Pretec Corp.</v>
      </c>
      <c r="D386" s="170"/>
      <c r="E386" s="168" t="str">
        <f ca="1">IF(ISERROR($V386),"",OFFSET('Smelter Look-up'!$D$4,$V386-4,0)&amp;"")</f>
        <v>JAPAN</v>
      </c>
      <c r="F386" s="168" t="str">
        <f ca="1">IF(ISERROR($V386),"",OFFSET('Smelter Look-up'!$E$4,$V386-4,0))</f>
        <v>CID000082</v>
      </c>
      <c r="G386" s="168" t="str">
        <f ca="1">IF(C386=$X$4,IF(ISERROR($V386),"Enter smelter details","RMI"),IF(ISERROR($V386),"",OFFSET('Smelter Look-up'!$F$4,$V386-4,0)))</f>
        <v>RMI</v>
      </c>
      <c r="H386" s="171">
        <f ca="1">IF(ISERROR($V386),"",OFFSET('Smelter Look-up'!$G$4,$V386-4,0))</f>
        <v>0</v>
      </c>
      <c r="I386" s="172" t="str">
        <f ca="1">IF(ISERROR($V386),"",OFFSET('Smelter Look-up'!$H$4,$V386-4,0))</f>
        <v>Kobe</v>
      </c>
      <c r="J386" s="172" t="str">
        <f ca="1">IF(ISERROR($V386),"",OFFSET('Smelter Look-up'!$I$4,$V386-4,0))</f>
        <v>Hyogo</v>
      </c>
      <c r="K386" s="173" t="s">
        <v>341</v>
      </c>
      <c r="L386" s="173" t="s">
        <v>342</v>
      </c>
      <c r="M386" s="173" t="s">
        <v>343</v>
      </c>
      <c r="N386" s="173" t="s">
        <v>344</v>
      </c>
      <c r="O386" s="173" t="s">
        <v>345</v>
      </c>
      <c r="P386" s="174" t="s">
        <v>164</v>
      </c>
      <c r="Q386" s="175" t="s">
        <v>346</v>
      </c>
      <c r="R386" s="168" t="str">
        <f ca="1">IF(ISERROR($V386),"",OFFSET('Smelter Look-up'!$C$4,$V386-4,0)&amp;"")</f>
        <v>Asahi Pretec Corp.</v>
      </c>
      <c r="S386" s="167" t="str">
        <f t="shared" ca="1" si="54"/>
        <v>JP</v>
      </c>
      <c r="T386" s="167" t="str">
        <f ca="1">IF(B386="","",IF(ISERROR(MATCH($J386,SorP!$B$1:$B$6230,0)),"",INDIRECT("'SorP'!$A$"&amp;MATCH($J386,SorP!$B$1:$B$6230,0))))</f>
        <v>JP-28</v>
      </c>
      <c r="U386" s="176"/>
      <c r="V386" s="177">
        <f ca="1">IF(C386="",NA(),IF(OR(C386="Smelter not listed",C386="Smelter not yet identified"),MATCH($B386&amp;$D386,'Smelter Look-up'!$J:$J,0),MATCH($B386&amp;$C386,'Smelter Look-up'!$J:$J,0)))</f>
        <v>29</v>
      </c>
      <c r="X386" s="140">
        <f t="shared" ca="1" si="55"/>
        <v>0</v>
      </c>
      <c r="AB386" s="178" t="str">
        <f t="shared" ca="1" si="56"/>
        <v>GoldAsahi Pretec Corp.</v>
      </c>
    </row>
    <row r="387" spans="1:28" s="140" customFormat="1" ht="409.5">
      <c r="A387" s="167" t="s">
        <v>1911</v>
      </c>
      <c r="B387" s="168" t="str">
        <f ca="1">IF(LEN(A387)=0,"",INDEX('Smelter Look-up'!$A:$A,MATCH($A387,'Smelter Look-up'!$E:$E,0)))</f>
        <v>Gold</v>
      </c>
      <c r="C387" s="169" t="str">
        <f ca="1">IF(LEN(A387)=0,"",INDEX('Smelter Look-up'!$C:$C,MATCH($A387,'Smelter Look-up'!$E:$E,0)))</f>
        <v>Hunan Chenzhou Mining Co., Ltd.</v>
      </c>
      <c r="D387" s="170"/>
      <c r="E387" s="168" t="str">
        <f ca="1">IF(ISERROR($V387),"",OFFSET('Smelter Look-up'!$D$4,$V387-4,0)&amp;"")</f>
        <v>CHINA</v>
      </c>
      <c r="F387" s="168" t="str">
        <f ca="1">IF(ISERROR($V387),"",OFFSET('Smelter Look-up'!$E$4,$V387-4,0))</f>
        <v>CID000767</v>
      </c>
      <c r="G387" s="168" t="str">
        <f ca="1">IF(C387=$X$4,IF(ISERROR($V387),"Enter smelter details","RMI"),IF(ISERROR($V387),"",OFFSET('Smelter Look-up'!$F$4,$V387-4,0)))</f>
        <v>RMI</v>
      </c>
      <c r="H387" s="171">
        <f ca="1">IF(ISERROR($V387),"",OFFSET('Smelter Look-up'!$G$4,$V387-4,0))</f>
        <v>0</v>
      </c>
      <c r="I387" s="172" t="str">
        <f ca="1">IF(ISERROR($V387),"",OFFSET('Smelter Look-up'!$H$4,$V387-4,0))</f>
        <v>Yuanling</v>
      </c>
      <c r="J387" s="172" t="str">
        <f ca="1">IF(ISERROR($V387),"",OFFSET('Smelter Look-up'!$I$4,$V387-4,0))</f>
        <v>Hunan Sheng</v>
      </c>
      <c r="K387" s="173" t="s">
        <v>1914</v>
      </c>
      <c r="L387" s="173" t="s">
        <v>1915</v>
      </c>
      <c r="M387" s="173"/>
      <c r="N387" s="173" t="s">
        <v>220</v>
      </c>
      <c r="O387" s="173" t="s">
        <v>1916</v>
      </c>
      <c r="P387" s="174" t="s">
        <v>175</v>
      </c>
      <c r="Q387" s="175" t="s">
        <v>1917</v>
      </c>
      <c r="R387" s="168" t="str">
        <f ca="1">IF(ISERROR($V387),"",OFFSET('Smelter Look-up'!$C$4,$V387-4,0)&amp;"")</f>
        <v>Hunan Chenzhou Mining Co., Ltd.</v>
      </c>
      <c r="S387" s="167" t="str">
        <f t="shared" ca="1" si="54"/>
        <v>CN</v>
      </c>
      <c r="T387" s="167" t="str">
        <f ca="1">IF(B387="","",IF(ISERROR(MATCH($J387,SorP!$B$1:$B$6230,0)),"",INDIRECT("'SorP'!$A$"&amp;MATCH($J387,SorP!$B$1:$B$6230,0))))</f>
        <v>CN-HN</v>
      </c>
      <c r="U387" s="176"/>
      <c r="V387" s="177">
        <f ca="1">IF(C387="",NA(),IF(OR(C387="Smelter not listed",C387="Smelter not yet identified"),MATCH($B387&amp;$D387,'Smelter Look-up'!$J:$J,0),MATCH($B387&amp;$C387,'Smelter Look-up'!$J:$J,0)))</f>
        <v>110</v>
      </c>
      <c r="X387" s="140">
        <f t="shared" ca="1" si="55"/>
        <v>0</v>
      </c>
      <c r="AB387" s="178" t="str">
        <f t="shared" ca="1" si="56"/>
        <v>GoldHunan Chenzhou Mining Co., Ltd.</v>
      </c>
    </row>
    <row r="388" spans="1:28" s="140" customFormat="1" ht="51">
      <c r="A388" s="167" t="s">
        <v>190</v>
      </c>
      <c r="B388" s="168" t="str">
        <f ca="1">IF(LEN(A388)=0,"",INDEX('Smelter Look-up'!$A:$A,MATCH($A388,'Smelter Look-up'!$E:$E,0)))</f>
        <v>Gold</v>
      </c>
      <c r="C388" s="169" t="str">
        <f ca="1">IF(LEN(A388)=0,"",INDEX('Smelter Look-up'!$C:$C,MATCH($A388,'Smelter Look-up'!$E:$E,0)))</f>
        <v>Dongwu Gold Group</v>
      </c>
      <c r="D388" s="170"/>
      <c r="E388" s="168" t="str">
        <f ca="1">IF(ISERROR($V388),"",OFFSET('Smelter Look-up'!$D$4,$V388-4,0)&amp;"")</f>
        <v>CHINA</v>
      </c>
      <c r="F388" s="168" t="str">
        <f ca="1">IF(ISERROR($V388),"",OFFSET('Smelter Look-up'!$E$4,$V388-4,0))</f>
        <v>CID003663</v>
      </c>
      <c r="G388" s="168" t="str">
        <f ca="1">IF(C388=$X$4,IF(ISERROR($V388),"Enter smelter details","RMI"),IF(ISERROR($V388),"",OFFSET('Smelter Look-up'!$F$4,$V388-4,0)))</f>
        <v>RMI</v>
      </c>
      <c r="H388" s="171">
        <f ca="1">IF(ISERROR($V388),"",OFFSET('Smelter Look-up'!$G$4,$V388-4,0))</f>
        <v>0</v>
      </c>
      <c r="I388" s="172" t="str">
        <f ca="1">IF(ISERROR($V388),"",OFFSET('Smelter Look-up'!$H$4,$V388-4,0))</f>
        <v>Suzhou City</v>
      </c>
      <c r="J388" s="172" t="str">
        <f ca="1">IF(ISERROR($V388),"",OFFSET('Smelter Look-up'!$I$4,$V388-4,0))</f>
        <v>Jiangsu Sheng</v>
      </c>
      <c r="K388" s="173"/>
      <c r="L388" s="173"/>
      <c r="M388" s="173"/>
      <c r="N388" s="173"/>
      <c r="O388" s="173"/>
      <c r="P388" s="174"/>
      <c r="Q388" s="175"/>
      <c r="R388" s="168" t="str">
        <f ca="1">IF(ISERROR($V388),"",OFFSET('Smelter Look-up'!$C$4,$V388-4,0)&amp;"")</f>
        <v>Dongwu Gold Group</v>
      </c>
      <c r="S388" s="167" t="str">
        <f t="shared" ca="1" si="54"/>
        <v>CN</v>
      </c>
      <c r="T388" s="167" t="str">
        <f ca="1">IF(B388="","",IF(ISERROR(MATCH($J388,SorP!$B$1:$B$6230,0)),"",INDIRECT("'SorP'!$A$"&amp;MATCH($J388,SorP!$B$1:$B$6230,0))))</f>
        <v>CN-JS</v>
      </c>
      <c r="U388" s="176"/>
      <c r="V388" s="177">
        <f ca="1">IF(C388="",NA(),IF(OR(C388="Smelter not listed",C388="Smelter not yet identified"),MATCH($B388&amp;$D388,'Smelter Look-up'!$J:$J,0),MATCH($B388&amp;$C388,'Smelter Look-up'!$J:$J,0)))</f>
        <v>66</v>
      </c>
      <c r="X388" s="140">
        <f t="shared" ca="1" si="55"/>
        <v>0</v>
      </c>
      <c r="AB388" s="178" t="str">
        <f t="shared" ca="1" si="56"/>
        <v>GoldDongwu Gold Group</v>
      </c>
    </row>
    <row r="389" spans="1:28" s="140" customFormat="1" ht="51">
      <c r="A389" s="167" t="s">
        <v>211</v>
      </c>
      <c r="B389" s="168" t="str">
        <f ca="1">IF(LEN(A389)=0,"",INDEX('Smelter Look-up'!$A:$A,MATCH($A389,'Smelter Look-up'!$E:$E,0)))</f>
        <v>Gold</v>
      </c>
      <c r="C389" s="169" t="str">
        <f ca="1">IF(LEN(A389)=0,"",INDEX('Smelter Look-up'!$C:$C,MATCH($A389,'Smelter Look-up'!$E:$E,0)))</f>
        <v>Albino Mountinho Lda.</v>
      </c>
      <c r="D389" s="170"/>
      <c r="E389" s="168" t="str">
        <f ca="1">IF(ISERROR($V389),"",OFFSET('Smelter Look-up'!$D$4,$V389-4,0)&amp;"")</f>
        <v>PORTUGAL</v>
      </c>
      <c r="F389" s="168" t="str">
        <f ca="1">IF(ISERROR($V389),"",OFFSET('Smelter Look-up'!$E$4,$V389-4,0))</f>
        <v>CID002760</v>
      </c>
      <c r="G389" s="168" t="str">
        <f ca="1">IF(C389=$X$4,IF(ISERROR($V389),"Enter smelter details","RMI"),IF(ISERROR($V389),"",OFFSET('Smelter Look-up'!$F$4,$V389-4,0)))</f>
        <v>RMI</v>
      </c>
      <c r="H389" s="171">
        <f ca="1">IF(ISERROR($V389),"",OFFSET('Smelter Look-up'!$G$4,$V389-4,0))</f>
        <v>0</v>
      </c>
      <c r="I389" s="172" t="str">
        <f ca="1">IF(ISERROR($V389),"",OFFSET('Smelter Look-up'!$H$4,$V389-4,0))</f>
        <v>Gondomar</v>
      </c>
      <c r="J389" s="172" t="str">
        <f ca="1">IF(ISERROR($V389),"",OFFSET('Smelter Look-up'!$I$4,$V389-4,0))</f>
        <v>Porto</v>
      </c>
      <c r="K389" s="173"/>
      <c r="L389" s="173"/>
      <c r="M389" s="173"/>
      <c r="N389" s="173"/>
      <c r="O389" s="173"/>
      <c r="P389" s="174"/>
      <c r="Q389" s="175"/>
      <c r="R389" s="168" t="str">
        <f ca="1">IF(ISERROR($V389),"",OFFSET('Smelter Look-up'!$C$4,$V389-4,0)&amp;"")</f>
        <v>Albino Mountinho Lda.</v>
      </c>
      <c r="S389" s="167" t="str">
        <f t="shared" ca="1" si="54"/>
        <v>PT</v>
      </c>
      <c r="T389" s="167" t="str">
        <f ca="1">IF(B389="","",IF(ISERROR(MATCH($J389,SorP!$B$1:$B$6230,0)),"",INDIRECT("'SorP'!$A$"&amp;MATCH($J389,SorP!$B$1:$B$6230,0))))</f>
        <v>PT-13</v>
      </c>
      <c r="U389" s="176"/>
      <c r="V389" s="177">
        <f ca="1">IF(C389="",NA(),IF(OR(C389="Smelter not listed",C389="Smelter not yet identified"),MATCH($B389&amp;$D389,'Smelter Look-up'!$J:$J,0),MATCH($B389&amp;$C389,'Smelter Look-up'!$J:$J,0)))</f>
        <v>17</v>
      </c>
      <c r="X389" s="140">
        <f t="shared" ca="1" si="55"/>
        <v>0</v>
      </c>
      <c r="AB389" s="178" t="str">
        <f t="shared" ca="1" si="56"/>
        <v>GoldAlbino Mountinho Lda.</v>
      </c>
    </row>
    <row r="390" spans="1:28" s="140" customFormat="1" ht="25.5">
      <c r="A390" s="167" t="s">
        <v>215</v>
      </c>
      <c r="B390" s="168" t="str">
        <f ca="1">IF(LEN(A390)=0,"",INDEX('Smelter Look-up'!$A:$A,MATCH($A390,'Smelter Look-up'!$E:$E,0)))</f>
        <v>Gold</v>
      </c>
      <c r="C390" s="169" t="str">
        <f ca="1">IF(LEN(A390)=0,"",INDEX('Smelter Look-up'!$C:$C,MATCH($A390,'Smelter Look-up'!$E:$E,0)))</f>
        <v>Alexy Metals</v>
      </c>
      <c r="D390" s="170"/>
      <c r="E390" s="168" t="str">
        <f ca="1">IF(ISERROR($V390),"",OFFSET('Smelter Look-up'!$D$4,$V390-4,0)&amp;"")</f>
        <v>UNITED STATES OF AMERICA</v>
      </c>
      <c r="F390" s="168" t="str">
        <f ca="1">IF(ISERROR($V390),"",OFFSET('Smelter Look-up'!$E$4,$V390-4,0))</f>
        <v>CID003500</v>
      </c>
      <c r="G390" s="168" t="str">
        <f ca="1">IF(C390=$X$4,IF(ISERROR($V390),"Enter smelter details","RMI"),IF(ISERROR($V390),"",OFFSET('Smelter Look-up'!$F$4,$V390-4,0)))</f>
        <v>RMI</v>
      </c>
      <c r="H390" s="171">
        <f ca="1">IF(ISERROR($V390),"",OFFSET('Smelter Look-up'!$G$4,$V390-4,0))</f>
        <v>0</v>
      </c>
      <c r="I390" s="172" t="str">
        <f ca="1">IF(ISERROR($V390),"",OFFSET('Smelter Look-up'!$H$4,$V390-4,0))</f>
        <v>Mentor</v>
      </c>
      <c r="J390" s="172" t="str">
        <f ca="1">IF(ISERROR($V390),"",OFFSET('Smelter Look-up'!$I$4,$V390-4,0))</f>
        <v>Ohio</v>
      </c>
      <c r="K390" s="173"/>
      <c r="L390" s="173"/>
      <c r="M390" s="173"/>
      <c r="N390" s="173"/>
      <c r="O390" s="173"/>
      <c r="P390" s="174"/>
      <c r="Q390" s="175"/>
      <c r="R390" s="168" t="str">
        <f ca="1">IF(ISERROR($V390),"",OFFSET('Smelter Look-up'!$C$4,$V390-4,0)&amp;"")</f>
        <v>Alexy Metals</v>
      </c>
      <c r="S390" s="167" t="str">
        <f t="shared" ca="1" si="54"/>
        <v>US</v>
      </c>
      <c r="T390" s="167" t="str">
        <f ca="1">IF(B390="","",IF(ISERROR(MATCH($J390,SorP!$B$1:$B$6230,0)),"",INDIRECT("'SorP'!$A$"&amp;MATCH($J390,SorP!$B$1:$B$6230,0))))</f>
        <v>US-OH</v>
      </c>
      <c r="U390" s="176"/>
      <c r="V390" s="177">
        <f ca="1">IF(C390="",NA(),IF(OR(C390="Smelter not listed",C390="Smelter not yet identified"),MATCH($B390&amp;$D390,'Smelter Look-up'!$J:$J,0),MATCH($B390&amp;$C390,'Smelter Look-up'!$J:$J,0)))</f>
        <v>18</v>
      </c>
      <c r="X390" s="140">
        <f t="shared" ca="1" si="55"/>
        <v>0</v>
      </c>
      <c r="AB390" s="178" t="str">
        <f t="shared" ca="1" si="56"/>
        <v>GoldAlexy Metals</v>
      </c>
    </row>
    <row r="391" spans="1:28" s="140" customFormat="1" ht="89.25">
      <c r="A391" s="167" t="s">
        <v>224</v>
      </c>
      <c r="B391" s="168" t="str">
        <f ca="1">IF(LEN(A391)=0,"",INDEX('Smelter Look-up'!$A:$A,MATCH($A391,'Smelter Look-up'!$E:$E,0)))</f>
        <v>Gold</v>
      </c>
      <c r="C391" s="169" t="str">
        <f ca="1">IF(LEN(A391)=0,"",INDEX('Smelter Look-up'!$C:$C,MATCH($A391,'Smelter Look-up'!$E:$E,0)))</f>
        <v>Emerald Jewel Industry India Limited (Unit 4)</v>
      </c>
      <c r="D391" s="170"/>
      <c r="E391" s="168" t="str">
        <f ca="1">IF(ISERROR($V391),"",OFFSET('Smelter Look-up'!$D$4,$V391-4,0)&amp;"")</f>
        <v>INDIA</v>
      </c>
      <c r="F391" s="168" t="str">
        <f ca="1">IF(ISERROR($V391),"",OFFSET('Smelter Look-up'!$E$4,$V391-4,0))</f>
        <v>CID003490</v>
      </c>
      <c r="G391" s="168" t="str">
        <f ca="1">IF(C391=$X$4,IF(ISERROR($V391),"Enter smelter details","RMI"),IF(ISERROR($V391),"",OFFSET('Smelter Look-up'!$F$4,$V391-4,0)))</f>
        <v>RMI</v>
      </c>
      <c r="H391" s="171">
        <f ca="1">IF(ISERROR($V391),"",OFFSET('Smelter Look-up'!$G$4,$V391-4,0))</f>
        <v>0</v>
      </c>
      <c r="I391" s="172" t="str">
        <f ca="1">IF(ISERROR($V391),"",OFFSET('Smelter Look-up'!$H$4,$V391-4,0))</f>
        <v>Coimbatore</v>
      </c>
      <c r="J391" s="172" t="str">
        <f ca="1">IF(ISERROR($V391),"",OFFSET('Smelter Look-up'!$I$4,$V391-4,0))</f>
        <v>Tamil Nadu</v>
      </c>
      <c r="K391" s="173"/>
      <c r="L391" s="173"/>
      <c r="M391" s="173"/>
      <c r="N391" s="173"/>
      <c r="O391" s="173"/>
      <c r="P391" s="174"/>
      <c r="Q391" s="175"/>
      <c r="R391" s="168" t="str">
        <f ca="1">IF(ISERROR($V391),"",OFFSET('Smelter Look-up'!$C$4,$V391-4,0)&amp;"")</f>
        <v>Emerald Jewel Industry India Limited (Unit 4)</v>
      </c>
      <c r="S391" s="167" t="str">
        <f t="shared" ca="1" si="54"/>
        <v>IN</v>
      </c>
      <c r="T391" s="167" t="str">
        <f ca="1">IF(B391="","",IF(ISERROR(MATCH($J391,SorP!$B$1:$B$6230,0)),"",INDIRECT("'SorP'!$A$"&amp;MATCH($J391,SorP!$B$1:$B$6230,0))))</f>
        <v>IN-TN</v>
      </c>
      <c r="U391" s="176"/>
      <c r="V391" s="177">
        <f ca="1">IF(C391="",NA(),IF(OR(C391="Smelter not listed",C391="Smelter not yet identified"),MATCH($B391&amp;$D391,'Smelter Look-up'!$J:$J,0),MATCH($B391&amp;$C391,'Smelter Look-up'!$J:$J,0)))</f>
        <v>80</v>
      </c>
      <c r="X391" s="140">
        <f t="shared" ca="1" si="55"/>
        <v>0</v>
      </c>
      <c r="AB391" s="178" t="str">
        <f t="shared" ca="1" si="56"/>
        <v>GoldEmerald Jewel Industry India Limited (Unit 4)</v>
      </c>
    </row>
    <row r="392" spans="1:28" s="140" customFormat="1" ht="89.25">
      <c r="A392" s="167" t="s">
        <v>262</v>
      </c>
      <c r="B392" s="168" t="str">
        <f ca="1">IF(LEN(A392)=0,"",INDEX('Smelter Look-up'!$A:$A,MATCH($A392,'Smelter Look-up'!$E:$E,0)))</f>
        <v>Gold</v>
      </c>
      <c r="C392" s="169" t="str">
        <f ca="1">IF(LEN(A392)=0,"",INDEX('Smelter Look-up'!$C:$C,MATCH($A392,'Smelter Look-up'!$E:$E,0)))</f>
        <v>Eco-System Recycling Co., Ltd. East Plant</v>
      </c>
      <c r="D392" s="170"/>
      <c r="E392" s="168" t="str">
        <f ca="1">IF(ISERROR($V392),"",OFFSET('Smelter Look-up'!$D$4,$V392-4,0)&amp;"")</f>
        <v>JAPAN</v>
      </c>
      <c r="F392" s="168" t="str">
        <f ca="1">IF(ISERROR($V392),"",OFFSET('Smelter Look-up'!$E$4,$V392-4,0))</f>
        <v>CID000425</v>
      </c>
      <c r="G392" s="168" t="str">
        <f ca="1">IF(C392=$X$4,IF(ISERROR($V392),"Enter smelter details","RMI"),IF(ISERROR($V392),"",OFFSET('Smelter Look-up'!$F$4,$V392-4,0)))</f>
        <v>RMI</v>
      </c>
      <c r="H392" s="171">
        <f ca="1">IF(ISERROR($V392),"",OFFSET('Smelter Look-up'!$G$4,$V392-4,0))</f>
        <v>0</v>
      </c>
      <c r="I392" s="172" t="str">
        <f ca="1">IF(ISERROR($V392),"",OFFSET('Smelter Look-up'!$H$4,$V392-4,0))</f>
        <v>Honjo</v>
      </c>
      <c r="J392" s="172" t="str">
        <f ca="1">IF(ISERROR($V392),"",OFFSET('Smelter Look-up'!$I$4,$V392-4,0))</f>
        <v>Saitama</v>
      </c>
      <c r="K392" s="173"/>
      <c r="L392" s="173"/>
      <c r="M392" s="173"/>
      <c r="N392" s="173"/>
      <c r="O392" s="173"/>
      <c r="P392" s="174"/>
      <c r="Q392" s="175"/>
      <c r="R392" s="168" t="str">
        <f ca="1">IF(ISERROR($V392),"",OFFSET('Smelter Look-up'!$C$4,$V392-4,0)&amp;"")</f>
        <v>Eco-System Recycling Co., Ltd. East Plant</v>
      </c>
      <c r="S392" s="167" t="str">
        <f t="shared" ref="S392:S417" ca="1" si="57">IF(B392="","",IF(ISERROR(MATCH($E392,CL,0)),"Unknown",INDIRECT("'C'!$A$"&amp;MATCH($E392,CL,0)+1)))</f>
        <v>JP</v>
      </c>
      <c r="T392" s="167" t="str">
        <f ca="1">IF(B392="","",IF(ISERROR(MATCH($J392,SorP!$B$1:$B$6230,0)),"",INDIRECT("'SorP'!$A$"&amp;MATCH($J392,SorP!$B$1:$B$6230,0))))</f>
        <v>JP-11</v>
      </c>
      <c r="U392" s="176"/>
      <c r="V392" s="177">
        <f ca="1">IF(C392="",NA(),IF(OR(C392="Smelter not listed",C392="Smelter not yet identified"),MATCH($B392&amp;$D392,'Smelter Look-up'!$J:$J,0),MATCH($B392&amp;$C392,'Smelter Look-up'!$J:$J,0)))</f>
        <v>73</v>
      </c>
      <c r="X392" s="140">
        <f t="shared" ref="X392:X417" ca="1" si="58">IF(AND(C392="Smelter not listed",OR(LEN(D392)=0,LEN(E392)=0)),1,0)</f>
        <v>0</v>
      </c>
      <c r="AB392" s="178" t="str">
        <f t="shared" ref="AB392:AB417" ca="1" si="59">B392&amp;C392</f>
        <v>GoldEco-System Recycling Co., Ltd. East Plant</v>
      </c>
    </row>
    <row r="393" spans="1:28" s="140" customFormat="1" ht="89.25">
      <c r="A393" s="167" t="s">
        <v>291</v>
      </c>
      <c r="B393" s="168" t="str">
        <f ca="1">IF(LEN(A393)=0,"",INDEX('Smelter Look-up'!$A:$A,MATCH($A393,'Smelter Look-up'!$E:$E,0)))</f>
        <v>Gold</v>
      </c>
      <c r="C393" s="169" t="str">
        <f ca="1">IF(LEN(A393)=0,"",INDEX('Smelter Look-up'!$C:$C,MATCH($A393,'Smelter Look-up'!$E:$E,0)))</f>
        <v>Emerald Jewel Industry India Limited (Unit 1)</v>
      </c>
      <c r="D393" s="170"/>
      <c r="E393" s="168" t="str">
        <f ca="1">IF(ISERROR($V393),"",OFFSET('Smelter Look-up'!$D$4,$V393-4,0)&amp;"")</f>
        <v>INDIA</v>
      </c>
      <c r="F393" s="168" t="str">
        <f ca="1">IF(ISERROR($V393),"",OFFSET('Smelter Look-up'!$E$4,$V393-4,0))</f>
        <v>CID003487</v>
      </c>
      <c r="G393" s="168" t="str">
        <f ca="1">IF(C393=$X$4,IF(ISERROR($V393),"Enter smelter details","RMI"),IF(ISERROR($V393),"",OFFSET('Smelter Look-up'!$F$4,$V393-4,0)))</f>
        <v>RMI</v>
      </c>
      <c r="H393" s="171">
        <f ca="1">IF(ISERROR($V393),"",OFFSET('Smelter Look-up'!$G$4,$V393-4,0))</f>
        <v>0</v>
      </c>
      <c r="I393" s="172" t="str">
        <f ca="1">IF(ISERROR($V393),"",OFFSET('Smelter Look-up'!$H$4,$V393-4,0))</f>
        <v>Coimbatore</v>
      </c>
      <c r="J393" s="172" t="str">
        <f ca="1">IF(ISERROR($V393),"",OFFSET('Smelter Look-up'!$I$4,$V393-4,0))</f>
        <v>Tamil Nadu</v>
      </c>
      <c r="K393" s="173"/>
      <c r="L393" s="173"/>
      <c r="M393" s="173"/>
      <c r="N393" s="173"/>
      <c r="O393" s="173"/>
      <c r="P393" s="174"/>
      <c r="Q393" s="175"/>
      <c r="R393" s="168" t="str">
        <f ca="1">IF(ISERROR($V393),"",OFFSET('Smelter Look-up'!$C$4,$V393-4,0)&amp;"")</f>
        <v>Emerald Jewel Industry India Limited (Unit 1)</v>
      </c>
      <c r="S393" s="167" t="str">
        <f t="shared" ca="1" si="57"/>
        <v>IN</v>
      </c>
      <c r="T393" s="167" t="str">
        <f ca="1">IF(B393="","",IF(ISERROR(MATCH($J393,SorP!$B$1:$B$6230,0)),"",INDIRECT("'SorP'!$A$"&amp;MATCH($J393,SorP!$B$1:$B$6230,0))))</f>
        <v>IN-TN</v>
      </c>
      <c r="U393" s="176"/>
      <c r="V393" s="177">
        <f ca="1">IF(C393="",NA(),IF(OR(C393="Smelter not listed",C393="Smelter not yet identified"),MATCH($B393&amp;$D393,'Smelter Look-up'!$J:$J,0),MATCH($B393&amp;$C393,'Smelter Look-up'!$J:$J,0)))</f>
        <v>77</v>
      </c>
      <c r="X393" s="140">
        <f t="shared" ca="1" si="58"/>
        <v>0</v>
      </c>
      <c r="AB393" s="178" t="str">
        <f t="shared" ca="1" si="59"/>
        <v>GoldEmerald Jewel Industry India Limited (Unit 1)</v>
      </c>
    </row>
    <row r="394" spans="1:28" s="140" customFormat="1" ht="89.25">
      <c r="A394" s="167" t="s">
        <v>293</v>
      </c>
      <c r="B394" s="168" t="str">
        <f ca="1">IF(LEN(A394)=0,"",INDEX('Smelter Look-up'!$A:$A,MATCH($A394,'Smelter Look-up'!$E:$E,0)))</f>
        <v>Gold</v>
      </c>
      <c r="C394" s="169" t="str">
        <f ca="1">IF(LEN(A394)=0,"",INDEX('Smelter Look-up'!$C:$C,MATCH($A394,'Smelter Look-up'!$E:$E,0)))</f>
        <v>Emerald Jewel Industry India Limited (Unit 2)</v>
      </c>
      <c r="D394" s="170"/>
      <c r="E394" s="168" t="str">
        <f ca="1">IF(ISERROR($V394),"",OFFSET('Smelter Look-up'!$D$4,$V394-4,0)&amp;"")</f>
        <v>INDIA</v>
      </c>
      <c r="F394" s="168" t="str">
        <f ca="1">IF(ISERROR($V394),"",OFFSET('Smelter Look-up'!$E$4,$V394-4,0))</f>
        <v>CID003488</v>
      </c>
      <c r="G394" s="168" t="str">
        <f ca="1">IF(C394=$X$4,IF(ISERROR($V394),"Enter smelter details","RMI"),IF(ISERROR($V394),"",OFFSET('Smelter Look-up'!$F$4,$V394-4,0)))</f>
        <v>RMI</v>
      </c>
      <c r="H394" s="171">
        <f ca="1">IF(ISERROR($V394),"",OFFSET('Smelter Look-up'!$G$4,$V394-4,0))</f>
        <v>0</v>
      </c>
      <c r="I394" s="172" t="str">
        <f ca="1">IF(ISERROR($V394),"",OFFSET('Smelter Look-up'!$H$4,$V394-4,0))</f>
        <v>Coimbatore</v>
      </c>
      <c r="J394" s="172" t="str">
        <f ca="1">IF(ISERROR($V394),"",OFFSET('Smelter Look-up'!$I$4,$V394-4,0))</f>
        <v>Tamil Nadu</v>
      </c>
      <c r="K394" s="173"/>
      <c r="L394" s="173"/>
      <c r="M394" s="173"/>
      <c r="N394" s="173"/>
      <c r="O394" s="173"/>
      <c r="P394" s="174"/>
      <c r="Q394" s="175"/>
      <c r="R394" s="168" t="str">
        <f ca="1">IF(ISERROR($V394),"",OFFSET('Smelter Look-up'!$C$4,$V394-4,0)&amp;"")</f>
        <v>Emerald Jewel Industry India Limited (Unit 2)</v>
      </c>
      <c r="S394" s="167" t="str">
        <f t="shared" ca="1" si="57"/>
        <v>IN</v>
      </c>
      <c r="T394" s="167" t="str">
        <f ca="1">IF(B394="","",IF(ISERROR(MATCH($J394,SorP!$B$1:$B$6230,0)),"",INDIRECT("'SorP'!$A$"&amp;MATCH($J394,SorP!$B$1:$B$6230,0))))</f>
        <v>IN-TN</v>
      </c>
      <c r="U394" s="176"/>
      <c r="V394" s="177">
        <f ca="1">IF(C394="",NA(),IF(OR(C394="Smelter not listed",C394="Smelter not yet identified"),MATCH($B394&amp;$D394,'Smelter Look-up'!$J:$J,0),MATCH($B394&amp;$C394,'Smelter Look-up'!$J:$J,0)))</f>
        <v>78</v>
      </c>
      <c r="X394" s="140">
        <f t="shared" ca="1" si="58"/>
        <v>0</v>
      </c>
      <c r="AB394" s="178" t="str">
        <f t="shared" ca="1" si="59"/>
        <v>GoldEmerald Jewel Industry India Limited (Unit 2)</v>
      </c>
    </row>
    <row r="395" spans="1:28" s="140" customFormat="1" ht="89.25">
      <c r="A395" s="167" t="s">
        <v>295</v>
      </c>
      <c r="B395" s="168" t="str">
        <f ca="1">IF(LEN(A395)=0,"",INDEX('Smelter Look-up'!$A:$A,MATCH($A395,'Smelter Look-up'!$E:$E,0)))</f>
        <v>Gold</v>
      </c>
      <c r="C395" s="169" t="str">
        <f ca="1">IF(LEN(A395)=0,"",INDEX('Smelter Look-up'!$C:$C,MATCH($A395,'Smelter Look-up'!$E:$E,0)))</f>
        <v>Emerald Jewel Industry India Limited (Unit 3)</v>
      </c>
      <c r="D395" s="170"/>
      <c r="E395" s="168" t="str">
        <f ca="1">IF(ISERROR($V395),"",OFFSET('Smelter Look-up'!$D$4,$V395-4,0)&amp;"")</f>
        <v>INDIA</v>
      </c>
      <c r="F395" s="168" t="str">
        <f ca="1">IF(ISERROR($V395),"",OFFSET('Smelter Look-up'!$E$4,$V395-4,0))</f>
        <v>CID003489</v>
      </c>
      <c r="G395" s="168" t="str">
        <f ca="1">IF(C395=$X$4,IF(ISERROR($V395),"Enter smelter details","RMI"),IF(ISERROR($V395),"",OFFSET('Smelter Look-up'!$F$4,$V395-4,0)))</f>
        <v>RMI</v>
      </c>
      <c r="H395" s="171">
        <f ca="1">IF(ISERROR($V395),"",OFFSET('Smelter Look-up'!$G$4,$V395-4,0))</f>
        <v>0</v>
      </c>
      <c r="I395" s="172" t="str">
        <f ca="1">IF(ISERROR($V395),"",OFFSET('Smelter Look-up'!$H$4,$V395-4,0))</f>
        <v>Coimbatore</v>
      </c>
      <c r="J395" s="172" t="str">
        <f ca="1">IF(ISERROR($V395),"",OFFSET('Smelter Look-up'!$I$4,$V395-4,0))</f>
        <v>Tamil Nadu</v>
      </c>
      <c r="K395" s="173"/>
      <c r="L395" s="173"/>
      <c r="M395" s="173"/>
      <c r="N395" s="173"/>
      <c r="O395" s="173"/>
      <c r="P395" s="174"/>
      <c r="Q395" s="175"/>
      <c r="R395" s="168" t="str">
        <f ca="1">IF(ISERROR($V395),"",OFFSET('Smelter Look-up'!$C$4,$V395-4,0)&amp;"")</f>
        <v>Emerald Jewel Industry India Limited (Unit 3)</v>
      </c>
      <c r="S395" s="167" t="str">
        <f t="shared" ca="1" si="57"/>
        <v>IN</v>
      </c>
      <c r="T395" s="167" t="str">
        <f ca="1">IF(B395="","",IF(ISERROR(MATCH($J395,SorP!$B$1:$B$6230,0)),"",INDIRECT("'SorP'!$A$"&amp;MATCH($J395,SorP!$B$1:$B$6230,0))))</f>
        <v>IN-TN</v>
      </c>
      <c r="U395" s="176"/>
      <c r="V395" s="177">
        <f ca="1">IF(C395="",NA(),IF(OR(C395="Smelter not listed",C395="Smelter not yet identified"),MATCH($B395&amp;$D395,'Smelter Look-up'!$J:$J,0),MATCH($B395&amp;$C395,'Smelter Look-up'!$J:$J,0)))</f>
        <v>79</v>
      </c>
      <c r="X395" s="140">
        <f t="shared" ca="1" si="58"/>
        <v>0</v>
      </c>
      <c r="AB395" s="178" t="str">
        <f t="shared" ca="1" si="59"/>
        <v>GoldEmerald Jewel Industry India Limited (Unit 3)</v>
      </c>
    </row>
    <row r="396" spans="1:28" s="140" customFormat="1" ht="89.25">
      <c r="A396" s="167" t="s">
        <v>309</v>
      </c>
      <c r="B396" s="168" t="str">
        <f ca="1">IF(LEN(A396)=0,"",INDEX('Smelter Look-up'!$A:$A,MATCH($A396,'Smelter Look-up'!$E:$E,0)))</f>
        <v>Gold</v>
      </c>
      <c r="C396" s="169" t="str">
        <f ca="1">IF(LEN(A396)=0,"",INDEX('Smelter Look-up'!$C:$C,MATCH($A396,'Smelter Look-up'!$E:$E,0)))</f>
        <v>C.I Metales Procesados Industriales SAS</v>
      </c>
      <c r="D396" s="170"/>
      <c r="E396" s="168" t="str">
        <f ca="1">IF(ISERROR($V396),"",OFFSET('Smelter Look-up'!$D$4,$V396-4,0)&amp;"")</f>
        <v>COLOMBIA</v>
      </c>
      <c r="F396" s="168" t="str">
        <f ca="1">IF(ISERROR($V396),"",OFFSET('Smelter Look-up'!$E$4,$V396-4,0))</f>
        <v>CID003421</v>
      </c>
      <c r="G396" s="168" t="str">
        <f ca="1">IF(C396=$X$4,IF(ISERROR($V396),"Enter smelter details","RMI"),IF(ISERROR($V396),"",OFFSET('Smelter Look-up'!$F$4,$V396-4,0)))</f>
        <v>RMI</v>
      </c>
      <c r="H396" s="171">
        <f ca="1">IF(ISERROR($V396),"",OFFSET('Smelter Look-up'!$G$4,$V396-4,0))</f>
        <v>0</v>
      </c>
      <c r="I396" s="172" t="str">
        <f ca="1">IF(ISERROR($V396),"",OFFSET('Smelter Look-up'!$H$4,$V396-4,0))</f>
        <v>Cota</v>
      </c>
      <c r="J396" s="172" t="str">
        <f ca="1">IF(ISERROR($V396),"",OFFSET('Smelter Look-up'!$I$4,$V396-4,0))</f>
        <v>Cundinamarca</v>
      </c>
      <c r="K396" s="173"/>
      <c r="L396" s="173"/>
      <c r="M396" s="173"/>
      <c r="N396" s="173"/>
      <c r="O396" s="173"/>
      <c r="P396" s="174"/>
      <c r="Q396" s="175"/>
      <c r="R396" s="168" t="str">
        <f ca="1">IF(ISERROR($V396),"",OFFSET('Smelter Look-up'!$C$4,$V396-4,0)&amp;"")</f>
        <v>C.I Metales Procesados Industriales SAS</v>
      </c>
      <c r="S396" s="167" t="str">
        <f t="shared" ca="1" si="57"/>
        <v>CO</v>
      </c>
      <c r="T396" s="167" t="str">
        <f ca="1">IF(B396="","",IF(ISERROR(MATCH($J396,SorP!$B$1:$B$6230,0)),"",INDIRECT("'SorP'!$A$"&amp;MATCH($J396,SorP!$B$1:$B$6230,0))))</f>
        <v>CO-CUN</v>
      </c>
      <c r="U396" s="176"/>
      <c r="V396" s="177">
        <f ca="1">IF(C396="",NA(),IF(OR(C396="Smelter not listed",C396="Smelter not yet identified"),MATCH($B396&amp;$D396,'Smelter Look-up'!$J:$J,0),MATCH($B396&amp;$C396,'Smelter Look-up'!$J:$J,0)))</f>
        <v>44</v>
      </c>
      <c r="X396" s="140">
        <f t="shared" ca="1" si="58"/>
        <v>0</v>
      </c>
      <c r="AB396" s="178" t="str">
        <f t="shared" ca="1" si="59"/>
        <v>GoldC.I Metales Procesados Industriales SAS</v>
      </c>
    </row>
    <row r="397" spans="1:28" s="140" customFormat="1" ht="76.5">
      <c r="A397" s="167" t="s">
        <v>446</v>
      </c>
      <c r="B397" s="168" t="str">
        <f ca="1">IF(LEN(A397)=0,"",INDEX('Smelter Look-up'!$A:$A,MATCH($A397,'Smelter Look-up'!$E:$E,0)))</f>
        <v>Gold</v>
      </c>
      <c r="C397" s="169" t="str">
        <f ca="1">IF(LEN(A397)=0,"",INDEX('Smelter Look-up'!$C:$C,MATCH($A397,'Smelter Look-up'!$E:$E,0)))</f>
        <v>Shandong Humon Smelting Co., Ltd.</v>
      </c>
      <c r="D397" s="170"/>
      <c r="E397" s="168" t="str">
        <f ca="1">IF(ISERROR($V397),"",OFFSET('Smelter Look-up'!$D$4,$V397-4,0)&amp;"")</f>
        <v>CHINA</v>
      </c>
      <c r="F397" s="168" t="str">
        <f ca="1">IF(ISERROR($V397),"",OFFSET('Smelter Look-up'!$E$4,$V397-4,0))</f>
        <v>CID002525</v>
      </c>
      <c r="G397" s="168" t="str">
        <f ca="1">IF(C397=$X$4,IF(ISERROR($V397),"Enter smelter details","RMI"),IF(ISERROR($V397),"",OFFSET('Smelter Look-up'!$F$4,$V397-4,0)))</f>
        <v>RMI</v>
      </c>
      <c r="H397" s="171">
        <f ca="1">IF(ISERROR($V397),"",OFFSET('Smelter Look-up'!$G$4,$V397-4,0))</f>
        <v>0</v>
      </c>
      <c r="I397" s="172" t="str">
        <f ca="1">IF(ISERROR($V397),"",OFFSET('Smelter Look-up'!$H$4,$V397-4,0))</f>
        <v>Laizhou</v>
      </c>
      <c r="J397" s="172" t="str">
        <f ca="1">IF(ISERROR($V397),"",OFFSET('Smelter Look-up'!$I$4,$V397-4,0))</f>
        <v>Shandong Sheng</v>
      </c>
      <c r="K397" s="173"/>
      <c r="L397" s="173"/>
      <c r="M397" s="173"/>
      <c r="N397" s="173"/>
      <c r="O397" s="173"/>
      <c r="P397" s="174"/>
      <c r="Q397" s="175"/>
      <c r="R397" s="168" t="str">
        <f ca="1">IF(ISERROR($V397),"",OFFSET('Smelter Look-up'!$C$4,$V397-4,0)&amp;"")</f>
        <v>Shandong Humon Smelting Co., Ltd.</v>
      </c>
      <c r="S397" s="167" t="str">
        <f t="shared" ca="1" si="57"/>
        <v>CN</v>
      </c>
      <c r="T397" s="167" t="str">
        <f ca="1">IF(B397="","",IF(ISERROR(MATCH($J397,SorP!$B$1:$B$6230,0)),"",INDIRECT("'SorP'!$A$"&amp;MATCH($J397,SorP!$B$1:$B$6230,0))))</f>
        <v>CN-SD</v>
      </c>
      <c r="U397" s="176"/>
      <c r="V397" s="177">
        <f ca="1">IF(C397="",NA(),IF(OR(C397="Smelter not listed",C397="Smelter not yet identified"),MATCH($B397&amp;$D397,'Smelter Look-up'!$J:$J,0),MATCH($B397&amp;$C397,'Smelter Look-up'!$J:$J,0)))</f>
        <v>242</v>
      </c>
      <c r="X397" s="140">
        <f t="shared" ca="1" si="58"/>
        <v>0</v>
      </c>
      <c r="AB397" s="178" t="str">
        <f t="shared" ca="1" si="59"/>
        <v>GoldShandong Humon Smelting Co., Ltd.</v>
      </c>
    </row>
    <row r="398" spans="1:28" s="140" customFormat="1" ht="38.25">
      <c r="A398" s="167" t="s">
        <v>472</v>
      </c>
      <c r="B398" s="168" t="str">
        <f ca="1">IF(LEN(A398)=0,"",INDEX('Smelter Look-up'!$A:$A,MATCH($A398,'Smelter Look-up'!$E:$E,0)))</f>
        <v>Gold</v>
      </c>
      <c r="C398" s="169" t="str">
        <f ca="1">IF(LEN(A398)=0,"",INDEX('Smelter Look-up'!$C:$C,MATCH($A398,'Smelter Look-up'!$E:$E,0)))</f>
        <v>ABC Refinery Pty Ltd.</v>
      </c>
      <c r="D398" s="170"/>
      <c r="E398" s="168" t="str">
        <f ca="1">IF(ISERROR($V398),"",OFFSET('Smelter Look-up'!$D$4,$V398-4,0)&amp;"")</f>
        <v>AUSTRALIA</v>
      </c>
      <c r="F398" s="168" t="str">
        <f ca="1">IF(ISERROR($V398),"",OFFSET('Smelter Look-up'!$E$4,$V398-4,0))</f>
        <v>CID002920</v>
      </c>
      <c r="G398" s="168" t="str">
        <f ca="1">IF(C398=$X$4,IF(ISERROR($V398),"Enter smelter details","RMI"),IF(ISERROR($V398),"",OFFSET('Smelter Look-up'!$F$4,$V398-4,0)))</f>
        <v>RMI</v>
      </c>
      <c r="H398" s="171">
        <f ca="1">IF(ISERROR($V398),"",OFFSET('Smelter Look-up'!$G$4,$V398-4,0))</f>
        <v>0</v>
      </c>
      <c r="I398" s="172" t="str">
        <f ca="1">IF(ISERROR($V398),"",OFFSET('Smelter Look-up'!$H$4,$V398-4,0))</f>
        <v>Marrickville</v>
      </c>
      <c r="J398" s="172" t="str">
        <f ca="1">IF(ISERROR($V398),"",OFFSET('Smelter Look-up'!$I$4,$V398-4,0))</f>
        <v>New South Wales</v>
      </c>
      <c r="K398" s="173"/>
      <c r="L398" s="173"/>
      <c r="M398" s="173"/>
      <c r="N398" s="173"/>
      <c r="O398" s="173"/>
      <c r="P398" s="174"/>
      <c r="Q398" s="175"/>
      <c r="R398" s="168" t="str">
        <f ca="1">IF(ISERROR($V398),"",OFFSET('Smelter Look-up'!$C$4,$V398-4,0)&amp;"")</f>
        <v>ABC Refinery Pty Ltd.</v>
      </c>
      <c r="S398" s="167" t="str">
        <f t="shared" ca="1" si="57"/>
        <v>AU</v>
      </c>
      <c r="T398" s="167" t="str">
        <f ca="1">IF(B398="","",IF(ISERROR(MATCH($J398,SorP!$B$1:$B$6230,0)),"",INDIRECT("'SorP'!$A$"&amp;MATCH($J398,SorP!$B$1:$B$6230,0))))</f>
        <v>AU-NSW</v>
      </c>
      <c r="U398" s="176"/>
      <c r="V398" s="177">
        <f ca="1">IF(C398="",NA(),IF(OR(C398="Smelter not listed",C398="Smelter not yet identified"),MATCH($B398&amp;$D398,'Smelter Look-up'!$J:$J,0),MATCH($B398&amp;$C398,'Smelter Look-up'!$J:$J,0)))</f>
        <v>6</v>
      </c>
      <c r="X398" s="140">
        <f t="shared" ca="1" si="58"/>
        <v>0</v>
      </c>
      <c r="AB398" s="178" t="str">
        <f t="shared" ca="1" si="59"/>
        <v>GoldABC Refinery Pty Ltd.</v>
      </c>
    </row>
    <row r="399" spans="1:28" s="140" customFormat="1" ht="51">
      <c r="A399" s="167" t="s">
        <v>530</v>
      </c>
      <c r="B399" s="168" t="str">
        <f ca="1">IF(LEN(A399)=0,"",INDEX('Smelter Look-up'!$A:$A,MATCH($A399,'Smelter Look-up'!$E:$E,0)))</f>
        <v>Gold</v>
      </c>
      <c r="C399" s="169" t="str">
        <f ca="1">IF(LEN(A399)=0,"",INDEX('Smelter Look-up'!$C:$C,MATCH($A399,'Smelter Look-up'!$E:$E,0)))</f>
        <v>Gold by Gold Colombia</v>
      </c>
      <c r="D399" s="170"/>
      <c r="E399" s="168" t="str">
        <f ca="1">IF(ISERROR($V399),"",OFFSET('Smelter Look-up'!$D$4,$V399-4,0)&amp;"")</f>
        <v>COLOMBIA</v>
      </c>
      <c r="F399" s="168" t="str">
        <f ca="1">IF(ISERROR($V399),"",OFFSET('Smelter Look-up'!$E$4,$V399-4,0))</f>
        <v>CID003641</v>
      </c>
      <c r="G399" s="168" t="str">
        <f ca="1">IF(C399=$X$4,IF(ISERROR($V399),"Enter smelter details","RMI"),IF(ISERROR($V399),"",OFFSET('Smelter Look-up'!$F$4,$V399-4,0)))</f>
        <v>RMI</v>
      </c>
      <c r="H399" s="171">
        <f ca="1">IF(ISERROR($V399),"",OFFSET('Smelter Look-up'!$G$4,$V399-4,0))</f>
        <v>0</v>
      </c>
      <c r="I399" s="172" t="str">
        <f ca="1">IF(ISERROR($V399),"",OFFSET('Smelter Look-up'!$H$4,$V399-4,0))</f>
        <v>Medellín</v>
      </c>
      <c r="J399" s="172" t="str">
        <f ca="1">IF(ISERROR($V399),"",OFFSET('Smelter Look-up'!$I$4,$V399-4,0))</f>
        <v>Antioquia</v>
      </c>
      <c r="K399" s="173"/>
      <c r="L399" s="173"/>
      <c r="M399" s="173"/>
      <c r="N399" s="173"/>
      <c r="O399" s="173"/>
      <c r="P399" s="174"/>
      <c r="Q399" s="175"/>
      <c r="R399" s="168" t="str">
        <f ca="1">IF(ISERROR($V399),"",OFFSET('Smelter Look-up'!$C$4,$V399-4,0)&amp;"")</f>
        <v>Gold by Gold Colombia</v>
      </c>
      <c r="S399" s="167" t="str">
        <f t="shared" ca="1" si="57"/>
        <v>CO</v>
      </c>
      <c r="T399" s="167" t="str">
        <f ca="1">IF(B399="","",IF(ISERROR(MATCH($J399,SorP!$B$1:$B$6230,0)),"",INDIRECT("'SorP'!$A$"&amp;MATCH($J399,SorP!$B$1:$B$6230,0))))</f>
        <v>CO-ANT</v>
      </c>
      <c r="U399" s="176"/>
      <c r="V399" s="177">
        <f ca="1">IF(C399="",NA(),IF(OR(C399="Smelter not listed",C399="Smelter not yet identified"),MATCH($B399&amp;$D399,'Smelter Look-up'!$J:$J,0),MATCH($B399&amp;$C399,'Smelter Look-up'!$J:$J,0)))</f>
        <v>90</v>
      </c>
      <c r="X399" s="140">
        <f t="shared" ca="1" si="58"/>
        <v>0</v>
      </c>
      <c r="AB399" s="178" t="str">
        <f t="shared" ca="1" si="59"/>
        <v>GoldGold by Gold Colombia</v>
      </c>
    </row>
    <row r="400" spans="1:28" s="140" customFormat="1" ht="38.25">
      <c r="A400" s="167" t="s">
        <v>577</v>
      </c>
      <c r="B400" s="168" t="str">
        <f ca="1">IF(LEN(A400)=0,"",INDEX('Smelter Look-up'!$A:$A,MATCH($A400,'Smelter Look-up'!$E:$E,0)))</f>
        <v>Gold</v>
      </c>
      <c r="C400" s="169" t="str">
        <f ca="1">IF(LEN(A400)=0,"",INDEX('Smelter Look-up'!$C:$C,MATCH($A400,'Smelter Look-up'!$E:$E,0)))</f>
        <v>MD Overseas</v>
      </c>
      <c r="D400" s="170"/>
      <c r="E400" s="168" t="str">
        <f ca="1">IF(ISERROR($V400),"",OFFSET('Smelter Look-up'!$D$4,$V400-4,0)&amp;"")</f>
        <v>INDIA</v>
      </c>
      <c r="F400" s="168" t="str">
        <f ca="1">IF(ISERROR($V400),"",OFFSET('Smelter Look-up'!$E$4,$V400-4,0))</f>
        <v>CID003548</v>
      </c>
      <c r="G400" s="168" t="str">
        <f ca="1">IF(C400=$X$4,IF(ISERROR($V400),"Enter smelter details","RMI"),IF(ISERROR($V400),"",OFFSET('Smelter Look-up'!$F$4,$V400-4,0)))</f>
        <v>RMI</v>
      </c>
      <c r="H400" s="171">
        <f ca="1">IF(ISERROR($V400),"",OFFSET('Smelter Look-up'!$G$4,$V400-4,0))</f>
        <v>0</v>
      </c>
      <c r="I400" s="172" t="str">
        <f ca="1">IF(ISERROR($V400),"",OFFSET('Smelter Look-up'!$H$4,$V400-4,0))</f>
        <v>Rudrapur</v>
      </c>
      <c r="J400" s="172" t="str">
        <f ca="1">IF(ISERROR($V400),"",OFFSET('Smelter Look-up'!$I$4,$V400-4,0))</f>
        <v>Uttarakhand</v>
      </c>
      <c r="K400" s="173"/>
      <c r="L400" s="173"/>
      <c r="M400" s="173"/>
      <c r="N400" s="173"/>
      <c r="O400" s="173"/>
      <c r="P400" s="174"/>
      <c r="Q400" s="175"/>
      <c r="R400" s="168" t="str">
        <f ca="1">IF(ISERROR($V400),"",OFFSET('Smelter Look-up'!$C$4,$V400-4,0)&amp;"")</f>
        <v>MD Overseas</v>
      </c>
      <c r="S400" s="167" t="str">
        <f t="shared" ca="1" si="57"/>
        <v>IN</v>
      </c>
      <c r="T400" s="167" t="str">
        <f ca="1">IF(B400="","",IF(ISERROR(MATCH($J400,SorP!$B$1:$B$6230,0)),"",INDIRECT("'SorP'!$A$"&amp;MATCH($J400,SorP!$B$1:$B$6230,0))))</f>
        <v>IN-UT</v>
      </c>
      <c r="U400" s="176"/>
      <c r="V400" s="177">
        <f ca="1">IF(C400="",NA(),IF(OR(C400="Smelter not listed",C400="Smelter not yet identified"),MATCH($B400&amp;$D400,'Smelter Look-up'!$J:$J,0),MATCH($B400&amp;$C400,'Smelter Look-up'!$J:$J,0)))</f>
        <v>166</v>
      </c>
      <c r="X400" s="140">
        <f t="shared" ca="1" si="58"/>
        <v>0</v>
      </c>
      <c r="AB400" s="178" t="str">
        <f t="shared" ca="1" si="59"/>
        <v>GoldMD Overseas</v>
      </c>
    </row>
    <row r="401" spans="1:28" s="140" customFormat="1" ht="63.75">
      <c r="A401" s="167" t="s">
        <v>642</v>
      </c>
      <c r="B401" s="168" t="str">
        <f ca="1">IF(LEN(A401)=0,"",INDEX('Smelter Look-up'!$A:$A,MATCH($A401,'Smelter Look-up'!$E:$E,0)))</f>
        <v>Gold</v>
      </c>
      <c r="C401" s="169" t="str">
        <f ca="1">IF(LEN(A401)=0,"",INDEX('Smelter Look-up'!$C:$C,MATCH($A401,'Smelter Look-up'!$E:$E,0)))</f>
        <v>Rand Refinery (Pty) Ltd.</v>
      </c>
      <c r="D401" s="170"/>
      <c r="E401" s="168" t="str">
        <f ca="1">IF(ISERROR($V401),"",OFFSET('Smelter Look-up'!$D$4,$V401-4,0)&amp;"")</f>
        <v>SOUTH AFRICA</v>
      </c>
      <c r="F401" s="168" t="str">
        <f ca="1">IF(ISERROR($V401),"",OFFSET('Smelter Look-up'!$E$4,$V401-4,0))</f>
        <v>CID001512</v>
      </c>
      <c r="G401" s="168" t="str">
        <f ca="1">IF(C401=$X$4,IF(ISERROR($V401),"Enter smelter details","RMI"),IF(ISERROR($V401),"",OFFSET('Smelter Look-up'!$F$4,$V401-4,0)))</f>
        <v>RMI</v>
      </c>
      <c r="H401" s="171">
        <f ca="1">IF(ISERROR($V401),"",OFFSET('Smelter Look-up'!$G$4,$V401-4,0))</f>
        <v>0</v>
      </c>
      <c r="I401" s="172" t="str">
        <f ca="1">IF(ISERROR($V401),"",OFFSET('Smelter Look-up'!$H$4,$V401-4,0))</f>
        <v>Germiston</v>
      </c>
      <c r="J401" s="172" t="str">
        <f ca="1">IF(ISERROR($V401),"",OFFSET('Smelter Look-up'!$I$4,$V401-4,0))</f>
        <v>Gauteng</v>
      </c>
      <c r="K401" s="173"/>
      <c r="L401" s="173"/>
      <c r="M401" s="173"/>
      <c r="N401" s="173"/>
      <c r="O401" s="173"/>
      <c r="P401" s="174"/>
      <c r="Q401" s="175"/>
      <c r="R401" s="168" t="str">
        <f ca="1">IF(ISERROR($V401),"",OFFSET('Smelter Look-up'!$C$4,$V401-4,0)&amp;"")</f>
        <v>Rand Refinery (Pty) Ltd.</v>
      </c>
      <c r="S401" s="167" t="str">
        <f t="shared" ca="1" si="57"/>
        <v>ZA</v>
      </c>
      <c r="T401" s="167" t="str">
        <f ca="1">IF(B401="","",IF(ISERROR(MATCH($J401,SorP!$B$1:$B$6230,0)),"",INDIRECT("'SorP'!$A$"&amp;MATCH($J401,SorP!$B$1:$B$6230,0))))</f>
        <v>ZA-GP</v>
      </c>
      <c r="U401" s="176"/>
      <c r="V401" s="177">
        <f ca="1">IF(C401="",NA(),IF(OR(C401="Smelter not listed",C401="Smelter not yet identified"),MATCH($B401&amp;$D401,'Smelter Look-up'!$J:$J,0),MATCH($B401&amp;$C401,'Smelter Look-up'!$J:$J,0)))</f>
        <v>215</v>
      </c>
      <c r="X401" s="140">
        <f t="shared" ca="1" si="58"/>
        <v>0</v>
      </c>
      <c r="AB401" s="178" t="str">
        <f t="shared" ca="1" si="59"/>
        <v>GoldRand Refinery (Pty) Ltd.</v>
      </c>
    </row>
    <row r="402" spans="1:28" s="140" customFormat="1" ht="89.25">
      <c r="A402" s="167" t="s">
        <v>702</v>
      </c>
      <c r="B402" s="168" t="str">
        <f ca="1">IF(LEN(A402)=0,"",INDEX('Smelter Look-up'!$A:$A,MATCH($A402,'Smelter Look-up'!$E:$E,0)))</f>
        <v>Gold</v>
      </c>
      <c r="C402" s="169" t="str">
        <f ca="1">IF(LEN(A402)=0,"",INDEX('Smelter Look-up'!$C:$C,MATCH($A402,'Smelter Look-up'!$E:$E,0)))</f>
        <v>Penglai Penggang Gold Industry Co., Ltd.</v>
      </c>
      <c r="D402" s="170"/>
      <c r="E402" s="168" t="str">
        <f ca="1">IF(ISERROR($V402),"",OFFSET('Smelter Look-up'!$D$4,$V402-4,0)&amp;"")</f>
        <v>CHINA</v>
      </c>
      <c r="F402" s="168" t="str">
        <f ca="1">IF(ISERROR($V402),"",OFFSET('Smelter Look-up'!$E$4,$V402-4,0))</f>
        <v>CID001362</v>
      </c>
      <c r="G402" s="168" t="str">
        <f ca="1">IF(C402=$X$4,IF(ISERROR($V402),"Enter smelter details","RMI"),IF(ISERROR($V402),"",OFFSET('Smelter Look-up'!$F$4,$V402-4,0)))</f>
        <v>RMI</v>
      </c>
      <c r="H402" s="171">
        <f ca="1">IF(ISERROR($V402),"",OFFSET('Smelter Look-up'!$G$4,$V402-4,0))</f>
        <v>0</v>
      </c>
      <c r="I402" s="172" t="str">
        <f ca="1">IF(ISERROR($V402),"",OFFSET('Smelter Look-up'!$H$4,$V402-4,0))</f>
        <v>Penglai</v>
      </c>
      <c r="J402" s="172" t="str">
        <f ca="1">IF(ISERROR($V402),"",OFFSET('Smelter Look-up'!$I$4,$V402-4,0))</f>
        <v>Shandong Sheng</v>
      </c>
      <c r="K402" s="173"/>
      <c r="L402" s="173"/>
      <c r="M402" s="173"/>
      <c r="N402" s="173"/>
      <c r="O402" s="173"/>
      <c r="P402" s="174"/>
      <c r="Q402" s="175"/>
      <c r="R402" s="168" t="str">
        <f ca="1">IF(ISERROR($V402),"",OFFSET('Smelter Look-up'!$C$4,$V402-4,0)&amp;"")</f>
        <v>Penglai Penggang Gold Industry Co., Ltd.</v>
      </c>
      <c r="S402" s="167" t="str">
        <f t="shared" ca="1" si="57"/>
        <v>CN</v>
      </c>
      <c r="T402" s="167" t="str">
        <f ca="1">IF(B402="","",IF(ISERROR(MATCH($J402,SorP!$B$1:$B$6230,0)),"",INDIRECT("'SorP'!$A$"&amp;MATCH($J402,SorP!$B$1:$B$6230,0))))</f>
        <v>CN-SD</v>
      </c>
      <c r="U402" s="176"/>
      <c r="V402" s="177">
        <f ca="1">IF(C402="",NA(),IF(OR(C402="Smelter not listed",C402="Smelter not yet identified"),MATCH($B402&amp;$D402,'Smelter Look-up'!$J:$J,0),MATCH($B402&amp;$C402,'Smelter Look-up'!$J:$J,0)))</f>
        <v>205</v>
      </c>
      <c r="X402" s="140">
        <f t="shared" ca="1" si="58"/>
        <v>0</v>
      </c>
      <c r="AB402" s="178" t="str">
        <f t="shared" ca="1" si="59"/>
        <v>GoldPenglai Penggang Gold Industry Co., Ltd.</v>
      </c>
    </row>
    <row r="403" spans="1:28" s="140" customFormat="1" ht="89.25">
      <c r="A403" s="167" t="s">
        <v>729</v>
      </c>
      <c r="B403" s="168" t="str">
        <f ca="1">IF(LEN(A403)=0,"",INDEX('Smelter Look-up'!$A:$A,MATCH($A403,'Smelter Look-up'!$E:$E,0)))</f>
        <v>Tantalum</v>
      </c>
      <c r="C403" s="169" t="str">
        <f ca="1">IF(LEN(A403)=0,"",INDEX('Smelter Look-up'!$C:$C,MATCH($A403,'Smelter Look-up'!$E:$E,0)))</f>
        <v>Metallurgical Products India Pvt., Ltd.</v>
      </c>
      <c r="D403" s="170"/>
      <c r="E403" s="168" t="str">
        <f ca="1">IF(ISERROR($V403),"",OFFSET('Smelter Look-up'!$D$4,$V403-4,0)&amp;"")</f>
        <v>INDIA</v>
      </c>
      <c r="F403" s="168" t="str">
        <f ca="1">IF(ISERROR($V403),"",OFFSET('Smelter Look-up'!$E$4,$V403-4,0))</f>
        <v>CID001163</v>
      </c>
      <c r="G403" s="168" t="str">
        <f ca="1">IF(C403=$X$4,IF(ISERROR($V403),"Enter smelter details","RMI"),IF(ISERROR($V403),"",OFFSET('Smelter Look-up'!$F$4,$V403-4,0)))</f>
        <v>RMI</v>
      </c>
      <c r="H403" s="171">
        <f ca="1">IF(ISERROR($V403),"",OFFSET('Smelter Look-up'!$G$4,$V403-4,0))</f>
        <v>0</v>
      </c>
      <c r="I403" s="172" t="str">
        <f ca="1">IF(ISERROR($V403),"",OFFSET('Smelter Look-up'!$H$4,$V403-4,0))</f>
        <v>District Raigad</v>
      </c>
      <c r="J403" s="172" t="str">
        <f ca="1">IF(ISERROR($V403),"",OFFSET('Smelter Look-up'!$I$4,$V403-4,0))</f>
        <v>Maharashtra</v>
      </c>
      <c r="K403" s="173"/>
      <c r="L403" s="173"/>
      <c r="M403" s="173"/>
      <c r="N403" s="173"/>
      <c r="O403" s="173"/>
      <c r="P403" s="174"/>
      <c r="Q403" s="175"/>
      <c r="R403" s="168" t="str">
        <f ca="1">IF(ISERROR($V403),"",OFFSET('Smelter Look-up'!$C$4,$V403-4,0)&amp;"")</f>
        <v>Metallurgical Products India Pvt., Ltd.</v>
      </c>
      <c r="S403" s="167" t="str">
        <f t="shared" ca="1" si="57"/>
        <v>IN</v>
      </c>
      <c r="T403" s="167" t="str">
        <f ca="1">IF(B403="","",IF(ISERROR(MATCH($J403,SorP!$B$1:$B$6230,0)),"",INDIRECT("'SorP'!$A$"&amp;MATCH($J403,SorP!$B$1:$B$6230,0))))</f>
        <v>IN-MH</v>
      </c>
      <c r="U403" s="176"/>
      <c r="V403" s="177">
        <f ca="1">IF(C403="",NA(),IF(OR(C403="Smelter not listed",C403="Smelter not yet identified"),MATCH($B403&amp;$D403,'Smelter Look-up'!$J:$J,0),MATCH($B403&amp;$C403,'Smelter Look-up'!$J:$J,0)))</f>
        <v>352</v>
      </c>
      <c r="X403" s="140">
        <f t="shared" ca="1" si="58"/>
        <v>0</v>
      </c>
      <c r="AB403" s="178" t="str">
        <f t="shared" ca="1" si="59"/>
        <v>TantalumMetallurgical Products India Pvt., Ltd.</v>
      </c>
    </row>
    <row r="404" spans="1:28" s="140" customFormat="1" ht="89.25">
      <c r="A404" s="167" t="s">
        <v>744</v>
      </c>
      <c r="B404" s="168" t="str">
        <f ca="1">IF(LEN(A404)=0,"",INDEX('Smelter Look-up'!$A:$A,MATCH($A404,'Smelter Look-up'!$E:$E,0)))</f>
        <v>Gold</v>
      </c>
      <c r="C404" s="169" t="str">
        <f ca="1">IF(LEN(A404)=0,"",INDEX('Smelter Look-up'!$C:$C,MATCH($A404,'Smelter Look-up'!$E:$E,0)))</f>
        <v>Ohura Precious Metal Industry Co., Ltd.</v>
      </c>
      <c r="D404" s="170"/>
      <c r="E404" s="168" t="str">
        <f ca="1">IF(ISERROR($V404),"",OFFSET('Smelter Look-up'!$D$4,$V404-4,0)&amp;"")</f>
        <v>JAPAN</v>
      </c>
      <c r="F404" s="168" t="str">
        <f ca="1">IF(ISERROR($V404),"",OFFSET('Smelter Look-up'!$E$4,$V404-4,0))</f>
        <v>CID001325</v>
      </c>
      <c r="G404" s="168" t="str">
        <f ca="1">IF(C404=$X$4,IF(ISERROR($V404),"Enter smelter details","RMI"),IF(ISERROR($V404),"",OFFSET('Smelter Look-up'!$F$4,$V404-4,0)))</f>
        <v>RMI</v>
      </c>
      <c r="H404" s="171">
        <f ca="1">IF(ISERROR($V404),"",OFFSET('Smelter Look-up'!$G$4,$V404-4,0))</f>
        <v>0</v>
      </c>
      <c r="I404" s="172" t="str">
        <f ca="1">IF(ISERROR($V404),"",OFFSET('Smelter Look-up'!$H$4,$V404-4,0))</f>
        <v>Nara-shi</v>
      </c>
      <c r="J404" s="172" t="str">
        <f ca="1">IF(ISERROR($V404),"",OFFSET('Smelter Look-up'!$I$4,$V404-4,0))</f>
        <v>Nara</v>
      </c>
      <c r="K404" s="173"/>
      <c r="L404" s="173"/>
      <c r="M404" s="173"/>
      <c r="N404" s="173"/>
      <c r="O404" s="173"/>
      <c r="P404" s="174"/>
      <c r="Q404" s="175"/>
      <c r="R404" s="168" t="str">
        <f ca="1">IF(ISERROR($V404),"",OFFSET('Smelter Look-up'!$C$4,$V404-4,0)&amp;"")</f>
        <v>Ohura Precious Metal Industry Co., Ltd.</v>
      </c>
      <c r="S404" s="167" t="str">
        <f t="shared" ca="1" si="57"/>
        <v>JP</v>
      </c>
      <c r="T404" s="167" t="str">
        <f ca="1">IF(B404="","",IF(ISERROR(MATCH($J404,SorP!$B$1:$B$6230,0)),"",INDIRECT("'SorP'!$A$"&amp;MATCH($J404,SorP!$B$1:$B$6230,0))))</f>
        <v>JP-29</v>
      </c>
      <c r="U404" s="176"/>
      <c r="V404" s="177">
        <f ca="1">IF(C404="",NA(),IF(OR(C404="Smelter not listed",C404="Smelter not yet identified"),MATCH($B404&amp;$D404,'Smelter Look-up'!$J:$J,0),MATCH($B404&amp;$C404,'Smelter Look-up'!$J:$J,0)))</f>
        <v>198</v>
      </c>
      <c r="X404" s="140">
        <f t="shared" ca="1" si="58"/>
        <v>0</v>
      </c>
      <c r="AB404" s="178" t="str">
        <f t="shared" ca="1" si="59"/>
        <v>GoldOhura Precious Metal Industry Co., Ltd.</v>
      </c>
    </row>
    <row r="405" spans="1:28" s="140" customFormat="1" ht="38.25">
      <c r="A405" s="167" t="s">
        <v>778</v>
      </c>
      <c r="B405" s="168" t="str">
        <f ca="1">IF(LEN(A405)=0,"",INDEX('Smelter Look-up'!$A:$A,MATCH($A405,'Smelter Look-up'!$E:$E,0)))</f>
        <v>Gold</v>
      </c>
      <c r="C405" s="169" t="str">
        <f ca="1">IF(LEN(A405)=0,"",INDEX('Smelter Look-up'!$C:$C,MATCH($A405,'Smelter Look-up'!$E:$E,0)))</f>
        <v>Sabin Metal Corp.</v>
      </c>
      <c r="D405" s="170"/>
      <c r="E405" s="168" t="str">
        <f ca="1">IF(ISERROR($V405),"",OFFSET('Smelter Look-up'!$D$4,$V405-4,0)&amp;"")</f>
        <v>UNITED STATES OF AMERICA</v>
      </c>
      <c r="F405" s="168" t="str">
        <f ca="1">IF(ISERROR($V405),"",OFFSET('Smelter Look-up'!$E$4,$V405-4,0))</f>
        <v>CID001546</v>
      </c>
      <c r="G405" s="168" t="str">
        <f ca="1">IF(C405=$X$4,IF(ISERROR($V405),"Enter smelter details","RMI"),IF(ISERROR($V405),"",OFFSET('Smelter Look-up'!$F$4,$V405-4,0)))</f>
        <v>RMI</v>
      </c>
      <c r="H405" s="171">
        <f ca="1">IF(ISERROR($V405),"",OFFSET('Smelter Look-up'!$G$4,$V405-4,0))</f>
        <v>0</v>
      </c>
      <c r="I405" s="172" t="str">
        <f ca="1">IF(ISERROR($V405),"",OFFSET('Smelter Look-up'!$H$4,$V405-4,0))</f>
        <v>Williston</v>
      </c>
      <c r="J405" s="172" t="str">
        <f ca="1">IF(ISERROR($V405),"",OFFSET('Smelter Look-up'!$I$4,$V405-4,0))</f>
        <v>North Dakota</v>
      </c>
      <c r="K405" s="173"/>
      <c r="L405" s="173"/>
      <c r="M405" s="173"/>
      <c r="N405" s="173"/>
      <c r="O405" s="173"/>
      <c r="P405" s="174"/>
      <c r="Q405" s="175"/>
      <c r="R405" s="168" t="str">
        <f ca="1">IF(ISERROR($V405),"",OFFSET('Smelter Look-up'!$C$4,$V405-4,0)&amp;"")</f>
        <v>Sabin Metal Corp.</v>
      </c>
      <c r="S405" s="167" t="str">
        <f t="shared" ca="1" si="57"/>
        <v>US</v>
      </c>
      <c r="T405" s="167" t="str">
        <f ca="1">IF(B405="","",IF(ISERROR(MATCH($J405,SorP!$B$1:$B$6230,0)),"",INDIRECT("'SorP'!$A$"&amp;MATCH($J405,SorP!$B$1:$B$6230,0))))</f>
        <v>US-ND</v>
      </c>
      <c r="U405" s="176"/>
      <c r="V405" s="177">
        <f ca="1">IF(C405="",NA(),IF(OR(C405="Smelter not listed",C405="Smelter not yet identified"),MATCH($B405&amp;$D405,'Smelter Look-up'!$J:$J,0),MATCH($B405&amp;$C405,'Smelter Look-up'!$J:$J,0)))</f>
        <v>222</v>
      </c>
      <c r="X405" s="140">
        <f t="shared" ca="1" si="58"/>
        <v>0</v>
      </c>
      <c r="AB405" s="178" t="str">
        <f t="shared" ca="1" si="59"/>
        <v>GoldSabin Metal Corp.</v>
      </c>
    </row>
    <row r="406" spans="1:28" s="140" customFormat="1" ht="63.75">
      <c r="A406" s="167" t="s">
        <v>782</v>
      </c>
      <c r="B406" s="168" t="str">
        <f ca="1">IF(LEN(A406)=0,"",INDEX('Smelter Look-up'!$A:$A,MATCH($A406,'Smelter Look-up'!$E:$E,0)))</f>
        <v>Gold</v>
      </c>
      <c r="C406" s="169" t="str">
        <f ca="1">IF(LEN(A406)=0,"",INDEX('Smelter Look-up'!$C:$C,MATCH($A406,'Smelter Look-up'!$E:$E,0)))</f>
        <v>SAXONIA Edelmetalle GmbH</v>
      </c>
      <c r="D406" s="170"/>
      <c r="E406" s="168" t="str">
        <f ca="1">IF(ISERROR($V406),"",OFFSET('Smelter Look-up'!$D$4,$V406-4,0)&amp;"")</f>
        <v>GERMANY</v>
      </c>
      <c r="F406" s="168" t="str">
        <f ca="1">IF(ISERROR($V406),"",OFFSET('Smelter Look-up'!$E$4,$V406-4,0))</f>
        <v>CID002777</v>
      </c>
      <c r="G406" s="168" t="str">
        <f ca="1">IF(C406=$X$4,IF(ISERROR($V406),"Enter smelter details","RMI"),IF(ISERROR($V406),"",OFFSET('Smelter Look-up'!$F$4,$V406-4,0)))</f>
        <v>RMI</v>
      </c>
      <c r="H406" s="171">
        <f ca="1">IF(ISERROR($V406),"",OFFSET('Smelter Look-up'!$G$4,$V406-4,0))</f>
        <v>0</v>
      </c>
      <c r="I406" s="172" t="str">
        <f ca="1">IF(ISERROR($V406),"",OFFSET('Smelter Look-up'!$H$4,$V406-4,0))</f>
        <v>Halsbrücke</v>
      </c>
      <c r="J406" s="172" t="str">
        <f ca="1">IF(ISERROR($V406),"",OFFSET('Smelter Look-up'!$I$4,$V406-4,0))</f>
        <v>Sachsen</v>
      </c>
      <c r="K406" s="173"/>
      <c r="L406" s="173"/>
      <c r="M406" s="173"/>
      <c r="N406" s="173"/>
      <c r="O406" s="173"/>
      <c r="P406" s="174"/>
      <c r="Q406" s="175"/>
      <c r="R406" s="168" t="str">
        <f ca="1">IF(ISERROR($V406),"",OFFSET('Smelter Look-up'!$C$4,$V406-4,0)&amp;"")</f>
        <v>SAXONIA Edelmetalle GmbH</v>
      </c>
      <c r="S406" s="167" t="str">
        <f t="shared" ca="1" si="57"/>
        <v>DE</v>
      </c>
      <c r="T406" s="167" t="str">
        <f ca="1">IF(B406="","",IF(ISERROR(MATCH($J406,SorP!$B$1:$B$6230,0)),"",INDIRECT("'SorP'!$A$"&amp;MATCH($J406,SorP!$B$1:$B$6230,0))))</f>
        <v>DE-SN</v>
      </c>
      <c r="U406" s="176"/>
      <c r="V406" s="177">
        <f ca="1">IF(C406="",NA(),IF(OR(C406="Smelter not listed",C406="Smelter not yet identified"),MATCH($B406&amp;$D406,'Smelter Look-up'!$J:$J,0),MATCH($B406&amp;$C406,'Smelter Look-up'!$J:$J,0)))</f>
        <v>231</v>
      </c>
      <c r="X406" s="140">
        <f t="shared" ca="1" si="58"/>
        <v>0</v>
      </c>
      <c r="AB406" s="178" t="str">
        <f t="shared" ca="1" si="59"/>
        <v>GoldSAXONIA Edelmetalle GmbH</v>
      </c>
    </row>
    <row r="407" spans="1:28" s="140" customFormat="1" ht="51">
      <c r="A407" s="167" t="s">
        <v>789</v>
      </c>
      <c r="B407" s="168" t="str">
        <f ca="1">IF(LEN(A407)=0,"",INDEX('Smelter Look-up'!$A:$A,MATCH($A407,'Smelter Look-up'!$E:$E,0)))</f>
        <v>Gold</v>
      </c>
      <c r="C407" s="169" t="str">
        <f ca="1">IF(LEN(A407)=0,"",INDEX('Smelter Look-up'!$C:$C,MATCH($A407,'Smelter Look-up'!$E:$E,0)))</f>
        <v>Sellem Industries Ltd.</v>
      </c>
      <c r="D407" s="170"/>
      <c r="E407" s="168" t="str">
        <f ca="1">IF(ISERROR($V407),"",OFFSET('Smelter Look-up'!$D$4,$V407-4,0)&amp;"")</f>
        <v>MAURITANIA</v>
      </c>
      <c r="F407" s="168" t="str">
        <f ca="1">IF(ISERROR($V407),"",OFFSET('Smelter Look-up'!$E$4,$V407-4,0))</f>
        <v>CID003540</v>
      </c>
      <c r="G407" s="168" t="str">
        <f ca="1">IF(C407=$X$4,IF(ISERROR($V407),"Enter smelter details","RMI"),IF(ISERROR($V407),"",OFFSET('Smelter Look-up'!$F$4,$V407-4,0)))</f>
        <v>RMI</v>
      </c>
      <c r="H407" s="171">
        <f ca="1">IF(ISERROR($V407),"",OFFSET('Smelter Look-up'!$G$4,$V407-4,0))</f>
        <v>0</v>
      </c>
      <c r="I407" s="172" t="str">
        <f ca="1">IF(ISERROR($V407),"",OFFSET('Smelter Look-up'!$H$4,$V407-4,0))</f>
        <v>Nouakchott</v>
      </c>
      <c r="J407" s="172" t="str">
        <f ca="1">IF(ISERROR($V407),"",OFFSET('Smelter Look-up'!$I$4,$V407-4,0))</f>
        <v>Nouakchott Ouest</v>
      </c>
      <c r="K407" s="173"/>
      <c r="L407" s="173"/>
      <c r="M407" s="173"/>
      <c r="N407" s="173"/>
      <c r="O407" s="173"/>
      <c r="P407" s="174"/>
      <c r="Q407" s="175"/>
      <c r="R407" s="168" t="str">
        <f ca="1">IF(ISERROR($V407),"",OFFSET('Smelter Look-up'!$C$4,$V407-4,0)&amp;"")</f>
        <v>Sellem Industries Ltd.</v>
      </c>
      <c r="S407" s="167" t="str">
        <f t="shared" ca="1" si="57"/>
        <v>MR</v>
      </c>
      <c r="T407" s="167" t="str">
        <f ca="1">IF(B407="","",IF(ISERROR(MATCH($J407,SorP!$B$1:$B$6230,0)),"",INDIRECT("'SorP'!$A$"&amp;MATCH($J407,SorP!$B$1:$B$6230,0))))</f>
        <v>MR-13</v>
      </c>
      <c r="U407" s="176"/>
      <c r="V407" s="177">
        <f ca="1">IF(C407="",NA(),IF(OR(C407="Smelter not listed",C407="Smelter not yet identified"),MATCH($B407&amp;$D407,'Smelter Look-up'!$J:$J,0),MATCH($B407&amp;$C407,'Smelter Look-up'!$J:$J,0)))</f>
        <v>233</v>
      </c>
      <c r="X407" s="140">
        <f t="shared" ca="1" si="58"/>
        <v>0</v>
      </c>
      <c r="AB407" s="178" t="str">
        <f t="shared" ca="1" si="59"/>
        <v>GoldSellem Industries Ltd.</v>
      </c>
    </row>
    <row r="408" spans="1:28" s="140" customFormat="1" ht="140.25">
      <c r="A408" s="167" t="s">
        <v>948</v>
      </c>
      <c r="B408" s="168" t="str">
        <f ca="1">IF(LEN(A408)=0,"",INDEX('Smelter Look-up'!$A:$A,MATCH($A408,'Smelter Look-up'!$E:$E,0)))</f>
        <v>Tungsten</v>
      </c>
      <c r="C408" s="169" t="str">
        <f ca="1">IF(LEN(A408)=0,"",INDEX('Smelter Look-up'!$C:$C,MATCH($A408,'Smelter Look-up'!$E:$E,0)))</f>
        <v>Albasteel Industria e Comercio de Ligas Para Fundicao Ltd.</v>
      </c>
      <c r="D408" s="170"/>
      <c r="E408" s="168" t="str">
        <f ca="1">IF(ISERROR($V408),"",OFFSET('Smelter Look-up'!$D$4,$V408-4,0)&amp;"")</f>
        <v>BRAZIL</v>
      </c>
      <c r="F408" s="168" t="str">
        <f ca="1">IF(ISERROR($V408),"",OFFSET('Smelter Look-up'!$E$4,$V408-4,0))</f>
        <v>CID003427</v>
      </c>
      <c r="G408" s="168" t="str">
        <f ca="1">IF(C408=$X$4,IF(ISERROR($V408),"Enter smelter details","RMI"),IF(ISERROR($V408),"",OFFSET('Smelter Look-up'!$F$4,$V408-4,0)))</f>
        <v>RMI</v>
      </c>
      <c r="H408" s="171">
        <f ca="1">IF(ISERROR($V408),"",OFFSET('Smelter Look-up'!$G$4,$V408-4,0))</f>
        <v>0</v>
      </c>
      <c r="I408" s="172" t="str">
        <f ca="1">IF(ISERROR($V408),"",OFFSET('Smelter Look-up'!$H$4,$V408-4,0))</f>
        <v>Sao Paulo</v>
      </c>
      <c r="J408" s="172" t="str">
        <f ca="1">IF(ISERROR($V408),"",OFFSET('Smelter Look-up'!$I$4,$V408-4,0))</f>
        <v>São Paulo</v>
      </c>
      <c r="K408" s="173"/>
      <c r="L408" s="173"/>
      <c r="M408" s="173"/>
      <c r="N408" s="173"/>
      <c r="O408" s="173"/>
      <c r="P408" s="174"/>
      <c r="Q408" s="175"/>
      <c r="R408" s="168" t="str">
        <f ca="1">IF(ISERROR($V408),"",OFFSET('Smelter Look-up'!$C$4,$V408-4,0)&amp;"")</f>
        <v>Albasteel Industria e Comercio de Ligas Para Fundicao Ltd.</v>
      </c>
      <c r="S408" s="167" t="str">
        <f t="shared" ca="1" si="57"/>
        <v>BR</v>
      </c>
      <c r="T408" s="167" t="str">
        <f ca="1">IF(B408="","",IF(ISERROR(MATCH($J408,SorP!$B$1:$B$6230,0)),"",INDIRECT("'SorP'!$A$"&amp;MATCH($J408,SorP!$B$1:$B$6230,0))))</f>
        <v>BR-SP</v>
      </c>
      <c r="U408" s="176"/>
      <c r="V408" s="177">
        <f ca="1">IF(C408="",NA(),IF(OR(C408="Smelter not listed",C408="Smelter not yet identified"),MATCH($B408&amp;$D408,'Smelter Look-up'!$J:$J,0),MATCH($B408&amp;$C408,'Smelter Look-up'!$J:$J,0)))</f>
        <v>557</v>
      </c>
      <c r="X408" s="140">
        <f t="shared" ca="1" si="58"/>
        <v>0</v>
      </c>
      <c r="AB408" s="178" t="str">
        <f t="shared" ca="1" si="59"/>
        <v>TungstenAlbasteel Industria e Comercio de Ligas Para Fundicao Ltd.</v>
      </c>
    </row>
    <row r="409" spans="1:28" s="140" customFormat="1" ht="38.25">
      <c r="A409" s="167" t="s">
        <v>950</v>
      </c>
      <c r="B409" s="168" t="str">
        <f ca="1">IF(LEN(A409)=0,"",INDEX('Smelter Look-up'!$A:$A,MATCH($A409,'Smelter Look-up'!$E:$E,0)))</f>
        <v>Tungsten</v>
      </c>
      <c r="C409" s="169" t="str">
        <f ca="1">IF(LEN(A409)=0,"",INDEX('Smelter Look-up'!$C:$C,MATCH($A409,'Smelter Look-up'!$E:$E,0)))</f>
        <v>Artek LLC</v>
      </c>
      <c r="D409" s="170"/>
      <c r="E409" s="168" t="str">
        <f ca="1">IF(ISERROR($V409),"",OFFSET('Smelter Look-up'!$D$4,$V409-4,0)&amp;"")</f>
        <v>RUSSIAN FEDERATION</v>
      </c>
      <c r="F409" s="168" t="str">
        <f ca="1">IF(ISERROR($V409),"",OFFSET('Smelter Look-up'!$E$4,$V409-4,0))</f>
        <v>CID003553</v>
      </c>
      <c r="G409" s="168" t="str">
        <f ca="1">IF(C409=$X$4,IF(ISERROR($V409),"Enter smelter details","RMI"),IF(ISERROR($V409),"",OFFSET('Smelter Look-up'!$F$4,$V409-4,0)))</f>
        <v>RMI</v>
      </c>
      <c r="H409" s="171">
        <f ca="1">IF(ISERROR($V409),"",OFFSET('Smelter Look-up'!$G$4,$V409-4,0))</f>
        <v>0</v>
      </c>
      <c r="I409" s="172" t="str">
        <f ca="1">IF(ISERROR($V409),"",OFFSET('Smelter Look-up'!$H$4,$V409-4,0))</f>
        <v>Moscow</v>
      </c>
      <c r="J409" s="172" t="str">
        <f ca="1">IF(ISERROR($V409),"",OFFSET('Smelter Look-up'!$I$4,$V409-4,0))</f>
        <v>Moskva</v>
      </c>
      <c r="K409" s="173"/>
      <c r="L409" s="173"/>
      <c r="M409" s="173"/>
      <c r="N409" s="173"/>
      <c r="O409" s="173"/>
      <c r="P409" s="174"/>
      <c r="Q409" s="175"/>
      <c r="R409" s="168" t="str">
        <f ca="1">IF(ISERROR($V409),"",OFFSET('Smelter Look-up'!$C$4,$V409-4,0)&amp;"")</f>
        <v>Artek LLC</v>
      </c>
      <c r="S409" s="167" t="str">
        <f t="shared" ca="1" si="57"/>
        <v>RU</v>
      </c>
      <c r="T409" s="167" t="str">
        <f ca="1">IF(B409="","",IF(ISERROR(MATCH($J409,SorP!$B$1:$B$6230,0)),"",INDIRECT("'SorP'!$A$"&amp;MATCH($J409,SorP!$B$1:$B$6230,0))))</f>
        <v>RU-MOW</v>
      </c>
      <c r="U409" s="176"/>
      <c r="V409" s="177">
        <f ca="1">IF(C409="",NA(),IF(OR(C409="Smelter not listed",C409="Smelter not yet identified"),MATCH($B409&amp;$D409,'Smelter Look-up'!$J:$J,0),MATCH($B409&amp;$C409,'Smelter Look-up'!$J:$J,0)))</f>
        <v>561</v>
      </c>
      <c r="X409" s="140">
        <f t="shared" ca="1" si="58"/>
        <v>0</v>
      </c>
      <c r="AB409" s="178" t="str">
        <f t="shared" ca="1" si="59"/>
        <v>TungstenArtek LLC</v>
      </c>
    </row>
    <row r="410" spans="1:28" s="140" customFormat="1" ht="89.25">
      <c r="A410" s="167" t="s">
        <v>1236</v>
      </c>
      <c r="B410" s="168" t="str">
        <f ca="1">IF(LEN(A410)=0,"",INDEX('Smelter Look-up'!$A:$A,MATCH($A410,'Smelter Look-up'!$E:$E,0)))</f>
        <v>Tin</v>
      </c>
      <c r="C410" s="169" t="str">
        <f ca="1">IF(LEN(A410)=0,"",INDEX('Smelter Look-up'!$C:$C,MATCH($A410,'Smelter Look-up'!$E:$E,0)))</f>
        <v>Gejiu Non-Ferrous Metal Processing Co., Ltd.</v>
      </c>
      <c r="D410" s="170"/>
      <c r="E410" s="168" t="str">
        <f ca="1">IF(ISERROR($V410),"",OFFSET('Smelter Look-up'!$D$4,$V410-4,0)&amp;"")</f>
        <v>CHINA</v>
      </c>
      <c r="F410" s="168" t="str">
        <f ca="1">IF(ISERROR($V410),"",OFFSET('Smelter Look-up'!$E$4,$V410-4,0))</f>
        <v>CID000538</v>
      </c>
      <c r="G410" s="168" t="str">
        <f ca="1">IF(C410=$X$4,IF(ISERROR($V410),"Enter smelter details","RMI"),IF(ISERROR($V410),"",OFFSET('Smelter Look-up'!$F$4,$V410-4,0)))</f>
        <v>RMI</v>
      </c>
      <c r="H410" s="171">
        <f ca="1">IF(ISERROR($V410),"",OFFSET('Smelter Look-up'!$G$4,$V410-4,0))</f>
        <v>0</v>
      </c>
      <c r="I410" s="172" t="str">
        <f ca="1">IF(ISERROR($V410),"",OFFSET('Smelter Look-up'!$H$4,$V410-4,0))</f>
        <v>Gejiu</v>
      </c>
      <c r="J410" s="172" t="str">
        <f ca="1">IF(ISERROR($V410),"",OFFSET('Smelter Look-up'!$I$4,$V410-4,0))</f>
        <v>Yunnan Sheng</v>
      </c>
      <c r="K410" s="173"/>
      <c r="L410" s="173"/>
      <c r="M410" s="173"/>
      <c r="N410" s="173"/>
      <c r="O410" s="173"/>
      <c r="P410" s="174"/>
      <c r="Q410" s="175"/>
      <c r="R410" s="168" t="str">
        <f ca="1">IF(ISERROR($V410),"",OFFSET('Smelter Look-up'!$C$4,$V410-4,0)&amp;"")</f>
        <v>Gejiu Non-Ferrous Metal Processing Co., Ltd.</v>
      </c>
      <c r="S410" s="167" t="str">
        <f t="shared" ca="1" si="57"/>
        <v>CN</v>
      </c>
      <c r="T410" s="167" t="str">
        <f ca="1">IF(B410="","",IF(ISERROR(MATCH($J410,SorP!$B$1:$B$6230,0)),"",INDIRECT("'SorP'!$A$"&amp;MATCH($J410,SorP!$B$1:$B$6230,0))))</f>
        <v>CN-YN</v>
      </c>
      <c r="U410" s="176"/>
      <c r="V410" s="177">
        <f ca="1">IF(C410="",NA(),IF(OR(C410="Smelter not listed",C410="Smelter not yet identified"),MATCH($B410&amp;$D410,'Smelter Look-up'!$J:$J,0),MATCH($B410&amp;$C410,'Smelter Look-up'!$J:$J,0)))</f>
        <v>433</v>
      </c>
      <c r="X410" s="140">
        <f t="shared" ca="1" si="58"/>
        <v>0</v>
      </c>
      <c r="AB410" s="178" t="str">
        <f t="shared" ca="1" si="59"/>
        <v>TinGejiu Non-Ferrous Metal Processing Co., Ltd.</v>
      </c>
    </row>
    <row r="411" spans="1:28" s="140" customFormat="1" ht="51">
      <c r="A411" s="167" t="s">
        <v>1290</v>
      </c>
      <c r="B411" s="168" t="str">
        <f ca="1">IF(LEN(A411)=0,"",INDEX('Smelter Look-up'!$A:$A,MATCH($A411,'Smelter Look-up'!$E:$E,0)))</f>
        <v>Tin</v>
      </c>
      <c r="C411" s="169" t="str">
        <f ca="1">IF(LEN(A411)=0,"",INDEX('Smelter Look-up'!$C:$C,MATCH($A411,'Smelter Look-up'!$E:$E,0)))</f>
        <v>PT Babel Inti Perkasa</v>
      </c>
      <c r="D411" s="170"/>
      <c r="E411" s="168" t="str">
        <f ca="1">IF(ISERROR($V411),"",OFFSET('Smelter Look-up'!$D$4,$V411-4,0)&amp;"")</f>
        <v>INDONESIA</v>
      </c>
      <c r="F411" s="168" t="str">
        <f ca="1">IF(ISERROR($V411),"",OFFSET('Smelter Look-up'!$E$4,$V411-4,0))</f>
        <v>CID001402</v>
      </c>
      <c r="G411" s="168" t="str">
        <f ca="1">IF(C411=$X$4,IF(ISERROR($V411),"Enter smelter details","RMI"),IF(ISERROR($V411),"",OFFSET('Smelter Look-up'!$F$4,$V411-4,0)))</f>
        <v>RMI</v>
      </c>
      <c r="H411" s="171">
        <f ca="1">IF(ISERROR($V411),"",OFFSET('Smelter Look-up'!$G$4,$V411-4,0))</f>
        <v>0</v>
      </c>
      <c r="I411" s="172" t="str">
        <f ca="1">IF(ISERROR($V411),"",OFFSET('Smelter Look-up'!$H$4,$V411-4,0))</f>
        <v>Lintang</v>
      </c>
      <c r="J411" s="172" t="str">
        <f ca="1">IF(ISERROR($V411),"",OFFSET('Smelter Look-up'!$I$4,$V411-4,0))</f>
        <v>Kepulauan Bangka Belitung</v>
      </c>
      <c r="K411" s="173"/>
      <c r="L411" s="173"/>
      <c r="M411" s="173"/>
      <c r="N411" s="173"/>
      <c r="O411" s="173"/>
      <c r="P411" s="174"/>
      <c r="Q411" s="175"/>
      <c r="R411" s="168" t="str">
        <f ca="1">IF(ISERROR($V411),"",OFFSET('Smelter Look-up'!$C$4,$V411-4,0)&amp;"")</f>
        <v>PT Babel Inti Perkasa</v>
      </c>
      <c r="S411" s="167" t="str">
        <f t="shared" ca="1" si="57"/>
        <v>ID</v>
      </c>
      <c r="T411" s="167" t="str">
        <f ca="1">IF(B411="","",IF(ISERROR(MATCH($J411,SorP!$B$1:$B$6230,0)),"",INDIRECT("'SorP'!$A$"&amp;MATCH($J411,SorP!$B$1:$B$6230,0))))</f>
        <v>ID-BB</v>
      </c>
      <c r="U411" s="176"/>
      <c r="V411" s="177">
        <f ca="1">IF(C411="",NA(),IF(OR(C411="Smelter not listed",C411="Smelter not yet identified"),MATCH($B411&amp;$D411,'Smelter Look-up'!$J:$J,0),MATCH($B411&amp;$C411,'Smelter Look-up'!$J:$J,0)))</f>
        <v>486</v>
      </c>
      <c r="X411" s="140">
        <f t="shared" ca="1" si="58"/>
        <v>0</v>
      </c>
      <c r="AB411" s="178" t="str">
        <f t="shared" ca="1" si="59"/>
        <v>TinPT Babel Inti Perkasa</v>
      </c>
    </row>
    <row r="412" spans="1:28" s="140" customFormat="1" ht="63.75">
      <c r="A412" s="167" t="s">
        <v>1292</v>
      </c>
      <c r="B412" s="168" t="str">
        <f ca="1">IF(LEN(A412)=0,"",INDEX('Smelter Look-up'!$A:$A,MATCH($A412,'Smelter Look-up'!$E:$E,0)))</f>
        <v>Tin</v>
      </c>
      <c r="C412" s="169" t="str">
        <f ca="1">IF(LEN(A412)=0,"",INDEX('Smelter Look-up'!$C:$C,MATCH($A412,'Smelter Look-up'!$E:$E,0)))</f>
        <v>PT Babel Surya Alam Lestari</v>
      </c>
      <c r="D412" s="170"/>
      <c r="E412" s="168" t="str">
        <f ca="1">IF(ISERROR($V412),"",OFFSET('Smelter Look-up'!$D$4,$V412-4,0)&amp;"")</f>
        <v>INDONESIA</v>
      </c>
      <c r="F412" s="168" t="str">
        <f ca="1">IF(ISERROR($V412),"",OFFSET('Smelter Look-up'!$E$4,$V412-4,0))</f>
        <v>CID001406</v>
      </c>
      <c r="G412" s="168" t="str">
        <f ca="1">IF(C412=$X$4,IF(ISERROR($V412),"Enter smelter details","RMI"),IF(ISERROR($V412),"",OFFSET('Smelter Look-up'!$F$4,$V412-4,0)))</f>
        <v>RMI</v>
      </c>
      <c r="H412" s="171">
        <f ca="1">IF(ISERROR($V412),"",OFFSET('Smelter Look-up'!$G$4,$V412-4,0))</f>
        <v>0</v>
      </c>
      <c r="I412" s="172" t="str">
        <f ca="1">IF(ISERROR($V412),"",OFFSET('Smelter Look-up'!$H$4,$V412-4,0))</f>
        <v>Badau</v>
      </c>
      <c r="J412" s="172" t="str">
        <f ca="1">IF(ISERROR($V412),"",OFFSET('Smelter Look-up'!$I$4,$V412-4,0))</f>
        <v>Kepulauan Bangka Belitung</v>
      </c>
      <c r="K412" s="173"/>
      <c r="L412" s="173"/>
      <c r="M412" s="173"/>
      <c r="N412" s="173"/>
      <c r="O412" s="173"/>
      <c r="P412" s="174"/>
      <c r="Q412" s="175"/>
      <c r="R412" s="168" t="str">
        <f ca="1">IF(ISERROR($V412),"",OFFSET('Smelter Look-up'!$C$4,$V412-4,0)&amp;"")</f>
        <v>PT Babel Surya Alam Lestari</v>
      </c>
      <c r="S412" s="167" t="str">
        <f t="shared" ca="1" si="57"/>
        <v>ID</v>
      </c>
      <c r="T412" s="167" t="str">
        <f ca="1">IF(B412="","",IF(ISERROR(MATCH($J412,SorP!$B$1:$B$6230,0)),"",INDIRECT("'SorP'!$A$"&amp;MATCH($J412,SorP!$B$1:$B$6230,0))))</f>
        <v>ID-BB</v>
      </c>
      <c r="U412" s="176"/>
      <c r="V412" s="177">
        <f ca="1">IF(C412="",NA(),IF(OR(C412="Smelter not listed",C412="Smelter not yet identified"),MATCH($B412&amp;$D412,'Smelter Look-up'!$J:$J,0),MATCH($B412&amp;$C412,'Smelter Look-up'!$J:$J,0)))</f>
        <v>487</v>
      </c>
      <c r="X412" s="140">
        <f t="shared" ca="1" si="58"/>
        <v>0</v>
      </c>
      <c r="AB412" s="178" t="str">
        <f t="shared" ca="1" si="59"/>
        <v>TinPT Babel Surya Alam Lestari</v>
      </c>
    </row>
    <row r="413" spans="1:28" s="140" customFormat="1" ht="38.25">
      <c r="A413" s="167" t="s">
        <v>1308</v>
      </c>
      <c r="B413" s="168" t="str">
        <f ca="1">IF(LEN(A413)=0,"",INDEX('Smelter Look-up'!$A:$A,MATCH($A413,'Smelter Look-up'!$E:$E,0)))</f>
        <v>Tin</v>
      </c>
      <c r="C413" s="169" t="str">
        <f ca="1">IF(LEN(A413)=0,"",INDEX('Smelter Look-up'!$C:$C,MATCH($A413,'Smelter Look-up'!$E:$E,0)))</f>
        <v>PT Bukit Timah</v>
      </c>
      <c r="D413" s="170"/>
      <c r="E413" s="168" t="str">
        <f ca="1">IF(ISERROR($V413),"",OFFSET('Smelter Look-up'!$D$4,$V413-4,0)&amp;"")</f>
        <v>INDONESIA</v>
      </c>
      <c r="F413" s="168" t="str">
        <f ca="1">IF(ISERROR($V413),"",OFFSET('Smelter Look-up'!$E$4,$V413-4,0))</f>
        <v>CID001428</v>
      </c>
      <c r="G413" s="168" t="str">
        <f ca="1">IF(C413=$X$4,IF(ISERROR($V413),"Enter smelter details","RMI"),IF(ISERROR($V413),"",OFFSET('Smelter Look-up'!$F$4,$V413-4,0)))</f>
        <v>RMI</v>
      </c>
      <c r="H413" s="171">
        <f ca="1">IF(ISERROR($V413),"",OFFSET('Smelter Look-up'!$G$4,$V413-4,0))</f>
        <v>0</v>
      </c>
      <c r="I413" s="172" t="str">
        <f ca="1">IF(ISERROR($V413),"",OFFSET('Smelter Look-up'!$H$4,$V413-4,0))</f>
        <v>Pangkal Pinang</v>
      </c>
      <c r="J413" s="172" t="str">
        <f ca="1">IF(ISERROR($V413),"",OFFSET('Smelter Look-up'!$I$4,$V413-4,0))</f>
        <v>Kepulauan Bangka Belitung</v>
      </c>
      <c r="K413" s="173"/>
      <c r="L413" s="173"/>
      <c r="M413" s="173"/>
      <c r="N413" s="173"/>
      <c r="O413" s="173"/>
      <c r="P413" s="174"/>
      <c r="Q413" s="175"/>
      <c r="R413" s="168" t="str">
        <f ca="1">IF(ISERROR($V413),"",OFFSET('Smelter Look-up'!$C$4,$V413-4,0)&amp;"")</f>
        <v>PT Bukit Timah</v>
      </c>
      <c r="S413" s="167" t="str">
        <f t="shared" ca="1" si="57"/>
        <v>ID</v>
      </c>
      <c r="T413" s="167" t="str">
        <f ca="1">IF(B413="","",IF(ISERROR(MATCH($J413,SorP!$B$1:$B$6230,0)),"",INDIRECT("'SorP'!$A$"&amp;MATCH($J413,SorP!$B$1:$B$6230,0))))</f>
        <v>ID-BB</v>
      </c>
      <c r="U413" s="176"/>
      <c r="V413" s="177">
        <f ca="1">IF(C413="",NA(),IF(OR(C413="Smelter not listed",C413="Smelter not yet identified"),MATCH($B413&amp;$D413,'Smelter Look-up'!$J:$J,0),MATCH($B413&amp;$C413,'Smelter Look-up'!$J:$J,0)))</f>
        <v>490</v>
      </c>
      <c r="X413" s="140">
        <f t="shared" ca="1" si="58"/>
        <v>0</v>
      </c>
      <c r="AB413" s="178" t="str">
        <f t="shared" ca="1" si="59"/>
        <v>TinPT Bukit Timah</v>
      </c>
    </row>
    <row r="414" spans="1:28" s="140" customFormat="1" ht="76.5">
      <c r="A414" s="167" t="s">
        <v>1397</v>
      </c>
      <c r="B414" s="168" t="str">
        <f ca="1">IF(LEN(A414)=0,"",INDEX('Smelter Look-up'!$A:$A,MATCH($A414,'Smelter Look-up'!$E:$E,0)))</f>
        <v>Tungsten</v>
      </c>
      <c r="C414" s="169" t="str">
        <f ca="1">IF(LEN(A414)=0,"",INDEX('Smelter Look-up'!$C:$C,MATCH($A414,'Smelter Look-up'!$E:$E,0)))</f>
        <v>Japan New Metals Co., Ltd.</v>
      </c>
      <c r="D414" s="170"/>
      <c r="E414" s="168" t="str">
        <f ca="1">IF(ISERROR($V414),"",OFFSET('Smelter Look-up'!$D$4,$V414-4,0)&amp;"")</f>
        <v>JAPAN</v>
      </c>
      <c r="F414" s="168" t="str">
        <f ca="1">IF(ISERROR($V414),"",OFFSET('Smelter Look-up'!$E$4,$V414-4,0))</f>
        <v>CID000825</v>
      </c>
      <c r="G414" s="168" t="str">
        <f ca="1">IF(C414=$X$4,IF(ISERROR($V414),"Enter smelter details","RMI"),IF(ISERROR($V414),"",OFFSET('Smelter Look-up'!$F$4,$V414-4,0)))</f>
        <v>RMI</v>
      </c>
      <c r="H414" s="171">
        <f ca="1">IF(ISERROR($V414),"",OFFSET('Smelter Look-up'!$G$4,$V414-4,0))</f>
        <v>0</v>
      </c>
      <c r="I414" s="172" t="str">
        <f ca="1">IF(ISERROR($V414),"",OFFSET('Smelter Look-up'!$H$4,$V414-4,0))</f>
        <v>Akita City</v>
      </c>
      <c r="J414" s="172" t="str">
        <f ca="1">IF(ISERROR($V414),"",OFFSET('Smelter Look-up'!$I$4,$V414-4,0))</f>
        <v>Akita</v>
      </c>
      <c r="K414" s="173"/>
      <c r="L414" s="173"/>
      <c r="M414" s="173"/>
      <c r="N414" s="173"/>
      <c r="O414" s="173"/>
      <c r="P414" s="174"/>
      <c r="Q414" s="175"/>
      <c r="R414" s="168" t="str">
        <f ca="1">IF(ISERROR($V414),"",OFFSET('Smelter Look-up'!$C$4,$V414-4,0)&amp;"")</f>
        <v>Japan New Metals Co., Ltd.</v>
      </c>
      <c r="S414" s="167" t="str">
        <f t="shared" ca="1" si="57"/>
        <v>JP</v>
      </c>
      <c r="T414" s="167" t="str">
        <f ca="1">IF(B414="","",IF(ISERROR(MATCH($J414,SorP!$B$1:$B$6230,0)),"",INDIRECT("'SorP'!$A$"&amp;MATCH($J414,SorP!$B$1:$B$6230,0))))</f>
        <v>JP-05</v>
      </c>
      <c r="U414" s="176"/>
      <c r="V414" s="177">
        <f ca="1">IF(C414="",NA(),IF(OR(C414="Smelter not listed",C414="Smelter not yet identified"),MATCH($B414&amp;$D414,'Smelter Look-up'!$J:$J,0),MATCH($B414&amp;$C414,'Smelter Look-up'!$J:$J,0)))</f>
        <v>592</v>
      </c>
      <c r="X414" s="140">
        <f t="shared" ca="1" si="58"/>
        <v>0</v>
      </c>
      <c r="AB414" s="178" t="str">
        <f t="shared" ca="1" si="59"/>
        <v>TungstenJapan New Metals Co., Ltd.</v>
      </c>
    </row>
    <row r="415" spans="1:28" s="140" customFormat="1" ht="51">
      <c r="A415" s="167" t="s">
        <v>1414</v>
      </c>
      <c r="B415" s="168" t="str">
        <f ca="1">IF(LEN(A415)=0,"",INDEX('Smelter Look-up'!$A:$A,MATCH($A415,'Smelter Look-up'!$E:$E,0)))</f>
        <v>Tungsten</v>
      </c>
      <c r="C415" s="169" t="str">
        <f ca="1">IF(LEN(A415)=0,"",INDEX('Smelter Look-up'!$C:$C,MATCH($A415,'Smelter Look-up'!$E:$E,0)))</f>
        <v>Kennametal Fallon</v>
      </c>
      <c r="D415" s="170"/>
      <c r="E415" s="168" t="str">
        <f ca="1">IF(ISERROR($V415),"",OFFSET('Smelter Look-up'!$D$4,$V415-4,0)&amp;"")</f>
        <v>UNITED STATES OF AMERICA</v>
      </c>
      <c r="F415" s="168" t="str">
        <f ca="1">IF(ISERROR($V415),"",OFFSET('Smelter Look-up'!$E$4,$V415-4,0))</f>
        <v>CID000966</v>
      </c>
      <c r="G415" s="168" t="str">
        <f ca="1">IF(C415=$X$4,IF(ISERROR($V415),"Enter smelter details","RMI"),IF(ISERROR($V415),"",OFFSET('Smelter Look-up'!$F$4,$V415-4,0)))</f>
        <v>RMI</v>
      </c>
      <c r="H415" s="171">
        <f ca="1">IF(ISERROR($V415),"",OFFSET('Smelter Look-up'!$G$4,$V415-4,0))</f>
        <v>0</v>
      </c>
      <c r="I415" s="172" t="str">
        <f ca="1">IF(ISERROR($V415),"",OFFSET('Smelter Look-up'!$H$4,$V415-4,0))</f>
        <v>Fallon</v>
      </c>
      <c r="J415" s="172" t="str">
        <f ca="1">IF(ISERROR($V415),"",OFFSET('Smelter Look-up'!$I$4,$V415-4,0))</f>
        <v>Nevada</v>
      </c>
      <c r="K415" s="173"/>
      <c r="L415" s="173"/>
      <c r="M415" s="173"/>
      <c r="N415" s="173"/>
      <c r="O415" s="173"/>
      <c r="P415" s="174"/>
      <c r="Q415" s="175"/>
      <c r="R415" s="168" t="str">
        <f ca="1">IF(ISERROR($V415),"",OFFSET('Smelter Look-up'!$C$4,$V415-4,0)&amp;"")</f>
        <v>Kennametal Fallon</v>
      </c>
      <c r="S415" s="167" t="str">
        <f t="shared" ca="1" si="57"/>
        <v>US</v>
      </c>
      <c r="T415" s="167" t="str">
        <f ca="1">IF(B415="","",IF(ISERROR(MATCH($J415,SorP!$B$1:$B$6230,0)),"",INDIRECT("'SorP'!$A$"&amp;MATCH($J415,SorP!$B$1:$B$6230,0))))</f>
        <v>US-NV</v>
      </c>
      <c r="U415" s="176"/>
      <c r="V415" s="177">
        <f ca="1">IF(C415="",NA(),IF(OR(C415="Smelter not listed",C415="Smelter not yet identified"),MATCH($B415&amp;$D415,'Smelter Look-up'!$J:$J,0),MATCH($B415&amp;$C415,'Smelter Look-up'!$J:$J,0)))</f>
        <v>603</v>
      </c>
      <c r="X415" s="140">
        <f t="shared" ca="1" si="58"/>
        <v>0</v>
      </c>
      <c r="AB415" s="178" t="str">
        <f t="shared" ca="1" si="59"/>
        <v>TungstenKennametal Fallon</v>
      </c>
    </row>
    <row r="416" spans="1:28" s="140" customFormat="1" ht="63.75">
      <c r="A416" s="167" t="s">
        <v>1474</v>
      </c>
      <c r="B416" s="168" t="str">
        <f ca="1">IF(LEN(A416)=0,"",INDEX('Smelter Look-up'!$A:$A,MATCH($A416,'Smelter Look-up'!$E:$E,0)))</f>
        <v>Tin</v>
      </c>
      <c r="C416" s="169" t="str">
        <f ca="1">IF(LEN(A416)=0,"",INDEX('Smelter Look-up'!$C:$C,MATCH($A416,'Smelter Look-up'!$E:$E,0)))</f>
        <v>PT Aries Kencana Sejahtera</v>
      </c>
      <c r="D416" s="170"/>
      <c r="E416" s="168" t="str">
        <f ca="1">IF(ISERROR($V416),"",OFFSET('Smelter Look-up'!$D$4,$V416-4,0)&amp;"")</f>
        <v>INDONESIA</v>
      </c>
      <c r="F416" s="168" t="str">
        <f ca="1">IF(ISERROR($V416),"",OFFSET('Smelter Look-up'!$E$4,$V416-4,0))</f>
        <v>CID000309</v>
      </c>
      <c r="G416" s="168" t="str">
        <f ca="1">IF(C416=$X$4,IF(ISERROR($V416),"Enter smelter details","RMI"),IF(ISERROR($V416),"",OFFSET('Smelter Look-up'!$F$4,$V416-4,0)))</f>
        <v>RMI</v>
      </c>
      <c r="H416" s="171">
        <f ca="1">IF(ISERROR($V416),"",OFFSET('Smelter Look-up'!$G$4,$V416-4,0))</f>
        <v>0</v>
      </c>
      <c r="I416" s="172" t="str">
        <f ca="1">IF(ISERROR($V416),"",OFFSET('Smelter Look-up'!$H$4,$V416-4,0))</f>
        <v>Pemali</v>
      </c>
      <c r="J416" s="172" t="str">
        <f ca="1">IF(ISERROR($V416),"",OFFSET('Smelter Look-up'!$I$4,$V416-4,0))</f>
        <v>Kepulauan Bangka Belitung</v>
      </c>
      <c r="K416" s="173"/>
      <c r="L416" s="173"/>
      <c r="M416" s="173"/>
      <c r="N416" s="173"/>
      <c r="O416" s="173"/>
      <c r="P416" s="174"/>
      <c r="Q416" s="175"/>
      <c r="R416" s="168" t="str">
        <f ca="1">IF(ISERROR($V416),"",OFFSET('Smelter Look-up'!$C$4,$V416-4,0)&amp;"")</f>
        <v>PT Aries Kencana Sejahtera</v>
      </c>
      <c r="S416" s="167" t="str">
        <f t="shared" ca="1" si="57"/>
        <v>ID</v>
      </c>
      <c r="T416" s="167" t="str">
        <f ca="1">IF(B416="","",IF(ISERROR(MATCH($J416,SorP!$B$1:$B$6230,0)),"",INDIRECT("'SorP'!$A$"&amp;MATCH($J416,SorP!$B$1:$B$6230,0))))</f>
        <v>ID-BB</v>
      </c>
      <c r="U416" s="176"/>
      <c r="V416" s="177">
        <f ca="1">IF(C416="",NA(),IF(OR(C416="Smelter not listed",C416="Smelter not yet identified"),MATCH($B416&amp;$D416,'Smelter Look-up'!$J:$J,0),MATCH($B416&amp;$C416,'Smelter Look-up'!$J:$J,0)))</f>
        <v>483</v>
      </c>
      <c r="X416" s="140">
        <f t="shared" ca="1" si="58"/>
        <v>0</v>
      </c>
      <c r="AB416" s="178" t="str">
        <f t="shared" ca="1" si="59"/>
        <v>TinPT Aries Kencana Sejahtera</v>
      </c>
    </row>
    <row r="417" spans="1:28" s="140" customFormat="1" ht="51">
      <c r="A417" s="167" t="s">
        <v>1476</v>
      </c>
      <c r="B417" s="168" t="str">
        <f ca="1">IF(LEN(A417)=0,"",INDEX('Smelter Look-up'!$A:$A,MATCH($A417,'Smelter Look-up'!$E:$E,0)))</f>
        <v>Tin</v>
      </c>
      <c r="C417" s="169" t="str">
        <f ca="1">IF(LEN(A417)=0,"",INDEX('Smelter Look-up'!$C:$C,MATCH($A417,'Smelter Look-up'!$E:$E,0)))</f>
        <v>PT Sukses Inti Makmur</v>
      </c>
      <c r="D417" s="170"/>
      <c r="E417" s="168" t="str">
        <f ca="1">IF(ISERROR($V417),"",OFFSET('Smelter Look-up'!$D$4,$V417-4,0)&amp;"")</f>
        <v>INDONESIA</v>
      </c>
      <c r="F417" s="168" t="str">
        <f ca="1">IF(ISERROR($V417),"",OFFSET('Smelter Look-up'!$E$4,$V417-4,0))</f>
        <v>CID002816</v>
      </c>
      <c r="G417" s="168" t="str">
        <f ca="1">IF(C417=$X$4,IF(ISERROR($V417),"Enter smelter details","RMI"),IF(ISERROR($V417),"",OFFSET('Smelter Look-up'!$F$4,$V417-4,0)))</f>
        <v>RMI</v>
      </c>
      <c r="H417" s="171">
        <f ca="1">IF(ISERROR($V417),"",OFFSET('Smelter Look-up'!$G$4,$V417-4,0))</f>
        <v>0</v>
      </c>
      <c r="I417" s="172" t="str">
        <f ca="1">IF(ISERROR($V417),"",OFFSET('Smelter Look-up'!$H$4,$V417-4,0))</f>
        <v>Sungai Samak</v>
      </c>
      <c r="J417" s="172" t="str">
        <f ca="1">IF(ISERROR($V417),"",OFFSET('Smelter Look-up'!$I$4,$V417-4,0))</f>
        <v>Kepulauan Bangka Belitung</v>
      </c>
      <c r="K417" s="173"/>
      <c r="L417" s="173"/>
      <c r="M417" s="173"/>
      <c r="N417" s="173"/>
      <c r="O417" s="173"/>
      <c r="P417" s="174"/>
      <c r="Q417" s="175"/>
      <c r="R417" s="168" t="str">
        <f ca="1">IF(ISERROR($V417),"",OFFSET('Smelter Look-up'!$C$4,$V417-4,0)&amp;"")</f>
        <v>PT Sukses Inti Makmur</v>
      </c>
      <c r="S417" s="167" t="str">
        <f t="shared" ca="1" si="57"/>
        <v>ID</v>
      </c>
      <c r="T417" s="167" t="str">
        <f ca="1">IF(B417="","",IF(ISERROR(MATCH($J417,SorP!$B$1:$B$6230,0)),"",INDIRECT("'SorP'!$A$"&amp;MATCH($J417,SorP!$B$1:$B$6230,0))))</f>
        <v>ID-BB</v>
      </c>
      <c r="U417" s="176"/>
      <c r="V417" s="177">
        <f ca="1">IF(C417="",NA(),IF(OR(C417="Smelter not listed",C417="Smelter not yet identified"),MATCH($B417&amp;$D417,'Smelter Look-up'!$J:$J,0),MATCH($B417&amp;$C417,'Smelter Look-up'!$J:$J,0)))</f>
        <v>505</v>
      </c>
      <c r="X417" s="140">
        <f t="shared" ca="1" si="58"/>
        <v>0</v>
      </c>
      <c r="AB417" s="178" t="str">
        <f t="shared" ca="1" si="59"/>
        <v>TinPT Sukses Inti Makmur</v>
      </c>
    </row>
    <row r="418" spans="1:28" s="140" customFormat="1" ht="51">
      <c r="A418" s="167" t="s">
        <v>1609</v>
      </c>
      <c r="B418" s="168" t="str">
        <f ca="1">IF(LEN(A418)=0,"",INDEX('Smelter Look-up'!$A:$A,MATCH($A418,'Smelter Look-up'!$E:$E,0)))</f>
        <v>Tin</v>
      </c>
      <c r="C418" s="169" t="str">
        <f ca="1">IF(LEN(A418)=0,"",INDEX('Smelter Look-up'!$C:$C,MATCH($A418,'Smelter Look-up'!$E:$E,0)))</f>
        <v>PT Tirus Putra Mandiri</v>
      </c>
      <c r="D418" s="170"/>
      <c r="E418" s="168" t="str">
        <f ca="1">IF(ISERROR($V418),"",OFFSET('Smelter Look-up'!$D$4,$V418-4,0)&amp;"")</f>
        <v>INDONESIA</v>
      </c>
      <c r="F418" s="168" t="str">
        <f ca="1">IF(ISERROR($V418),"",OFFSET('Smelter Look-up'!$E$4,$V418-4,0))</f>
        <v>CID002478</v>
      </c>
      <c r="G418" s="168" t="str">
        <f ca="1">IF(C418=$X$4,IF(ISERROR($V418),"Enter smelter details","RMI"),IF(ISERROR($V418),"",OFFSET('Smelter Look-up'!$F$4,$V418-4,0)))</f>
        <v>RMI</v>
      </c>
      <c r="H418" s="171">
        <f ca="1">IF(ISERROR($V418),"",OFFSET('Smelter Look-up'!$G$4,$V418-4,0))</f>
        <v>0</v>
      </c>
      <c r="I418" s="172" t="str">
        <f ca="1">IF(ISERROR($V418),"",OFFSET('Smelter Look-up'!$H$4,$V418-4,0))</f>
        <v>Bogor</v>
      </c>
      <c r="J418" s="172" t="str">
        <f ca="1">IF(ISERROR($V418),"",OFFSET('Smelter Look-up'!$I$4,$V418-4,0))</f>
        <v>Jawa Barat</v>
      </c>
      <c r="K418" s="173"/>
      <c r="L418" s="173"/>
      <c r="M418" s="173"/>
      <c r="N418" s="173"/>
      <c r="O418" s="173"/>
      <c r="P418" s="174"/>
      <c r="Q418" s="175"/>
      <c r="R418" s="168" t="str">
        <f ca="1">IF(ISERROR($V418),"",OFFSET('Smelter Look-up'!$C$4,$V418-4,0)&amp;"")</f>
        <v>PT Tirus Putra Mandiri</v>
      </c>
      <c r="S418" s="167" t="str">
        <f t="shared" ref="S418:S433" ca="1" si="60">IF(B418="","",IF(ISERROR(MATCH($E418,CL,0)),"Unknown",INDIRECT("'C'!$A$"&amp;MATCH($E418,CL,0)+1)))</f>
        <v>ID</v>
      </c>
      <c r="T418" s="167" t="str">
        <f ca="1">IF(B418="","",IF(ISERROR(MATCH($J418,SorP!$B$1:$B$6230,0)),"",INDIRECT("'SorP'!$A$"&amp;MATCH($J418,SorP!$B$1:$B$6230,0))))</f>
        <v>ID-JB</v>
      </c>
      <c r="U418" s="176"/>
      <c r="V418" s="177">
        <f ca="1">IF(C418="",NA(),IF(OR(C418="Smelter not listed",C418="Smelter not yet identified"),MATCH($B418&amp;$D418,'Smelter Look-up'!$J:$J,0),MATCH($B418&amp;$C418,'Smelter Look-up'!$J:$J,0)))</f>
        <v>511</v>
      </c>
      <c r="X418" s="140">
        <f t="shared" ref="X418:X433" ca="1" si="61">IF(AND(C418="Smelter not listed",OR(LEN(D418)=0,LEN(E418)=0)),1,0)</f>
        <v>0</v>
      </c>
      <c r="AB418" s="178" t="str">
        <f t="shared" ref="AB418:AB433" ca="1" si="62">B418&amp;C418</f>
        <v>TinPT Tirus Putra Mandiri</v>
      </c>
    </row>
    <row r="419" spans="1:28" s="140" customFormat="1" ht="38.25">
      <c r="A419" s="167" t="s">
        <v>1612</v>
      </c>
      <c r="B419" s="168" t="str">
        <f ca="1">IF(LEN(A419)=0,"",INDEX('Smelter Look-up'!$A:$A,MATCH($A419,'Smelter Look-up'!$E:$E,0)))</f>
        <v>Tin</v>
      </c>
      <c r="C419" s="169" t="str">
        <f ca="1">IF(LEN(A419)=0,"",INDEX('Smelter Look-up'!$C:$C,MATCH($A419,'Smelter Look-up'!$E:$E,0)))</f>
        <v>PT Tommy Utama</v>
      </c>
      <c r="D419" s="170"/>
      <c r="E419" s="168" t="str">
        <f ca="1">IF(ISERROR($V419),"",OFFSET('Smelter Look-up'!$D$4,$V419-4,0)&amp;"")</f>
        <v>INDONESIA</v>
      </c>
      <c r="F419" s="168" t="str">
        <f ca="1">IF(ISERROR($V419),"",OFFSET('Smelter Look-up'!$E$4,$V419-4,0))</f>
        <v>CID001493</v>
      </c>
      <c r="G419" s="168" t="str">
        <f ca="1">IF(C419=$X$4,IF(ISERROR($V419),"Enter smelter details","RMI"),IF(ISERROR($V419),"",OFFSET('Smelter Look-up'!$F$4,$V419-4,0)))</f>
        <v>RMI</v>
      </c>
      <c r="H419" s="171">
        <f ca="1">IF(ISERROR($V419),"",OFFSET('Smelter Look-up'!$G$4,$V419-4,0))</f>
        <v>0</v>
      </c>
      <c r="I419" s="172" t="str">
        <f ca="1">IF(ISERROR($V419),"",OFFSET('Smelter Look-up'!$H$4,$V419-4,0))</f>
        <v>Sumping Desa Batu Peyu</v>
      </c>
      <c r="J419" s="172" t="str">
        <f ca="1">IF(ISERROR($V419),"",OFFSET('Smelter Look-up'!$I$4,$V419-4,0))</f>
        <v>Kepulauan Bangka Belitung</v>
      </c>
      <c r="K419" s="173"/>
      <c r="L419" s="173"/>
      <c r="M419" s="173"/>
      <c r="N419" s="173"/>
      <c r="O419" s="173"/>
      <c r="P419" s="174"/>
      <c r="Q419" s="175"/>
      <c r="R419" s="168" t="str">
        <f ca="1">IF(ISERROR($V419),"",OFFSET('Smelter Look-up'!$C$4,$V419-4,0)&amp;"")</f>
        <v>PT Tommy Utama</v>
      </c>
      <c r="S419" s="167" t="str">
        <f t="shared" ca="1" si="60"/>
        <v>ID</v>
      </c>
      <c r="T419" s="167" t="str">
        <f ca="1">IF(B419="","",IF(ISERROR(MATCH($J419,SorP!$B$1:$B$6230,0)),"",INDIRECT("'SorP'!$A$"&amp;MATCH($J419,SorP!$B$1:$B$6230,0))))</f>
        <v>ID-BB</v>
      </c>
      <c r="U419" s="176"/>
      <c r="V419" s="177">
        <f ca="1">IF(C419="",NA(),IF(OR(C419="Smelter not listed",C419="Smelter not yet identified"),MATCH($B419&amp;$D419,'Smelter Look-up'!$J:$J,0),MATCH($B419&amp;$C419,'Smelter Look-up'!$J:$J,0)))</f>
        <v>512</v>
      </c>
      <c r="X419" s="140">
        <f t="shared" ca="1" si="61"/>
        <v>0</v>
      </c>
      <c r="AB419" s="178" t="str">
        <f t="shared" ca="1" si="62"/>
        <v>TinPT Tommy Utama</v>
      </c>
    </row>
    <row r="420" spans="1:28" s="140" customFormat="1" ht="140.25">
      <c r="A420" s="167" t="s">
        <v>1680</v>
      </c>
      <c r="B420" s="168" t="str">
        <f ca="1">IF(LEN(A420)=0,"",INDEX('Smelter Look-up'!$A:$A,MATCH($A420,'Smelter Look-up'!$E:$E,0)))</f>
        <v>Tungsten</v>
      </c>
      <c r="C420" s="169" t="str">
        <f ca="1">IF(LEN(A420)=0,"",INDEX('Smelter Look-up'!$C:$C,MATCH($A420,'Smelter Look-up'!$E:$E,0)))</f>
        <v>Jingmen Dewei GEM Tungsten Resources Recycling Co., Ltd.</v>
      </c>
      <c r="D420" s="170"/>
      <c r="E420" s="168" t="str">
        <f ca="1">IF(ISERROR($V420),"",OFFSET('Smelter Look-up'!$D$4,$V420-4,0)&amp;"")</f>
        <v>CHINA</v>
      </c>
      <c r="F420" s="168" t="str">
        <f ca="1">IF(ISERROR($V420),"",OFFSET('Smelter Look-up'!$E$4,$V420-4,0))</f>
        <v>CID003417</v>
      </c>
      <c r="G420" s="168" t="str">
        <f ca="1">IF(C420=$X$4,IF(ISERROR($V420),"Enter smelter details","RMI"),IF(ISERROR($V420),"",OFFSET('Smelter Look-up'!$F$4,$V420-4,0)))</f>
        <v>RMI</v>
      </c>
      <c r="H420" s="171">
        <f ca="1">IF(ISERROR($V420),"",OFFSET('Smelter Look-up'!$G$4,$V420-4,0))</f>
        <v>0</v>
      </c>
      <c r="I420" s="172" t="str">
        <f ca="1">IF(ISERROR($V420),"",OFFSET('Smelter Look-up'!$H$4,$V420-4,0))</f>
        <v>Shenzhen</v>
      </c>
      <c r="J420" s="172" t="str">
        <f ca="1">IF(ISERROR($V420),"",OFFSET('Smelter Look-up'!$I$4,$V420-4,0))</f>
        <v>Guangdong Sheng</v>
      </c>
      <c r="K420" s="173"/>
      <c r="L420" s="173"/>
      <c r="M420" s="173"/>
      <c r="N420" s="173"/>
      <c r="O420" s="173"/>
      <c r="P420" s="174"/>
      <c r="Q420" s="175"/>
      <c r="R420" s="168" t="str">
        <f ca="1">IF(ISERROR($V420),"",OFFSET('Smelter Look-up'!$C$4,$V420-4,0)&amp;"")</f>
        <v>Jingmen Dewei GEM Tungsten Resources Recycling Co., Ltd.</v>
      </c>
      <c r="S420" s="167" t="str">
        <f t="shared" ca="1" si="60"/>
        <v>CN</v>
      </c>
      <c r="T420" s="167" t="str">
        <f ca="1">IF(B420="","",IF(ISERROR(MATCH($J420,SorP!$B$1:$B$6230,0)),"",INDIRECT("'SorP'!$A$"&amp;MATCH($J420,SorP!$B$1:$B$6230,0))))</f>
        <v>CN-GD</v>
      </c>
      <c r="U420" s="176"/>
      <c r="V420" s="177">
        <f ca="1">IF(C420="",NA(),IF(OR(C420="Smelter not listed",C420="Smelter not yet identified"),MATCH($B420&amp;$D420,'Smelter Look-up'!$J:$J,0),MATCH($B420&amp;$C420,'Smelter Look-up'!$J:$J,0)))</f>
        <v>601</v>
      </c>
      <c r="X420" s="140">
        <f t="shared" ca="1" si="61"/>
        <v>0</v>
      </c>
      <c r="AB420" s="178" t="str">
        <f t="shared" ca="1" si="62"/>
        <v>TungstenJingmen Dewei GEM Tungsten Resources Recycling Co., Ltd.</v>
      </c>
    </row>
    <row r="421" spans="1:28" s="140" customFormat="1" ht="76.5">
      <c r="A421" s="167" t="s">
        <v>1928</v>
      </c>
      <c r="B421" s="168" t="str">
        <f ca="1">IF(LEN(A421)=0,"",INDEX('Smelter Look-up'!$A:$A,MATCH($A421,'Smelter Look-up'!$E:$E,0)))</f>
        <v>Gold</v>
      </c>
      <c r="C421" s="169" t="str">
        <f ca="1">IF(LEN(A421)=0,"",INDEX('Smelter Look-up'!$C:$C,MATCH($A421,'Smelter Look-up'!$E:$E,0)))</f>
        <v>International Precious Metal Refiners</v>
      </c>
      <c r="D421" s="170"/>
      <c r="E421" s="168" t="str">
        <f ca="1">IF(ISERROR($V421),"",OFFSET('Smelter Look-up'!$D$4,$V421-4,0)&amp;"")</f>
        <v>UNITED ARAB EMIRATES</v>
      </c>
      <c r="F421" s="168" t="str">
        <f ca="1">IF(ISERROR($V421),"",OFFSET('Smelter Look-up'!$E$4,$V421-4,0))</f>
        <v>CID002562</v>
      </c>
      <c r="G421" s="168" t="str">
        <f ca="1">IF(C421=$X$4,IF(ISERROR($V421),"Enter smelter details","RMI"),IF(ISERROR($V421),"",OFFSET('Smelter Look-up'!$F$4,$V421-4,0)))</f>
        <v>RMI</v>
      </c>
      <c r="H421" s="171">
        <f ca="1">IF(ISERROR($V421),"",OFFSET('Smelter Look-up'!$G$4,$V421-4,0))</f>
        <v>0</v>
      </c>
      <c r="I421" s="172" t="str">
        <f ca="1">IF(ISERROR($V421),"",OFFSET('Smelter Look-up'!$H$4,$V421-4,0))</f>
        <v>Dubai</v>
      </c>
      <c r="J421" s="172" t="str">
        <f ca="1">IF(ISERROR($V421),"",OFFSET('Smelter Look-up'!$I$4,$V421-4,0))</f>
        <v>Dubayy</v>
      </c>
      <c r="K421" s="173"/>
      <c r="L421" s="173"/>
      <c r="M421" s="173"/>
      <c r="N421" s="173"/>
      <c r="O421" s="173"/>
      <c r="P421" s="174"/>
      <c r="Q421" s="175"/>
      <c r="R421" s="168" t="str">
        <f ca="1">IF(ISERROR($V421),"",OFFSET('Smelter Look-up'!$C$4,$V421-4,0)&amp;"")</f>
        <v>International Precious Metal Refiners</v>
      </c>
      <c r="S421" s="167" t="str">
        <f t="shared" ca="1" si="60"/>
        <v>AE</v>
      </c>
      <c r="T421" s="167" t="str">
        <f ca="1">IF(B421="","",IF(ISERROR(MATCH($J421,SorP!$B$1:$B$6230,0)),"",INDIRECT("'SorP'!$A$"&amp;MATCH($J421,SorP!$B$1:$B$6230,0))))</f>
        <v>AE-DU</v>
      </c>
      <c r="U421" s="176"/>
      <c r="V421" s="177">
        <f ca="1">IF(C421="",NA(),IF(OR(C421="Smelter not listed",C421="Smelter not yet identified"),MATCH($B421&amp;$D421,'Smelter Look-up'!$J:$J,0),MATCH($B421&amp;$C421,'Smelter Look-up'!$J:$J,0)))</f>
        <v>118</v>
      </c>
      <c r="X421" s="140">
        <f t="shared" ca="1" si="61"/>
        <v>0</v>
      </c>
      <c r="AB421" s="178" t="str">
        <f t="shared" ca="1" si="62"/>
        <v>GoldInternational Precious Metal Refiners</v>
      </c>
    </row>
    <row r="422" spans="1:28" s="140" customFormat="1" ht="63.75">
      <c r="A422" s="167" t="s">
        <v>1952</v>
      </c>
      <c r="B422" s="168" t="str">
        <f ca="1">IF(LEN(A422)=0,"",INDEX('Smelter Look-up'!$A:$A,MATCH($A422,'Smelter Look-up'!$E:$E,0)))</f>
        <v>Gold</v>
      </c>
      <c r="C422" s="169" t="str">
        <f ca="1">IF(LEN(A422)=0,"",INDEX('Smelter Look-up'!$C:$C,MATCH($A422,'Smelter Look-up'!$E:$E,0)))</f>
        <v>Asahi Refining USA Inc.</v>
      </c>
      <c r="D422" s="170"/>
      <c r="E422" s="168" t="str">
        <f ca="1">IF(ISERROR($V422),"",OFFSET('Smelter Look-up'!$D$4,$V422-4,0)&amp;"")</f>
        <v>UNITED STATES OF AMERICA</v>
      </c>
      <c r="F422" s="168" t="str">
        <f ca="1">IF(ISERROR($V422),"",OFFSET('Smelter Look-up'!$E$4,$V422-4,0))</f>
        <v>CID000920</v>
      </c>
      <c r="G422" s="168" t="str">
        <f ca="1">IF(C422=$X$4,IF(ISERROR($V422),"Enter smelter details","RMI"),IF(ISERROR($V422),"",OFFSET('Smelter Look-up'!$F$4,$V422-4,0)))</f>
        <v>RMI</v>
      </c>
      <c r="H422" s="171">
        <f ca="1">IF(ISERROR($V422),"",OFFSET('Smelter Look-up'!$G$4,$V422-4,0))</f>
        <v>0</v>
      </c>
      <c r="I422" s="172" t="str">
        <f ca="1">IF(ISERROR($V422),"",OFFSET('Smelter Look-up'!$H$4,$V422-4,0))</f>
        <v>Salt Lake City</v>
      </c>
      <c r="J422" s="172" t="str">
        <f ca="1">IF(ISERROR($V422),"",OFFSET('Smelter Look-up'!$I$4,$V422-4,0))</f>
        <v>Utah</v>
      </c>
      <c r="K422" s="173"/>
      <c r="L422" s="173"/>
      <c r="M422" s="173"/>
      <c r="N422" s="173"/>
      <c r="O422" s="173"/>
      <c r="P422" s="174"/>
      <c r="Q422" s="175"/>
      <c r="R422" s="168" t="str">
        <f ca="1">IF(ISERROR($V422),"",OFFSET('Smelter Look-up'!$C$4,$V422-4,0)&amp;"")</f>
        <v>Asahi Refining USA Inc.</v>
      </c>
      <c r="S422" s="167" t="str">
        <f t="shared" ca="1" si="60"/>
        <v>US</v>
      </c>
      <c r="T422" s="167" t="str">
        <f ca="1">IF(B422="","",IF(ISERROR(MATCH($J422,SorP!$B$1:$B$6230,0)),"",INDIRECT("'SorP'!$A$"&amp;MATCH($J422,SorP!$B$1:$B$6230,0))))</f>
        <v>US-UT</v>
      </c>
      <c r="U422" s="176"/>
      <c r="V422" s="177">
        <f ca="1">IF(C422="",NA(),IF(OR(C422="Smelter not listed",C422="Smelter not yet identified"),MATCH($B422&amp;$D422,'Smelter Look-up'!$J:$J,0),MATCH($B422&amp;$C422,'Smelter Look-up'!$J:$J,0)))</f>
        <v>31</v>
      </c>
      <c r="X422" s="140">
        <f t="shared" ca="1" si="61"/>
        <v>0</v>
      </c>
      <c r="AB422" s="178" t="str">
        <f t="shared" ca="1" si="62"/>
        <v>GoldAsahi Refining USA Inc.</v>
      </c>
    </row>
    <row r="423" spans="1:28" s="140" customFormat="1" ht="63.75">
      <c r="A423" s="167" t="s">
        <v>1981</v>
      </c>
      <c r="B423" s="168" t="str">
        <f ca="1">IF(LEN(A423)=0,"",INDEX('Smelter Look-up'!$A:$A,MATCH($A423,'Smelter Look-up'!$E:$E,0)))</f>
        <v>Tin</v>
      </c>
      <c r="C423" s="169" t="str">
        <f ca="1">IF(LEN(A423)=0,"",INDEX('Smelter Look-up'!$C:$C,MATCH($A423,'Smelter Look-up'!$E:$E,0)))</f>
        <v>China Tin Group Co., Ltd.</v>
      </c>
      <c r="D423" s="170"/>
      <c r="E423" s="168" t="str">
        <f ca="1">IF(ISERROR($V423),"",OFFSET('Smelter Look-up'!$D$4,$V423-4,0)&amp;"")</f>
        <v>CHINA</v>
      </c>
      <c r="F423" s="168" t="str">
        <f ca="1">IF(ISERROR($V423),"",OFFSET('Smelter Look-up'!$E$4,$V423-4,0))</f>
        <v>CID001070</v>
      </c>
      <c r="G423" s="168" t="str">
        <f ca="1">IF(C423=$X$4,IF(ISERROR($V423),"Enter smelter details","RMI"),IF(ISERROR($V423),"",OFFSET('Smelter Look-up'!$F$4,$V423-4,0)))</f>
        <v>RMI</v>
      </c>
      <c r="H423" s="171">
        <f ca="1">IF(ISERROR($V423),"",OFFSET('Smelter Look-up'!$G$4,$V423-4,0))</f>
        <v>0</v>
      </c>
      <c r="I423" s="172" t="str">
        <f ca="1">IF(ISERROR($V423),"",OFFSET('Smelter Look-up'!$H$4,$V423-4,0))</f>
        <v>Laibin</v>
      </c>
      <c r="J423" s="172" t="str">
        <f ca="1">IF(ISERROR($V423),"",OFFSET('Smelter Look-up'!$I$4,$V423-4,0))</f>
        <v>Guangxi Zhuangzu Zizhiqu</v>
      </c>
      <c r="K423" s="173"/>
      <c r="L423" s="173"/>
      <c r="M423" s="173"/>
      <c r="N423" s="173"/>
      <c r="O423" s="173"/>
      <c r="P423" s="174"/>
      <c r="Q423" s="175"/>
      <c r="R423" s="168" t="str">
        <f ca="1">IF(ISERROR($V423),"",OFFSET('Smelter Look-up'!$C$4,$V423-4,0)&amp;"")</f>
        <v>China Tin Group Co., Ltd.</v>
      </c>
      <c r="S423" s="167" t="str">
        <f t="shared" ca="1" si="60"/>
        <v>CN</v>
      </c>
      <c r="T423" s="167" t="str">
        <f ca="1">IF(B423="","",IF(ISERROR(MATCH($J423,SorP!$B$1:$B$6230,0)),"",INDIRECT("'SorP'!$A$"&amp;MATCH($J423,SorP!$B$1:$B$6230,0))))</f>
        <v>CN-GX</v>
      </c>
      <c r="U423" s="176"/>
      <c r="V423" s="177">
        <f ca="1">IF(C423="",NA(),IF(OR(C423="Smelter not listed",C423="Smelter not yet identified"),MATCH($B423&amp;$D423,'Smelter Look-up'!$J:$J,0),MATCH($B423&amp;$C423,'Smelter Look-up'!$J:$J,0)))</f>
        <v>402</v>
      </c>
      <c r="X423" s="140">
        <f t="shared" ca="1" si="61"/>
        <v>0</v>
      </c>
      <c r="AB423" s="178" t="str">
        <f t="shared" ca="1" si="62"/>
        <v>TinChina Tin Group Co., Ltd.</v>
      </c>
    </row>
    <row r="424" spans="1:28" s="140" customFormat="1" ht="51">
      <c r="A424" s="167" t="s">
        <v>1987</v>
      </c>
      <c r="B424" s="168" t="str">
        <f ca="1">IF(LEN(A424)=0,"",INDEX('Smelter Look-up'!$A:$A,MATCH($A424,'Smelter Look-up'!$E:$E,0)))</f>
        <v>Tin</v>
      </c>
      <c r="C424" s="169" t="str">
        <f ca="1">IF(LEN(A424)=0,"",INDEX('Smelter Look-up'!$C:$C,MATCH($A424,'Smelter Look-up'!$E:$E,0)))</f>
        <v>CV Venus Inti Perkasa</v>
      </c>
      <c r="D424" s="170"/>
      <c r="E424" s="168" t="str">
        <f ca="1">IF(ISERROR($V424),"",OFFSET('Smelter Look-up'!$D$4,$V424-4,0)&amp;"")</f>
        <v>INDONESIA</v>
      </c>
      <c r="F424" s="168" t="str">
        <f ca="1">IF(ISERROR($V424),"",OFFSET('Smelter Look-up'!$E$4,$V424-4,0))</f>
        <v>CID002455</v>
      </c>
      <c r="G424" s="168" t="str">
        <f ca="1">IF(C424=$X$4,IF(ISERROR($V424),"Enter smelter details","RMI"),IF(ISERROR($V424),"",OFFSET('Smelter Look-up'!$F$4,$V424-4,0)))</f>
        <v>RMI</v>
      </c>
      <c r="H424" s="171">
        <f ca="1">IF(ISERROR($V424),"",OFFSET('Smelter Look-up'!$G$4,$V424-4,0))</f>
        <v>0</v>
      </c>
      <c r="I424" s="172" t="str">
        <f ca="1">IF(ISERROR($V424),"",OFFSET('Smelter Look-up'!$H$4,$V424-4,0))</f>
        <v>Pangkal Pinang</v>
      </c>
      <c r="J424" s="172" t="str">
        <f ca="1">IF(ISERROR($V424),"",OFFSET('Smelter Look-up'!$I$4,$V424-4,0))</f>
        <v>Kepulauan Bangka Belitung</v>
      </c>
      <c r="K424" s="173"/>
      <c r="L424" s="173"/>
      <c r="M424" s="173"/>
      <c r="N424" s="173"/>
      <c r="O424" s="173"/>
      <c r="P424" s="174"/>
      <c r="Q424" s="175"/>
      <c r="R424" s="168" t="str">
        <f ca="1">IF(ISERROR($V424),"",OFFSET('Smelter Look-up'!$C$4,$V424-4,0)&amp;"")</f>
        <v>CV Venus Inti Perkasa</v>
      </c>
      <c r="S424" s="167" t="str">
        <f t="shared" ca="1" si="60"/>
        <v>ID</v>
      </c>
      <c r="T424" s="167" t="str">
        <f ca="1">IF(B424="","",IF(ISERROR(MATCH($J424,SorP!$B$1:$B$6230,0)),"",INDIRECT("'SorP'!$A$"&amp;MATCH($J424,SorP!$B$1:$B$6230,0))))</f>
        <v>ID-BB</v>
      </c>
      <c r="U424" s="176"/>
      <c r="V424" s="177">
        <f ca="1">IF(C424="",NA(),IF(OR(C424="Smelter not listed",C424="Smelter not yet identified"),MATCH($B424&amp;$D424,'Smelter Look-up'!$J:$J,0),MATCH($B424&amp;$C424,'Smelter Look-up'!$J:$J,0)))</f>
        <v>412</v>
      </c>
      <c r="X424" s="140">
        <f t="shared" ca="1" si="61"/>
        <v>0</v>
      </c>
      <c r="AB424" s="178" t="str">
        <f t="shared" ca="1" si="62"/>
        <v>TinCV Venus Inti Perkasa</v>
      </c>
    </row>
    <row r="425" spans="1:28" s="140" customFormat="1" ht="63.75">
      <c r="A425" s="167" t="s">
        <v>2181</v>
      </c>
      <c r="B425" s="168" t="str">
        <f ca="1">IF(LEN(A425)=0,"",INDEX('Smelter Look-up'!$A:$A,MATCH($A425,'Smelter Look-up'!$E:$E,0)))</f>
        <v>Tin</v>
      </c>
      <c r="C425" s="169" t="str">
        <f ca="1">IF(LEN(A425)=0,"",INDEX('Smelter Look-up'!$C:$C,MATCH($A425,'Smelter Look-up'!$E:$E,0)))</f>
        <v>Novosibirsk Processing Plant Ltd.</v>
      </c>
      <c r="D425" s="170"/>
      <c r="E425" s="168" t="str">
        <f ca="1">IF(ISERROR($V425),"",OFFSET('Smelter Look-up'!$D$4,$V425-4,0)&amp;"")</f>
        <v>RUSSIAN FEDERATION</v>
      </c>
      <c r="F425" s="168" t="str">
        <f ca="1">IF(ISERROR($V425),"",OFFSET('Smelter Look-up'!$E$4,$V425-4,0))</f>
        <v>CID001305</v>
      </c>
      <c r="G425" s="168" t="str">
        <f ca="1">IF(C425=$X$4,IF(ISERROR($V425),"Enter smelter details","RMI"),IF(ISERROR($V425),"",OFFSET('Smelter Look-up'!$F$4,$V425-4,0)))</f>
        <v>RMI</v>
      </c>
      <c r="H425" s="171">
        <f ca="1">IF(ISERROR($V425),"",OFFSET('Smelter Look-up'!$G$4,$V425-4,0))</f>
        <v>0</v>
      </c>
      <c r="I425" s="172" t="str">
        <f ca="1">IF(ISERROR($V425),"",OFFSET('Smelter Look-up'!$H$4,$V425-4,0))</f>
        <v>Novosibirsk</v>
      </c>
      <c r="J425" s="172" t="str">
        <f ca="1">IF(ISERROR($V425),"",OFFSET('Smelter Look-up'!$I$4,$V425-4,0))</f>
        <v>Novosibirskaya oblast'</v>
      </c>
      <c r="K425" s="173"/>
      <c r="L425" s="173"/>
      <c r="M425" s="173"/>
      <c r="N425" s="173"/>
      <c r="O425" s="173"/>
      <c r="P425" s="174"/>
      <c r="Q425" s="175"/>
      <c r="R425" s="168" t="str">
        <f ca="1">IF(ISERROR($V425),"",OFFSET('Smelter Look-up'!$C$4,$V425-4,0)&amp;"")</f>
        <v>Novosibirsk Processing Plant Ltd.</v>
      </c>
      <c r="S425" s="167" t="str">
        <f t="shared" ca="1" si="60"/>
        <v>RU</v>
      </c>
      <c r="T425" s="167" t="str">
        <f ca="1">IF(B425="","",IF(ISERROR(MATCH($J425,SorP!$B$1:$B$6230,0)),"",INDIRECT("'SorP'!$A$"&amp;MATCH($J425,SorP!$B$1:$B$6230,0))))</f>
        <v>RU-NVS</v>
      </c>
      <c r="U425" s="176"/>
      <c r="V425" s="177">
        <f ca="1">IF(C425="",NA(),IF(OR(C425="Smelter not listed",C425="Smelter not yet identified"),MATCH($B425&amp;$D425,'Smelter Look-up'!$J:$J,0),MATCH($B425&amp;$C425,'Smelter Look-up'!$J:$J,0)))</f>
        <v>475</v>
      </c>
      <c r="X425" s="140">
        <f t="shared" ca="1" si="61"/>
        <v>0</v>
      </c>
      <c r="AB425" s="178" t="str">
        <f t="shared" ca="1" si="62"/>
        <v>TinNovosibirsk Processing Plant Ltd.</v>
      </c>
    </row>
    <row r="426" spans="1:28" s="140" customFormat="1" ht="38.25">
      <c r="A426" s="167" t="s">
        <v>2371</v>
      </c>
      <c r="B426" s="168" t="str">
        <f ca="1">IF(LEN(A426)=0,"",INDEX('Smelter Look-up'!$A:$A,MATCH($A426,'Smelter Look-up'!$E:$E,0)))</f>
        <v>Tungsten</v>
      </c>
      <c r="C426" s="169" t="str">
        <f ca="1">IF(LEN(A426)=0,"",INDEX('Smelter Look-up'!$C:$C,MATCH($A426,'Smelter Look-up'!$E:$E,0)))</f>
        <v>LLC Vostok</v>
      </c>
      <c r="D426" s="170"/>
      <c r="E426" s="168" t="str">
        <f ca="1">IF(ISERROR($V426),"",OFFSET('Smelter Look-up'!$D$4,$V426-4,0)&amp;"")</f>
        <v>RUSSIAN FEDERATION</v>
      </c>
      <c r="F426" s="168" t="str">
        <f ca="1">IF(ISERROR($V426),"",OFFSET('Smelter Look-up'!$E$4,$V426-4,0))</f>
        <v>CID003643</v>
      </c>
      <c r="G426" s="168" t="str">
        <f ca="1">IF(C426=$X$4,IF(ISERROR($V426),"Enter smelter details","RMI"),IF(ISERROR($V426),"",OFFSET('Smelter Look-up'!$F$4,$V426-4,0)))</f>
        <v>RMI</v>
      </c>
      <c r="H426" s="171">
        <f ca="1">IF(ISERROR($V426),"",OFFSET('Smelter Look-up'!$G$4,$V426-4,0))</f>
        <v>0</v>
      </c>
      <c r="I426" s="172" t="str">
        <f ca="1">IF(ISERROR($V426),"",OFFSET('Smelter Look-up'!$H$4,$V426-4,0))</f>
        <v>Kostroma</v>
      </c>
      <c r="J426" s="172" t="str">
        <f ca="1">IF(ISERROR($V426),"",OFFSET('Smelter Look-up'!$I$4,$V426-4,0))</f>
        <v>Kostromskaya oblast'</v>
      </c>
      <c r="K426" s="173"/>
      <c r="L426" s="173"/>
      <c r="M426" s="173"/>
      <c r="N426" s="173"/>
      <c r="O426" s="173"/>
      <c r="P426" s="174"/>
      <c r="Q426" s="175"/>
      <c r="R426" s="168" t="str">
        <f ca="1">IF(ISERROR($V426),"",OFFSET('Smelter Look-up'!$C$4,$V426-4,0)&amp;"")</f>
        <v>LLC Vostok</v>
      </c>
      <c r="S426" s="167" t="str">
        <f t="shared" ca="1" si="60"/>
        <v>RU</v>
      </c>
      <c r="T426" s="167" t="str">
        <f ca="1">IF(B426="","",IF(ISERROR(MATCH($J426,SorP!$B$1:$B$6230,0)),"",INDIRECT("'SorP'!$A$"&amp;MATCH($J426,SorP!$B$1:$B$6230,0))))</f>
        <v>RU-KOS</v>
      </c>
      <c r="U426" s="176"/>
      <c r="V426" s="177">
        <f ca="1">IF(C426="",NA(),IF(OR(C426="Smelter not listed",C426="Smelter not yet identified"),MATCH($B426&amp;$D426,'Smelter Look-up'!$J:$J,0),MATCH($B426&amp;$C426,'Smelter Look-up'!$J:$J,0)))</f>
        <v>607</v>
      </c>
      <c r="X426" s="140">
        <f t="shared" ca="1" si="61"/>
        <v>0</v>
      </c>
      <c r="AB426" s="178" t="str">
        <f t="shared" ca="1" si="62"/>
        <v>TungstenLLC Vostok</v>
      </c>
    </row>
    <row r="427" spans="1:28" s="140" customFormat="1" ht="63.75">
      <c r="A427" s="167" t="s">
        <v>2382</v>
      </c>
      <c r="B427" s="168" t="str">
        <f ca="1">IF(LEN(A427)=0,"",INDEX('Smelter Look-up'!$A:$A,MATCH($A427,'Smelter Look-up'!$E:$E,0)))</f>
        <v>Tungsten</v>
      </c>
      <c r="C427" s="169" t="str">
        <f ca="1">IF(LEN(A427)=0,"",INDEX('Smelter Look-up'!$C:$C,MATCH($A427,'Smelter Look-up'!$E:$E,0)))</f>
        <v>NPP Tyazhmetprom LLC</v>
      </c>
      <c r="D427" s="170"/>
      <c r="E427" s="168" t="str">
        <f ca="1">IF(ISERROR($V427),"",OFFSET('Smelter Look-up'!$D$4,$V427-4,0)&amp;"")</f>
        <v>RUSSIAN FEDERATION</v>
      </c>
      <c r="F427" s="168" t="str">
        <f ca="1">IF(ISERROR($V427),"",OFFSET('Smelter Look-up'!$E$4,$V427-4,0))</f>
        <v>CID003416</v>
      </c>
      <c r="G427" s="168" t="str">
        <f ca="1">IF(C427=$X$4,IF(ISERROR($V427),"Enter smelter details","RMI"),IF(ISERROR($V427),"",OFFSET('Smelter Look-up'!$F$4,$V427-4,0)))</f>
        <v>RMI</v>
      </c>
      <c r="H427" s="171">
        <f ca="1">IF(ISERROR($V427),"",OFFSET('Smelter Look-up'!$G$4,$V427-4,0))</f>
        <v>0</v>
      </c>
      <c r="I427" s="172" t="str">
        <f ca="1">IF(ISERROR($V427),"",OFFSET('Smelter Look-up'!$H$4,$V427-4,0))</f>
        <v>Kopeysk</v>
      </c>
      <c r="J427" s="172" t="str">
        <f ca="1">IF(ISERROR($V427),"",OFFSET('Smelter Look-up'!$I$4,$V427-4,0))</f>
        <v>Chelyabinskaya Oblast'</v>
      </c>
      <c r="K427" s="173"/>
      <c r="L427" s="173"/>
      <c r="M427" s="173"/>
      <c r="N427" s="173"/>
      <c r="O427" s="173"/>
      <c r="P427" s="174"/>
      <c r="Q427" s="175"/>
      <c r="R427" s="168" t="str">
        <f ca="1">IF(ISERROR($V427),"",OFFSET('Smelter Look-up'!$C$4,$V427-4,0)&amp;"")</f>
        <v>NPP Tyazhmetprom LLC</v>
      </c>
      <c r="S427" s="167" t="str">
        <f t="shared" ca="1" si="60"/>
        <v>RU</v>
      </c>
      <c r="T427" s="167" t="str">
        <f ca="1">IF(B427="","",IF(ISERROR(MATCH($J427,SorP!$B$1:$B$6230,0)),"",INDIRECT("'SorP'!$A$"&amp;MATCH($J427,SorP!$B$1:$B$6230,0))))</f>
        <v>RU-CHE</v>
      </c>
      <c r="U427" s="176"/>
      <c r="V427" s="177">
        <f ca="1">IF(C427="",NA(),IF(OR(C427="Smelter not listed",C427="Smelter not yet identified"),MATCH($B427&amp;$D427,'Smelter Look-up'!$J:$J,0),MATCH($B427&amp;$C427,'Smelter Look-up'!$J:$J,0)))</f>
        <v>613</v>
      </c>
      <c r="X427" s="140">
        <f t="shared" ca="1" si="61"/>
        <v>0</v>
      </c>
      <c r="AB427" s="178" t="str">
        <f t="shared" ca="1" si="62"/>
        <v>TungstenNPP Tyazhmetprom LLC</v>
      </c>
    </row>
    <row r="428" spans="1:28" s="140" customFormat="1" ht="63.75">
      <c r="A428" s="167" t="s">
        <v>2462</v>
      </c>
      <c r="B428" s="168" t="str">
        <f ca="1">IF(LEN(A428)=0,"",INDEX('Smelter Look-up'!$A:$A,MATCH($A428,'Smelter Look-up'!$E:$E,0)))</f>
        <v>Tin</v>
      </c>
      <c r="C428" s="169" t="str">
        <f ca="1">IF(LEN(A428)=0,"",INDEX('Smelter Look-up'!$C:$C,MATCH($A428,'Smelter Look-up'!$E:$E,0)))</f>
        <v>PT Belitung Industri Sejahtera</v>
      </c>
      <c r="D428" s="170"/>
      <c r="E428" s="168" t="str">
        <f ca="1">IF(ISERROR($V428),"",OFFSET('Smelter Look-up'!$D$4,$V428-4,0)&amp;"")</f>
        <v>INDONESIA</v>
      </c>
      <c r="F428" s="168" t="str">
        <f ca="1">IF(ISERROR($V428),"",OFFSET('Smelter Look-up'!$E$4,$V428-4,0))</f>
        <v>CID001421</v>
      </c>
      <c r="G428" s="168" t="str">
        <f ca="1">IF(C428=$X$4,IF(ISERROR($V428),"Enter smelter details","RMI"),IF(ISERROR($V428),"",OFFSET('Smelter Look-up'!$F$4,$V428-4,0)))</f>
        <v>RMI</v>
      </c>
      <c r="H428" s="171">
        <f ca="1">IF(ISERROR($V428),"",OFFSET('Smelter Look-up'!$G$4,$V428-4,0))</f>
        <v>0</v>
      </c>
      <c r="I428" s="172" t="str">
        <f ca="1">IF(ISERROR($V428),"",OFFSET('Smelter Look-up'!$H$4,$V428-4,0))</f>
        <v>Pegantungan</v>
      </c>
      <c r="J428" s="172" t="str">
        <f ca="1">IF(ISERROR($V428),"",OFFSET('Smelter Look-up'!$I$4,$V428-4,0))</f>
        <v>Kepulauan Bangka Belitung</v>
      </c>
      <c r="K428" s="173"/>
      <c r="L428" s="173"/>
      <c r="M428" s="173"/>
      <c r="N428" s="173"/>
      <c r="O428" s="173"/>
      <c r="P428" s="174"/>
      <c r="Q428" s="175"/>
      <c r="R428" s="168" t="str">
        <f ca="1">IF(ISERROR($V428),"",OFFSET('Smelter Look-up'!$C$4,$V428-4,0)&amp;"")</f>
        <v>PT Belitung Industri Sejahtera</v>
      </c>
      <c r="S428" s="167" t="str">
        <f t="shared" ca="1" si="60"/>
        <v>ID</v>
      </c>
      <c r="T428" s="167" t="str">
        <f ca="1">IF(B428="","",IF(ISERROR(MATCH($J428,SorP!$B$1:$B$6230,0)),"",INDIRECT("'SorP'!$A$"&amp;MATCH($J428,SorP!$B$1:$B$6230,0))))</f>
        <v>ID-BB</v>
      </c>
      <c r="U428" s="176"/>
      <c r="V428" s="177">
        <f ca="1">IF(C428="",NA(),IF(OR(C428="Smelter not listed",C428="Smelter not yet identified"),MATCH($B428&amp;$D428,'Smelter Look-up'!$J:$J,0),MATCH($B428&amp;$C428,'Smelter Look-up'!$J:$J,0)))</f>
        <v>489</v>
      </c>
      <c r="X428" s="140">
        <f t="shared" ca="1" si="61"/>
        <v>0</v>
      </c>
      <c r="AB428" s="178" t="str">
        <f t="shared" ca="1" si="62"/>
        <v>TinPT Belitung Industri Sejahtera</v>
      </c>
    </row>
    <row r="429" spans="1:28" s="140" customFormat="1" ht="51">
      <c r="A429" s="167" t="s">
        <v>2463</v>
      </c>
      <c r="B429" s="168" t="str">
        <f ca="1">IF(LEN(A429)=0,"",INDEX('Smelter Look-up'!$A:$A,MATCH($A429,'Smelter Look-up'!$E:$E,0)))</f>
        <v>Tin</v>
      </c>
      <c r="C429" s="169" t="str">
        <f ca="1">IF(LEN(A429)=0,"",INDEX('Smelter Look-up'!$C:$C,MATCH($A429,'Smelter Look-up'!$E:$E,0)))</f>
        <v>PT Cipta Persada Mulia</v>
      </c>
      <c r="D429" s="170"/>
      <c r="E429" s="168" t="str">
        <f ca="1">IF(ISERROR($V429),"",OFFSET('Smelter Look-up'!$D$4,$V429-4,0)&amp;"")</f>
        <v>INDONESIA</v>
      </c>
      <c r="F429" s="168" t="str">
        <f ca="1">IF(ISERROR($V429),"",OFFSET('Smelter Look-up'!$E$4,$V429-4,0))</f>
        <v>CID002696</v>
      </c>
      <c r="G429" s="168" t="str">
        <f ca="1">IF(C429=$X$4,IF(ISERROR($V429),"Enter smelter details","RMI"),IF(ISERROR($V429),"",OFFSET('Smelter Look-up'!$F$4,$V429-4,0)))</f>
        <v>RMI</v>
      </c>
      <c r="H429" s="171">
        <f ca="1">IF(ISERROR($V429),"",OFFSET('Smelter Look-up'!$G$4,$V429-4,0))</f>
        <v>0</v>
      </c>
      <c r="I429" s="172" t="str">
        <f ca="1">IF(ISERROR($V429),"",OFFSET('Smelter Look-up'!$H$4,$V429-4,0))</f>
        <v>Batam</v>
      </c>
      <c r="J429" s="172" t="str">
        <f ca="1">IF(ISERROR($V429),"",OFFSET('Smelter Look-up'!$I$4,$V429-4,0))</f>
        <v>Kepulauan Riau</v>
      </c>
      <c r="K429" s="173"/>
      <c r="L429" s="173"/>
      <c r="M429" s="173"/>
      <c r="N429" s="173"/>
      <c r="O429" s="173"/>
      <c r="P429" s="174"/>
      <c r="Q429" s="175"/>
      <c r="R429" s="168" t="str">
        <f ca="1">IF(ISERROR($V429),"",OFFSET('Smelter Look-up'!$C$4,$V429-4,0)&amp;"")</f>
        <v>PT Cipta Persada Mulia</v>
      </c>
      <c r="S429" s="167" t="str">
        <f t="shared" ca="1" si="60"/>
        <v>ID</v>
      </c>
      <c r="T429" s="167" t="str">
        <f ca="1">IF(B429="","",IF(ISERROR(MATCH($J429,SorP!$B$1:$B$6230,0)),"",INDIRECT("'SorP'!$A$"&amp;MATCH($J429,SorP!$B$1:$B$6230,0))))</f>
        <v>ID-KR</v>
      </c>
      <c r="U429" s="176"/>
      <c r="V429" s="177">
        <f ca="1">IF(C429="",NA(),IF(OR(C429="Smelter not listed",C429="Smelter not yet identified"),MATCH($B429&amp;$D429,'Smelter Look-up'!$J:$J,0),MATCH($B429&amp;$C429,'Smelter Look-up'!$J:$J,0)))</f>
        <v>491</v>
      </c>
      <c r="X429" s="140">
        <f t="shared" ca="1" si="61"/>
        <v>0</v>
      </c>
      <c r="AB429" s="178" t="str">
        <f t="shared" ca="1" si="62"/>
        <v>TinPT Cipta Persada Mulia</v>
      </c>
    </row>
    <row r="430" spans="1:28" s="140" customFormat="1" ht="51">
      <c r="A430" s="167" t="s">
        <v>2469</v>
      </c>
      <c r="B430" s="168" t="str">
        <f ca="1">IF(LEN(A430)=0,"",INDEX('Smelter Look-up'!$A:$A,MATCH($A430,'Smelter Look-up'!$E:$E,0)))</f>
        <v>Tin</v>
      </c>
      <c r="C430" s="169" t="str">
        <f ca="1">IF(LEN(A430)=0,"",INDEX('Smelter Look-up'!$C:$C,MATCH($A430,'Smelter Look-up'!$E:$E,0)))</f>
        <v>PT Panca Mega Persada</v>
      </c>
      <c r="D430" s="170"/>
      <c r="E430" s="168" t="str">
        <f ca="1">IF(ISERROR($V430),"",OFFSET('Smelter Look-up'!$D$4,$V430-4,0)&amp;"")</f>
        <v>INDONESIA</v>
      </c>
      <c r="F430" s="168" t="str">
        <f ca="1">IF(ISERROR($V430),"",OFFSET('Smelter Look-up'!$E$4,$V430-4,0))</f>
        <v>CID001457</v>
      </c>
      <c r="G430" s="168" t="str">
        <f ca="1">IF(C430=$X$4,IF(ISERROR($V430),"Enter smelter details","RMI"),IF(ISERROR($V430),"",OFFSET('Smelter Look-up'!$F$4,$V430-4,0)))</f>
        <v>RMI</v>
      </c>
      <c r="H430" s="171">
        <f ca="1">IF(ISERROR($V430),"",OFFSET('Smelter Look-up'!$G$4,$V430-4,0))</f>
        <v>0</v>
      </c>
      <c r="I430" s="172" t="str">
        <f ca="1">IF(ISERROR($V430),"",OFFSET('Smelter Look-up'!$H$4,$V430-4,0))</f>
        <v>Sungailiat</v>
      </c>
      <c r="J430" s="172" t="str">
        <f ca="1">IF(ISERROR($V430),"",OFFSET('Smelter Look-up'!$I$4,$V430-4,0))</f>
        <v>Kepulauan Bangka Belitung</v>
      </c>
      <c r="K430" s="173"/>
      <c r="L430" s="173"/>
      <c r="M430" s="173"/>
      <c r="N430" s="173"/>
      <c r="O430" s="173"/>
      <c r="P430" s="174"/>
      <c r="Q430" s="175"/>
      <c r="R430" s="168" t="str">
        <f ca="1">IF(ISERROR($V430),"",OFFSET('Smelter Look-up'!$C$4,$V430-4,0)&amp;"")</f>
        <v>PT Panca Mega Persada</v>
      </c>
      <c r="S430" s="167" t="str">
        <f t="shared" ca="1" si="60"/>
        <v>ID</v>
      </c>
      <c r="T430" s="167" t="str">
        <f ca="1">IF(B430="","",IF(ISERROR(MATCH($J430,SorP!$B$1:$B$6230,0)),"",INDIRECT("'SorP'!$A$"&amp;MATCH($J430,SorP!$B$1:$B$6230,0))))</f>
        <v>ID-BB</v>
      </c>
      <c r="U430" s="176"/>
      <c r="V430" s="177">
        <f ca="1">IF(C430="",NA(),IF(OR(C430="Smelter not listed",C430="Smelter not yet identified"),MATCH($B430&amp;$D430,'Smelter Look-up'!$J:$J,0),MATCH($B430&amp;$C430,'Smelter Look-up'!$J:$J,0)))</f>
        <v>498</v>
      </c>
      <c r="X430" s="140">
        <f t="shared" ca="1" si="61"/>
        <v>0</v>
      </c>
      <c r="AB430" s="178" t="str">
        <f t="shared" ca="1" si="62"/>
        <v>TinPT Panca Mega Persada</v>
      </c>
    </row>
    <row r="431" spans="1:28" s="140" customFormat="1" ht="76.5">
      <c r="A431" s="167" t="s">
        <v>2473</v>
      </c>
      <c r="B431" s="168" t="str">
        <f ca="1">IF(LEN(A431)=0,"",INDEX('Smelter Look-up'!$A:$A,MATCH($A431,'Smelter Look-up'!$E:$E,0)))</f>
        <v>Tin</v>
      </c>
      <c r="C431" s="169" t="str">
        <f ca="1">IF(LEN(A431)=0,"",INDEX('Smelter Look-up'!$C:$C,MATCH($A431,'Smelter Look-up'!$E:$E,0)))</f>
        <v>PT Putera Sarana Shakti (PT PSS)</v>
      </c>
      <c r="D431" s="170"/>
      <c r="E431" s="168" t="str">
        <f ca="1">IF(ISERROR($V431),"",OFFSET('Smelter Look-up'!$D$4,$V431-4,0)&amp;"")</f>
        <v>INDONESIA</v>
      </c>
      <c r="F431" s="168" t="str">
        <f ca="1">IF(ISERROR($V431),"",OFFSET('Smelter Look-up'!$E$4,$V431-4,0))</f>
        <v>CID003868</v>
      </c>
      <c r="G431" s="168" t="str">
        <f ca="1">IF(C431=$X$4,IF(ISERROR($V431),"Enter smelter details","RMI"),IF(ISERROR($V431),"",OFFSET('Smelter Look-up'!$F$4,$V431-4,0)))</f>
        <v>RMI</v>
      </c>
      <c r="H431" s="171">
        <f ca="1">IF(ISERROR($V431),"",OFFSET('Smelter Look-up'!$G$4,$V431-4,0))</f>
        <v>0</v>
      </c>
      <c r="I431" s="172" t="str">
        <f ca="1">IF(ISERROR($V431),"",OFFSET('Smelter Look-up'!$H$4,$V431-4,0))</f>
        <v>Sungailiat</v>
      </c>
      <c r="J431" s="172" t="str">
        <f ca="1">IF(ISERROR($V431),"",OFFSET('Smelter Look-up'!$I$4,$V431-4,0))</f>
        <v>Kepulauan Bangka Belitung</v>
      </c>
      <c r="K431" s="173"/>
      <c r="L431" s="173"/>
      <c r="M431" s="173"/>
      <c r="N431" s="173"/>
      <c r="O431" s="173"/>
      <c r="P431" s="174"/>
      <c r="Q431" s="175"/>
      <c r="R431" s="168" t="str">
        <f ca="1">IF(ISERROR($V431),"",OFFSET('Smelter Look-up'!$C$4,$V431-4,0)&amp;"")</f>
        <v>PT Putera Sarana Shakti (PT PSS)</v>
      </c>
      <c r="S431" s="167" t="str">
        <f t="shared" ca="1" si="60"/>
        <v>ID</v>
      </c>
      <c r="T431" s="167" t="str">
        <f ca="1">IF(B431="","",IF(ISERROR(MATCH($J431,SorP!$B$1:$B$6230,0)),"",INDIRECT("'SorP'!$A$"&amp;MATCH($J431,SorP!$B$1:$B$6230,0))))</f>
        <v>ID-BB</v>
      </c>
      <c r="U431" s="176"/>
      <c r="V431" s="177">
        <f ca="1">IF(C431="",NA(),IF(OR(C431="Smelter not listed",C431="Smelter not yet identified"),MATCH($B431&amp;$D431,'Smelter Look-up'!$J:$J,0),MATCH($B431&amp;$C431,'Smelter Look-up'!$J:$J,0)))</f>
        <v>500</v>
      </c>
      <c r="X431" s="140">
        <f t="shared" ca="1" si="61"/>
        <v>0</v>
      </c>
      <c r="AB431" s="178" t="str">
        <f t="shared" ca="1" si="62"/>
        <v>TinPT Putera Sarana Shakti (PT PSS)</v>
      </c>
    </row>
    <row r="432" spans="1:28" s="140" customFormat="1" ht="51">
      <c r="A432" s="167" t="s">
        <v>2479</v>
      </c>
      <c r="B432" s="168" t="str">
        <f ca="1">IF(LEN(A432)=0,"",INDEX('Smelter Look-up'!$A:$A,MATCH($A432,'Smelter Look-up'!$E:$E,0)))</f>
        <v>Tin</v>
      </c>
      <c r="C432" s="169" t="str">
        <f ca="1">IF(LEN(A432)=0,"",INDEX('Smelter Look-up'!$C:$C,MATCH($A432,'Smelter Look-up'!$E:$E,0)))</f>
        <v>PT Timah Nusantara</v>
      </c>
      <c r="D432" s="170"/>
      <c r="E432" s="168" t="str">
        <f ca="1">IF(ISERROR($V432),"",OFFSET('Smelter Look-up'!$D$4,$V432-4,0)&amp;"")</f>
        <v>INDONESIA</v>
      </c>
      <c r="F432" s="168" t="str">
        <f ca="1">IF(ISERROR($V432),"",OFFSET('Smelter Look-up'!$E$4,$V432-4,0))</f>
        <v>CID001486</v>
      </c>
      <c r="G432" s="168" t="str">
        <f ca="1">IF(C432=$X$4,IF(ISERROR($V432),"Enter smelter details","RMI"),IF(ISERROR($V432),"",OFFSET('Smelter Look-up'!$F$4,$V432-4,0)))</f>
        <v>RMI</v>
      </c>
      <c r="H432" s="171">
        <f ca="1">IF(ISERROR($V432),"",OFFSET('Smelter Look-up'!$G$4,$V432-4,0))</f>
        <v>0</v>
      </c>
      <c r="I432" s="172" t="str">
        <f ca="1">IF(ISERROR($V432),"",OFFSET('Smelter Look-up'!$H$4,$V432-4,0))</f>
        <v>Tempilang</v>
      </c>
      <c r="J432" s="172" t="str">
        <f ca="1">IF(ISERROR($V432),"",OFFSET('Smelter Look-up'!$I$4,$V432-4,0))</f>
        <v>Kepulauan Bangka Belitung</v>
      </c>
      <c r="K432" s="173"/>
      <c r="L432" s="173"/>
      <c r="M432" s="173"/>
      <c r="N432" s="173"/>
      <c r="O432" s="173"/>
      <c r="P432" s="174"/>
      <c r="Q432" s="175"/>
      <c r="R432" s="168" t="str">
        <f ca="1">IF(ISERROR($V432),"",OFFSET('Smelter Look-up'!$C$4,$V432-4,0)&amp;"")</f>
        <v>PT Timah Nusantara</v>
      </c>
      <c r="S432" s="167" t="str">
        <f t="shared" ca="1" si="60"/>
        <v>ID</v>
      </c>
      <c r="T432" s="167" t="str">
        <f ca="1">IF(B432="","",IF(ISERROR(MATCH($J432,SorP!$B$1:$B$6230,0)),"",INDIRECT("'SorP'!$A$"&amp;MATCH($J432,SorP!$B$1:$B$6230,0))))</f>
        <v>ID-BB</v>
      </c>
      <c r="U432" s="176"/>
      <c r="V432" s="177">
        <f ca="1">IF(C432="",NA(),IF(OR(C432="Smelter not listed",C432="Smelter not yet identified"),MATCH($B432&amp;$D432,'Smelter Look-up'!$J:$J,0),MATCH($B432&amp;$C432,'Smelter Look-up'!$J:$J,0)))</f>
        <v>507</v>
      </c>
      <c r="X432" s="140">
        <f t="shared" ca="1" si="61"/>
        <v>0</v>
      </c>
      <c r="AB432" s="178" t="str">
        <f t="shared" ca="1" si="62"/>
        <v>TinPT Timah Nusantara</v>
      </c>
    </row>
    <row r="433" spans="1:28" s="140" customFormat="1" ht="51">
      <c r="A433" s="167" t="s">
        <v>2492</v>
      </c>
      <c r="B433" s="168" t="str">
        <f ca="1">IF(LEN(A433)=0,"",INDEX('Smelter Look-up'!$A:$A,MATCH($A433,'Smelter Look-up'!$E:$E,0)))</f>
        <v>Tin</v>
      </c>
      <c r="C433" s="169" t="str">
        <f ca="1">IF(LEN(A433)=0,"",INDEX('Smelter Look-up'!$C:$C,MATCH($A433,'Smelter Look-up'!$E:$E,0)))</f>
        <v>PT Tinindo Inter Nusa</v>
      </c>
      <c r="D433" s="170"/>
      <c r="E433" s="168" t="str">
        <f ca="1">IF(ISERROR($V433),"",OFFSET('Smelter Look-up'!$D$4,$V433-4,0)&amp;"")</f>
        <v>INDONESIA</v>
      </c>
      <c r="F433" s="168" t="str">
        <f ca="1">IF(ISERROR($V433),"",OFFSET('Smelter Look-up'!$E$4,$V433-4,0))</f>
        <v>CID001490</v>
      </c>
      <c r="G433" s="168" t="str">
        <f ca="1">IF(C433=$X$4,IF(ISERROR($V433),"Enter smelter details","RMI"),IF(ISERROR($V433),"",OFFSET('Smelter Look-up'!$F$4,$V433-4,0)))</f>
        <v>RMI</v>
      </c>
      <c r="H433" s="171">
        <f ca="1">IF(ISERROR($V433),"",OFFSET('Smelter Look-up'!$G$4,$V433-4,0))</f>
        <v>0</v>
      </c>
      <c r="I433" s="172" t="str">
        <f ca="1">IF(ISERROR($V433),"",OFFSET('Smelter Look-up'!$H$4,$V433-4,0))</f>
        <v>Pangkal Pinang</v>
      </c>
      <c r="J433" s="172" t="str">
        <f ca="1">IF(ISERROR($V433),"",OFFSET('Smelter Look-up'!$I$4,$V433-4,0))</f>
        <v>Kepulauan Bangka Belitung</v>
      </c>
      <c r="K433" s="173"/>
      <c r="L433" s="173"/>
      <c r="M433" s="173"/>
      <c r="N433" s="173"/>
      <c r="O433" s="173"/>
      <c r="P433" s="174"/>
      <c r="Q433" s="175"/>
      <c r="R433" s="168" t="str">
        <f ca="1">IF(ISERROR($V433),"",OFFSET('Smelter Look-up'!$C$4,$V433-4,0)&amp;"")</f>
        <v>PT Tinindo Inter Nusa</v>
      </c>
      <c r="S433" s="167" t="str">
        <f t="shared" ca="1" si="60"/>
        <v>ID</v>
      </c>
      <c r="T433" s="167" t="str">
        <f ca="1">IF(B433="","",IF(ISERROR(MATCH($J433,SorP!$B$1:$B$6230,0)),"",INDIRECT("'SorP'!$A$"&amp;MATCH($J433,SorP!$B$1:$B$6230,0))))</f>
        <v>ID-BB</v>
      </c>
      <c r="U433" s="176"/>
      <c r="V433" s="177">
        <f ca="1">IF(C433="",NA(),IF(OR(C433="Smelter not listed",C433="Smelter not yet identified"),MATCH($B433&amp;$D433,'Smelter Look-up'!$J:$J,0),MATCH($B433&amp;$C433,'Smelter Look-up'!$J:$J,0)))</f>
        <v>510</v>
      </c>
      <c r="X433" s="140">
        <f t="shared" ca="1" si="61"/>
        <v>0</v>
      </c>
      <c r="AB433" s="178" t="str">
        <f t="shared" ca="1" si="62"/>
        <v>TinPT Tinindo Inter Nusa</v>
      </c>
    </row>
    <row r="434" spans="1:28" s="140" customFormat="1" ht="51">
      <c r="A434" s="167" t="s">
        <v>2533</v>
      </c>
      <c r="B434" s="168" t="str">
        <f ca="1">IF(LEN(A434)=0,"",INDEX('Smelter Look-up'!$A:$A,MATCH($A434,'Smelter Look-up'!$E:$E,0)))</f>
        <v>Tin</v>
      </c>
      <c r="C434" s="169" t="str">
        <f ca="1">IF(LEN(A434)=0,"",INDEX('Smelter Look-up'!$C:$C,MATCH($A434,'Smelter Look-up'!$E:$E,0)))</f>
        <v>PT Masbro Alam Stania</v>
      </c>
      <c r="D434" s="170"/>
      <c r="E434" s="168" t="str">
        <f ca="1">IF(ISERROR($V434),"",OFFSET('Smelter Look-up'!$D$4,$V434-4,0)&amp;"")</f>
        <v>INDONESIA</v>
      </c>
      <c r="F434" s="168" t="str">
        <f ca="1">IF(ISERROR($V434),"",OFFSET('Smelter Look-up'!$E$4,$V434-4,0))</f>
        <v>CID003380</v>
      </c>
      <c r="G434" s="168" t="str">
        <f ca="1">IF(C434=$X$4,IF(ISERROR($V434),"Enter smelter details","RMI"),IF(ISERROR($V434),"",OFFSET('Smelter Look-up'!$F$4,$V434-4,0)))</f>
        <v>RMI</v>
      </c>
      <c r="H434" s="171">
        <f ca="1">IF(ISERROR($V434),"",OFFSET('Smelter Look-up'!$G$4,$V434-4,0))</f>
        <v>0</v>
      </c>
      <c r="I434" s="172" t="str">
        <f ca="1">IF(ISERROR($V434),"",OFFSET('Smelter Look-up'!$H$4,$V434-4,0))</f>
        <v>Sungailiat</v>
      </c>
      <c r="J434" s="172" t="str">
        <f ca="1">IF(ISERROR($V434),"",OFFSET('Smelter Look-up'!$I$4,$V434-4,0))</f>
        <v>Kepulauan Bangka Belitung</v>
      </c>
      <c r="K434" s="173"/>
      <c r="L434" s="173"/>
      <c r="M434" s="173"/>
      <c r="N434" s="173"/>
      <c r="O434" s="173"/>
      <c r="P434" s="174"/>
      <c r="Q434" s="175"/>
      <c r="R434" s="168" t="str">
        <f ca="1">IF(ISERROR($V434),"",OFFSET('Smelter Look-up'!$C$4,$V434-4,0)&amp;"")</f>
        <v>PT Masbro Alam Stania</v>
      </c>
      <c r="S434" s="167" t="str">
        <f t="shared" ref="S434:S452" ca="1" si="63">IF(B434="","",IF(ISERROR(MATCH($E434,CL,0)),"Unknown",INDIRECT("'C'!$A$"&amp;MATCH($E434,CL,0)+1)))</f>
        <v>ID</v>
      </c>
      <c r="T434" s="167" t="str">
        <f ca="1">IF(B434="","",IF(ISERROR(MATCH($J434,SorP!$B$1:$B$6230,0)),"",INDIRECT("'SorP'!$A$"&amp;MATCH($J434,SorP!$B$1:$B$6230,0))))</f>
        <v>ID-BB</v>
      </c>
      <c r="U434" s="176"/>
      <c r="V434" s="177">
        <f ca="1">IF(C434="",NA(),IF(OR(C434="Smelter not listed",C434="Smelter not yet identified"),MATCH($B434&amp;$D434,'Smelter Look-up'!$J:$J,0),MATCH($B434&amp;$C434,'Smelter Look-up'!$J:$J,0)))</f>
        <v>494</v>
      </c>
      <c r="X434" s="140">
        <f t="shared" ref="X434:X452" ca="1" si="64">IF(AND(C434="Smelter not listed",OR(LEN(D434)=0,LEN(E434)=0)),1,0)</f>
        <v>0</v>
      </c>
      <c r="AB434" s="178" t="str">
        <f t="shared" ref="AB434:AB452" ca="1" si="65">B434&amp;C434</f>
        <v>TinPT Masbro Alam Stania</v>
      </c>
    </row>
    <row r="435" spans="1:28" s="140" customFormat="1" ht="38.25">
      <c r="A435" s="167" t="s">
        <v>2541</v>
      </c>
      <c r="B435" s="168" t="str">
        <f ca="1">IF(LEN(A435)=0,"",INDEX('Smelter Look-up'!$A:$A,MATCH($A435,'Smelter Look-up'!$E:$E,0)))</f>
        <v>Gold</v>
      </c>
      <c r="C435" s="169" t="str">
        <f ca="1">IF(LEN(A435)=0,"",INDEX('Smelter Look-up'!$C:$C,MATCH($A435,'Smelter Look-up'!$E:$E,0)))</f>
        <v>K.A. Rasmussen</v>
      </c>
      <c r="D435" s="170"/>
      <c r="E435" s="168" t="str">
        <f ca="1">IF(ISERROR($V435),"",OFFSET('Smelter Look-up'!$D$4,$V435-4,0)&amp;"")</f>
        <v>NORWAY</v>
      </c>
      <c r="F435" s="168" t="str">
        <f ca="1">IF(ISERROR($V435),"",OFFSET('Smelter Look-up'!$E$4,$V435-4,0))</f>
        <v>CID003497</v>
      </c>
      <c r="G435" s="168" t="str">
        <f ca="1">IF(C435=$X$4,IF(ISERROR($V435),"Enter smelter details","RMI"),IF(ISERROR($V435),"",OFFSET('Smelter Look-up'!$F$4,$V435-4,0)))</f>
        <v>RMI</v>
      </c>
      <c r="H435" s="171">
        <f ca="1">IF(ISERROR($V435),"",OFFSET('Smelter Look-up'!$G$4,$V435-4,0))</f>
        <v>0</v>
      </c>
      <c r="I435" s="172" t="str">
        <f ca="1">IF(ISERROR($V435),"",OFFSET('Smelter Look-up'!$H$4,$V435-4,0))</f>
        <v>Hamar</v>
      </c>
      <c r="J435" s="172" t="str">
        <f ca="1">IF(ISERROR($V435),"",OFFSET('Smelter Look-up'!$I$4,$V435-4,0))</f>
        <v>Hedmarken</v>
      </c>
      <c r="K435" s="173"/>
      <c r="L435" s="173"/>
      <c r="M435" s="173"/>
      <c r="N435" s="173"/>
      <c r="O435" s="173"/>
      <c r="P435" s="174"/>
      <c r="Q435" s="175"/>
      <c r="R435" s="168" t="str">
        <f ca="1">IF(ISERROR($V435),"",OFFSET('Smelter Look-up'!$C$4,$V435-4,0)&amp;"")</f>
        <v>K.A. Rasmussen</v>
      </c>
      <c r="S435" s="167" t="str">
        <f t="shared" ca="1" si="63"/>
        <v>NO</v>
      </c>
      <c r="T435" s="167" t="str">
        <f ca="1">IF(B435="","",IF(ISERROR(MATCH($J435,SorP!$B$1:$B$6230,0)),"",INDIRECT("'SorP'!$A$"&amp;MATCH($J435,SorP!$B$1:$B$6230,0))))</f>
        <v/>
      </c>
      <c r="U435" s="176"/>
      <c r="V435" s="177">
        <f ca="1">IF(C435="",NA(),IF(OR(C435="Smelter not listed",C435="Smelter not yet identified"),MATCH($B435&amp;$D435,'Smelter Look-up'!$J:$J,0),MATCH($B435&amp;$C435,'Smelter Look-up'!$J:$J,0)))</f>
        <v>134</v>
      </c>
      <c r="X435" s="140">
        <f t="shared" ca="1" si="64"/>
        <v>0</v>
      </c>
      <c r="AB435" s="178" t="str">
        <f t="shared" ca="1" si="65"/>
        <v>GoldK.A. Rasmussen</v>
      </c>
    </row>
    <row r="436" spans="1:28" s="140" customFormat="1" ht="51">
      <c r="A436" s="167" t="s">
        <v>2690</v>
      </c>
      <c r="B436" s="168" t="str">
        <f ca="1">IF(LEN(A436)=0,"",INDEX('Smelter Look-up'!$A:$A,MATCH($A436,'Smelter Look-up'!$E:$E,0)))</f>
        <v>Tantalum</v>
      </c>
      <c r="C436" s="169" t="str">
        <f ca="1">IF(LEN(A436)=0,"",INDEX('Smelter Look-up'!$C:$C,MATCH($A436,'Smelter Look-up'!$E:$E,0)))</f>
        <v>5D Production OU</v>
      </c>
      <c r="D436" s="170"/>
      <c r="E436" s="168" t="str">
        <f ca="1">IF(ISERROR($V436),"",OFFSET('Smelter Look-up'!$D$4,$V436-4,0)&amp;"")</f>
        <v>ESTONIA</v>
      </c>
      <c r="F436" s="168" t="str">
        <f ca="1">IF(ISERROR($V436),"",OFFSET('Smelter Look-up'!$E$4,$V436-4,0))</f>
        <v>CID003926</v>
      </c>
      <c r="G436" s="168" t="str">
        <f ca="1">IF(C436=$X$4,IF(ISERROR($V436),"Enter smelter details","RMI"),IF(ISERROR($V436),"",OFFSET('Smelter Look-up'!$F$4,$V436-4,0)))</f>
        <v>RMI</v>
      </c>
      <c r="H436" s="171">
        <f ca="1">IF(ISERROR($V436),"",OFFSET('Smelter Look-up'!$G$4,$V436-4,0))</f>
        <v>0</v>
      </c>
      <c r="I436" s="172" t="str">
        <f ca="1">IF(ISERROR($V436),"",OFFSET('Smelter Look-up'!$H$4,$V436-4,0))</f>
        <v>Tallinn</v>
      </c>
      <c r="J436" s="172" t="str">
        <f ca="1">IF(ISERROR($V436),"",OFFSET('Smelter Look-up'!$I$4,$V436-4,0))</f>
        <v>Tallinn</v>
      </c>
      <c r="K436" s="173"/>
      <c r="L436" s="173"/>
      <c r="M436" s="173"/>
      <c r="N436" s="173"/>
      <c r="O436" s="173"/>
      <c r="P436" s="174"/>
      <c r="Q436" s="175"/>
      <c r="R436" s="168" t="str">
        <f ca="1">IF(ISERROR($V436),"",OFFSET('Smelter Look-up'!$C$4,$V436-4,0)&amp;"")</f>
        <v>5D Production OU</v>
      </c>
      <c r="S436" s="167" t="str">
        <f t="shared" ca="1" si="63"/>
        <v>EE</v>
      </c>
      <c r="T436" s="167" t="str">
        <f ca="1">IF(B436="","",IF(ISERROR(MATCH($J436,SorP!$B$1:$B$6230,0)),"",INDIRECT("'SorP'!$A$"&amp;MATCH($J436,SorP!$B$1:$B$6230,0))))</f>
        <v/>
      </c>
      <c r="U436" s="176"/>
      <c r="V436" s="177">
        <f ca="1">IF(C436="",NA(),IF(OR(C436="Smelter not listed",C436="Smelter not yet identified"),MATCH($B436&amp;$D436,'Smelter Look-up'!$J:$J,0),MATCH($B436&amp;$C436,'Smelter Look-up'!$J:$J,0)))</f>
        <v>322</v>
      </c>
      <c r="X436" s="140">
        <f t="shared" ca="1" si="64"/>
        <v>0</v>
      </c>
      <c r="AB436" s="178" t="str">
        <f t="shared" ca="1" si="65"/>
        <v>Tantalum5D Production OU</v>
      </c>
    </row>
    <row r="437" spans="1:28" s="140" customFormat="1" ht="38.25">
      <c r="A437" s="167" t="s">
        <v>2824</v>
      </c>
      <c r="B437" s="168" t="str">
        <f ca="1">IF(LEN(A437)=0,"",INDEX('Smelter Look-up'!$A:$A,MATCH($A437,'Smelter Look-up'!$E:$E,0)))</f>
        <v>Tin</v>
      </c>
      <c r="C437" s="169" t="str">
        <f ca="1">IF(LEN(A437)=0,"",INDEX('Smelter Look-up'!$C:$C,MATCH($A437,'Smelter Look-up'!$E:$E,0)))</f>
        <v>Luna Smelter, Ltd.</v>
      </c>
      <c r="D437" s="170"/>
      <c r="E437" s="168" t="str">
        <f ca="1">IF(ISERROR($V437),"",OFFSET('Smelter Look-up'!$D$4,$V437-4,0)&amp;"")</f>
        <v>RWANDA</v>
      </c>
      <c r="F437" s="168" t="str">
        <f ca="1">IF(ISERROR($V437),"",OFFSET('Smelter Look-up'!$E$4,$V437-4,0))</f>
        <v>CID003387</v>
      </c>
      <c r="G437" s="168" t="str">
        <f ca="1">IF(C437=$X$4,IF(ISERROR($V437),"Enter smelter details","RMI"),IF(ISERROR($V437),"",OFFSET('Smelter Look-up'!$F$4,$V437-4,0)))</f>
        <v>RMI</v>
      </c>
      <c r="H437" s="171">
        <f ca="1">IF(ISERROR($V437),"",OFFSET('Smelter Look-up'!$G$4,$V437-4,0))</f>
        <v>0</v>
      </c>
      <c r="I437" s="172" t="str">
        <f ca="1">IF(ISERROR($V437),"",OFFSET('Smelter Look-up'!$H$4,$V437-4,0))</f>
        <v>Kigali</v>
      </c>
      <c r="J437" s="172" t="str">
        <f ca="1">IF(ISERROR($V437),"",OFFSET('Smelter Look-up'!$I$4,$V437-4,0))</f>
        <v>City of Kigali</v>
      </c>
      <c r="K437" s="173"/>
      <c r="L437" s="173"/>
      <c r="M437" s="173"/>
      <c r="N437" s="173"/>
      <c r="O437" s="173"/>
      <c r="P437" s="174"/>
      <c r="Q437" s="175"/>
      <c r="R437" s="168" t="str">
        <f ca="1">IF(ISERROR($V437),"",OFFSET('Smelter Look-up'!$C$4,$V437-4,0)&amp;"")</f>
        <v>Luna Smelter, Ltd.</v>
      </c>
      <c r="S437" s="167" t="str">
        <f t="shared" ca="1" si="63"/>
        <v>RW</v>
      </c>
      <c r="T437" s="167" t="str">
        <f ca="1">IF(B437="","",IF(ISERROR(MATCH($J437,SorP!$B$1:$B$6230,0)),"",INDIRECT("'SorP'!$A$"&amp;MATCH($J437,SorP!$B$1:$B$6230,0))))</f>
        <v>RW-01</v>
      </c>
      <c r="U437" s="176"/>
      <c r="V437" s="177">
        <f ca="1">IF(C437="",NA(),IF(OR(C437="Smelter not listed",C437="Smelter not yet identified"),MATCH($B437&amp;$D437,'Smelter Look-up'!$J:$J,0),MATCH($B437&amp;$C437,'Smelter Look-up'!$J:$J,0)))</f>
        <v>454</v>
      </c>
      <c r="X437" s="140">
        <f t="shared" ca="1" si="64"/>
        <v>0</v>
      </c>
      <c r="AB437" s="178" t="str">
        <f t="shared" ca="1" si="65"/>
        <v>TinLuna Smelter, Ltd.</v>
      </c>
    </row>
    <row r="438" spans="1:28" s="140" customFormat="1" ht="76.5">
      <c r="A438" s="167" t="s">
        <v>2839</v>
      </c>
      <c r="B438" s="168" t="str">
        <f ca="1">IF(LEN(A438)=0,"",INDEX('Smelter Look-up'!$A:$A,MATCH($A438,'Smelter Look-up'!$E:$E,0)))</f>
        <v>Tin</v>
      </c>
      <c r="C438" s="169" t="str">
        <f ca="1">IF(LEN(A438)=0,"",INDEX('Smelter Look-up'!$C:$C,MATCH($A438,'Smelter Look-up'!$E:$E,0)))</f>
        <v>Magnu's Minerais Metais e Ligas Ltda.</v>
      </c>
      <c r="D438" s="170"/>
      <c r="E438" s="168" t="str">
        <f ca="1">IF(ISERROR($V438),"",OFFSET('Smelter Look-up'!$D$4,$V438-4,0)&amp;"")</f>
        <v>BRAZIL</v>
      </c>
      <c r="F438" s="168" t="str">
        <f ca="1">IF(ISERROR($V438),"",OFFSET('Smelter Look-up'!$E$4,$V438-4,0))</f>
        <v>CID002468</v>
      </c>
      <c r="G438" s="168" t="str">
        <f ca="1">IF(C438=$X$4,IF(ISERROR($V438),"Enter smelter details","RMI"),IF(ISERROR($V438),"",OFFSET('Smelter Look-up'!$F$4,$V438-4,0)))</f>
        <v>RMI</v>
      </c>
      <c r="H438" s="171">
        <f ca="1">IF(ISERROR($V438),"",OFFSET('Smelter Look-up'!$G$4,$V438-4,0))</f>
        <v>0</v>
      </c>
      <c r="I438" s="172" t="str">
        <f ca="1">IF(ISERROR($V438),"",OFFSET('Smelter Look-up'!$H$4,$V438-4,0))</f>
        <v>São João del Rei</v>
      </c>
      <c r="J438" s="172" t="str">
        <f ca="1">IF(ISERROR($V438),"",OFFSET('Smelter Look-up'!$I$4,$V438-4,0))</f>
        <v>Minas Gerais</v>
      </c>
      <c r="K438" s="173"/>
      <c r="L438" s="173"/>
      <c r="M438" s="173"/>
      <c r="N438" s="173"/>
      <c r="O438" s="173"/>
      <c r="P438" s="174"/>
      <c r="Q438" s="175"/>
      <c r="R438" s="168" t="str">
        <f ca="1">IF(ISERROR($V438),"",OFFSET('Smelter Look-up'!$C$4,$V438-4,0)&amp;"")</f>
        <v>Magnu's Minerais Metais e Ligas Ltda.</v>
      </c>
      <c r="S438" s="167" t="str">
        <f t="shared" ca="1" si="63"/>
        <v>BR</v>
      </c>
      <c r="T438" s="167" t="str">
        <f ca="1">IF(B438="","",IF(ISERROR(MATCH($J438,SorP!$B$1:$B$6230,0)),"",INDIRECT("'SorP'!$A$"&amp;MATCH($J438,SorP!$B$1:$B$6230,0))))</f>
        <v>BR-MG</v>
      </c>
      <c r="U438" s="176"/>
      <c r="V438" s="177">
        <f ca="1">IF(C438="",NA(),IF(OR(C438="Smelter not listed",C438="Smelter not yet identified"),MATCH($B438&amp;$D438,'Smelter Look-up'!$J:$J,0),MATCH($B438&amp;$C438,'Smelter Look-up'!$J:$J,0)))</f>
        <v>456</v>
      </c>
      <c r="X438" s="140">
        <f t="shared" ca="1" si="64"/>
        <v>0</v>
      </c>
      <c r="AB438" s="178" t="str">
        <f t="shared" ca="1" si="65"/>
        <v>TinMagnu's Minerais Metais e Ligas Ltda.</v>
      </c>
    </row>
    <row r="439" spans="1:28" s="140" customFormat="1" ht="76.5">
      <c r="A439" s="167" t="s">
        <v>2931</v>
      </c>
      <c r="B439" s="168" t="str">
        <f ca="1">IF(LEN(A439)=0,"",INDEX('Smelter Look-up'!$A:$A,MATCH($A439,'Smelter Look-up'!$E:$E,0)))</f>
        <v>Gold</v>
      </c>
      <c r="C439" s="169" t="str">
        <f ca="1">IF(LEN(A439)=0,"",INDEX('Smelter Look-up'!$C:$C,MATCH($A439,'Smelter Look-up'!$E:$E,0)))</f>
        <v>Refinery of Seemine Gold Co., Ltd.</v>
      </c>
      <c r="D439" s="170"/>
      <c r="E439" s="168" t="str">
        <f ca="1">IF(ISERROR($V439),"",OFFSET('Smelter Look-up'!$D$4,$V439-4,0)&amp;"")</f>
        <v>CHINA</v>
      </c>
      <c r="F439" s="168" t="str">
        <f ca="1">IF(ISERROR($V439),"",OFFSET('Smelter Look-up'!$E$4,$V439-4,0))</f>
        <v>CID000522</v>
      </c>
      <c r="G439" s="168" t="str">
        <f ca="1">IF(C439=$X$4,IF(ISERROR($V439),"Enter smelter details","RMI"),IF(ISERROR($V439),"",OFFSET('Smelter Look-up'!$F$4,$V439-4,0)))</f>
        <v>RMI</v>
      </c>
      <c r="H439" s="171">
        <f ca="1">IF(ISERROR($V439),"",OFFSET('Smelter Look-up'!$G$4,$V439-4,0))</f>
        <v>0</v>
      </c>
      <c r="I439" s="172" t="str">
        <f ca="1">IF(ISERROR($V439),"",OFFSET('Smelter Look-up'!$H$4,$V439-4,0))</f>
        <v>Lanzhou</v>
      </c>
      <c r="J439" s="172" t="str">
        <f ca="1">IF(ISERROR($V439),"",OFFSET('Smelter Look-up'!$I$4,$V439-4,0))</f>
        <v>Gansu Sheng</v>
      </c>
      <c r="K439" s="173"/>
      <c r="L439" s="173"/>
      <c r="M439" s="173"/>
      <c r="N439" s="173"/>
      <c r="O439" s="173"/>
      <c r="P439" s="174"/>
      <c r="Q439" s="175"/>
      <c r="R439" s="168" t="str">
        <f ca="1">IF(ISERROR($V439),"",OFFSET('Smelter Look-up'!$C$4,$V439-4,0)&amp;"")</f>
        <v>Refinery of Seemine Gold Co., Ltd.</v>
      </c>
      <c r="S439" s="167" t="str">
        <f t="shared" ca="1" si="63"/>
        <v>CN</v>
      </c>
      <c r="T439" s="167" t="str">
        <f ca="1">IF(B439="","",IF(ISERROR(MATCH($J439,SorP!$B$1:$B$6230,0)),"",INDIRECT("'SorP'!$A$"&amp;MATCH($J439,SorP!$B$1:$B$6230,0))))</f>
        <v>CN-GS</v>
      </c>
      <c r="U439" s="176"/>
      <c r="V439" s="177">
        <f ca="1">IF(C439="",NA(),IF(OR(C439="Smelter not listed",C439="Smelter not yet identified"),MATCH($B439&amp;$D439,'Smelter Look-up'!$J:$J,0),MATCH($B439&amp;$C439,'Smelter Look-up'!$J:$J,0)))</f>
        <v>217</v>
      </c>
      <c r="X439" s="140">
        <f t="shared" ca="1" si="64"/>
        <v>0</v>
      </c>
      <c r="AB439" s="178" t="str">
        <f t="shared" ca="1" si="65"/>
        <v>GoldRefinery of Seemine Gold Co., Ltd.</v>
      </c>
    </row>
    <row r="440" spans="1:28" s="140" customFormat="1" ht="51">
      <c r="A440" s="167" t="s">
        <v>2954</v>
      </c>
      <c r="B440" s="168" t="str">
        <f ca="1">IF(LEN(A440)=0,"",INDEX('Smelter Look-up'!$A:$A,MATCH($A440,'Smelter Look-up'!$E:$E,0)))</f>
        <v>Gold</v>
      </c>
      <c r="C440" s="169" t="str">
        <f ca="1">IF(LEN(A440)=0,"",INDEX('Smelter Look-up'!$C:$C,MATCH($A440,'Smelter Look-up'!$E:$E,0)))</f>
        <v>Sancus ZFS (L’Orfebre, SA)</v>
      </c>
      <c r="D440" s="170"/>
      <c r="E440" s="168" t="str">
        <f ca="1">IF(ISERROR($V440),"",OFFSET('Smelter Look-up'!$D$4,$V440-4,0)&amp;"")</f>
        <v>COLOMBIA</v>
      </c>
      <c r="F440" s="168" t="str">
        <f ca="1">IF(ISERROR($V440),"",OFFSET('Smelter Look-up'!$E$4,$V440-4,0))</f>
        <v>CID003529</v>
      </c>
      <c r="G440" s="168" t="str">
        <f ca="1">IF(C440=$X$4,IF(ISERROR($V440),"Enter smelter details","RMI"),IF(ISERROR($V440),"",OFFSET('Smelter Look-up'!$F$4,$V440-4,0)))</f>
        <v>RMI</v>
      </c>
      <c r="H440" s="171">
        <f ca="1">IF(ISERROR($V440),"",OFFSET('Smelter Look-up'!$G$4,$V440-4,0))</f>
        <v>0</v>
      </c>
      <c r="I440" s="172" t="str">
        <f ca="1">IF(ISERROR($V440),"",OFFSET('Smelter Look-up'!$H$4,$V440-4,0))</f>
        <v>Barranquilla</v>
      </c>
      <c r="J440" s="172" t="str">
        <f ca="1">IF(ISERROR($V440),"",OFFSET('Smelter Look-up'!$I$4,$V440-4,0))</f>
        <v>Atlántico</v>
      </c>
      <c r="K440" s="173"/>
      <c r="L440" s="173"/>
      <c r="M440" s="173"/>
      <c r="N440" s="173"/>
      <c r="O440" s="173"/>
      <c r="P440" s="174"/>
      <c r="Q440" s="175"/>
      <c r="R440" s="168" t="str">
        <f ca="1">IF(ISERROR($V440),"",OFFSET('Smelter Look-up'!$C$4,$V440-4,0)&amp;"")</f>
        <v>Sancus ZFS (L’Orfebre, SA)</v>
      </c>
      <c r="S440" s="167" t="str">
        <f t="shared" ca="1" si="63"/>
        <v>CO</v>
      </c>
      <c r="T440" s="167" t="str">
        <f ca="1">IF(B440="","",IF(ISERROR(MATCH($J440,SorP!$B$1:$B$6230,0)),"",INDIRECT("'SorP'!$A$"&amp;MATCH($J440,SorP!$B$1:$B$6230,0))))</f>
        <v>CO-ATL</v>
      </c>
      <c r="U440" s="176"/>
      <c r="V440" s="177">
        <f ca="1">IF(C440="",NA(),IF(OR(C440="Smelter not listed",C440="Smelter not yet identified"),MATCH($B440&amp;$D440,'Smelter Look-up'!$J:$J,0),MATCH($B440&amp;$C440,'Smelter Look-up'!$J:$J,0)))</f>
        <v>230</v>
      </c>
      <c r="X440" s="140">
        <f t="shared" ca="1" si="64"/>
        <v>0</v>
      </c>
      <c r="AB440" s="178" t="str">
        <f t="shared" ca="1" si="65"/>
        <v>GoldSancus ZFS (L’Orfebre, SA)</v>
      </c>
    </row>
    <row r="441" spans="1:28" s="140" customFormat="1" ht="76.5">
      <c r="A441" s="167" t="s">
        <v>2966</v>
      </c>
      <c r="B441" s="168" t="str">
        <f ca="1">IF(LEN(A441)=0,"",INDEX('Smelter Look-up'!$A:$A,MATCH($A441,'Smelter Look-up'!$E:$E,0)))</f>
        <v>Gold</v>
      </c>
      <c r="C441" s="169" t="str">
        <f ca="1">IF(LEN(A441)=0,"",INDEX('Smelter Look-up'!$C:$C,MATCH($A441,'Smelter Look-up'!$E:$E,0)))</f>
        <v>Shenzhen CuiLu Gold Co., Ltd.</v>
      </c>
      <c r="D441" s="170"/>
      <c r="E441" s="168" t="str">
        <f ca="1">IF(ISERROR($V441),"",OFFSET('Smelter Look-up'!$D$4,$V441-4,0)&amp;"")</f>
        <v>CHINA</v>
      </c>
      <c r="F441" s="168" t="str">
        <f ca="1">IF(ISERROR($V441),"",OFFSET('Smelter Look-up'!$E$4,$V441-4,0))</f>
        <v>CID002750</v>
      </c>
      <c r="G441" s="168" t="str">
        <f ca="1">IF(C441=$X$4,IF(ISERROR($V441),"Enter smelter details","RMI"),IF(ISERROR($V441),"",OFFSET('Smelter Look-up'!$F$4,$V441-4,0)))</f>
        <v>RMI</v>
      </c>
      <c r="H441" s="171">
        <f ca="1">IF(ISERROR($V441),"",OFFSET('Smelter Look-up'!$G$4,$V441-4,0))</f>
        <v>0</v>
      </c>
      <c r="I441" s="172" t="str">
        <f ca="1">IF(ISERROR($V441),"",OFFSET('Smelter Look-up'!$H$4,$V441-4,0))</f>
        <v>Shenzhen</v>
      </c>
      <c r="J441" s="172" t="str">
        <f ca="1">IF(ISERROR($V441),"",OFFSET('Smelter Look-up'!$I$4,$V441-4,0))</f>
        <v>Guangdong</v>
      </c>
      <c r="K441" s="173"/>
      <c r="L441" s="173"/>
      <c r="M441" s="173"/>
      <c r="N441" s="173"/>
      <c r="O441" s="173"/>
      <c r="P441" s="174"/>
      <c r="Q441" s="175"/>
      <c r="R441" s="168" t="str">
        <f ca="1">IF(ISERROR($V441),"",OFFSET('Smelter Look-up'!$C$4,$V441-4,0)&amp;"")</f>
        <v>Shenzhen CuiLu Gold Co., Ltd.</v>
      </c>
      <c r="S441" s="167" t="str">
        <f t="shared" ca="1" si="63"/>
        <v>CN</v>
      </c>
      <c r="T441" s="167" t="str">
        <f ca="1">IF(B441="","",IF(ISERROR(MATCH($J441,SorP!$B$1:$B$6230,0)),"",INDIRECT("'SorP'!$A$"&amp;MATCH($J441,SorP!$B$1:$B$6230,0))))</f>
        <v/>
      </c>
      <c r="U441" s="176"/>
      <c r="V441" s="177">
        <f ca="1">IF(C441="",NA(),IF(OR(C441="Smelter not listed",C441="Smelter not yet identified"),MATCH($B441&amp;$D441,'Smelter Look-up'!$J:$J,0),MATCH($B441&amp;$C441,'Smelter Look-up'!$J:$J,0)))</f>
        <v>248</v>
      </c>
      <c r="X441" s="140">
        <f t="shared" ca="1" si="64"/>
        <v>0</v>
      </c>
      <c r="AB441" s="178" t="str">
        <f t="shared" ca="1" si="65"/>
        <v>GoldShenzhen CuiLu Gold Co., Ltd.</v>
      </c>
    </row>
    <row r="442" spans="1:28" s="140" customFormat="1" ht="102">
      <c r="A442" s="167" t="s">
        <v>2968</v>
      </c>
      <c r="B442" s="168" t="str">
        <f ca="1">IF(LEN(A442)=0,"",INDEX('Smelter Look-up'!$A:$A,MATCH($A442,'Smelter Look-up'!$E:$E,0)))</f>
        <v>Gold</v>
      </c>
      <c r="C442" s="169" t="str">
        <f ca="1">IF(LEN(A442)=0,"",INDEX('Smelter Look-up'!$C:$C,MATCH($A442,'Smelter Look-up'!$E:$E,0)))</f>
        <v>Shenzhen Zhonghenglong Real Industry Co., Ltd.</v>
      </c>
      <c r="D442" s="170"/>
      <c r="E442" s="168" t="str">
        <f ca="1">IF(ISERROR($V442),"",OFFSET('Smelter Look-up'!$D$4,$V442-4,0)&amp;"")</f>
        <v>CHINA</v>
      </c>
      <c r="F442" s="168" t="str">
        <f ca="1">IF(ISERROR($V442),"",OFFSET('Smelter Look-up'!$E$4,$V442-4,0))</f>
        <v>CID002527</v>
      </c>
      <c r="G442" s="168" t="str">
        <f ca="1">IF(C442=$X$4,IF(ISERROR($V442),"Enter smelter details","RMI"),IF(ISERROR($V442),"",OFFSET('Smelter Look-up'!$F$4,$V442-4,0)))</f>
        <v>RMI</v>
      </c>
      <c r="H442" s="171">
        <f ca="1">IF(ISERROR($V442),"",OFFSET('Smelter Look-up'!$G$4,$V442-4,0))</f>
        <v>0</v>
      </c>
      <c r="I442" s="172" t="str">
        <f ca="1">IF(ISERROR($V442),"",OFFSET('Smelter Look-up'!$H$4,$V442-4,0))</f>
        <v>Shenzhen</v>
      </c>
      <c r="J442" s="172" t="str">
        <f ca="1">IF(ISERROR($V442),"",OFFSET('Smelter Look-up'!$I$4,$V442-4,0))</f>
        <v>Guangdong</v>
      </c>
      <c r="K442" s="173"/>
      <c r="L442" s="173"/>
      <c r="M442" s="173"/>
      <c r="N442" s="173"/>
      <c r="O442" s="173"/>
      <c r="P442" s="174"/>
      <c r="Q442" s="175"/>
      <c r="R442" s="168" t="str">
        <f ca="1">IF(ISERROR($V442),"",OFFSET('Smelter Look-up'!$C$4,$V442-4,0)&amp;"")</f>
        <v>Shenzhen Zhonghenglong Real Industry Co., Ltd.</v>
      </c>
      <c r="S442" s="167" t="str">
        <f t="shared" ca="1" si="63"/>
        <v>CN</v>
      </c>
      <c r="T442" s="167" t="str">
        <f ca="1">IF(B442="","",IF(ISERROR(MATCH($J442,SorP!$B$1:$B$6230,0)),"",INDIRECT("'SorP'!$A$"&amp;MATCH($J442,SorP!$B$1:$B$6230,0))))</f>
        <v/>
      </c>
      <c r="U442" s="176"/>
      <c r="V442" s="177">
        <f ca="1">IF(C442="",NA(),IF(OR(C442="Smelter not listed",C442="Smelter not yet identified"),MATCH($B442&amp;$D442,'Smelter Look-up'!$J:$J,0),MATCH($B442&amp;$C442,'Smelter Look-up'!$J:$J,0)))</f>
        <v>249</v>
      </c>
      <c r="X442" s="140">
        <f t="shared" ca="1" si="64"/>
        <v>0</v>
      </c>
      <c r="AB442" s="178" t="str">
        <f t="shared" ca="1" si="65"/>
        <v>GoldShenzhen Zhonghenglong Real Industry Co., Ltd.</v>
      </c>
    </row>
    <row r="443" spans="1:28" s="140" customFormat="1" ht="38.25">
      <c r="A443" s="167" t="s">
        <v>2970</v>
      </c>
      <c r="B443" s="168" t="str">
        <f ca="1">IF(LEN(A443)=0,"",INDEX('Smelter Look-up'!$A:$A,MATCH($A443,'Smelter Look-up'!$E:$E,0)))</f>
        <v>Tantalum</v>
      </c>
      <c r="C443" s="169" t="str">
        <f ca="1">IF(LEN(A443)=0,"",INDEX('Smelter Look-up'!$C:$C,MATCH($A443,'Smelter Look-up'!$E:$E,0)))</f>
        <v>Exotech Inc.</v>
      </c>
      <c r="D443" s="170"/>
      <c r="E443" s="168" t="str">
        <f ca="1">IF(ISERROR($V443),"",OFFSET('Smelter Look-up'!$D$4,$V443-4,0)&amp;"")</f>
        <v>UNITED STATES OF AMERICA</v>
      </c>
      <c r="F443" s="168" t="str">
        <f ca="1">IF(ISERROR($V443),"",OFFSET('Smelter Look-up'!$E$4,$V443-4,0))</f>
        <v>CID000456</v>
      </c>
      <c r="G443" s="168" t="str">
        <f ca="1">IF(C443=$X$4,IF(ISERROR($V443),"Enter smelter details","RMI"),IF(ISERROR($V443),"",OFFSET('Smelter Look-up'!$F$4,$V443-4,0)))</f>
        <v>RMI</v>
      </c>
      <c r="H443" s="171">
        <f ca="1">IF(ISERROR($V443),"",OFFSET('Smelter Look-up'!$G$4,$V443-4,0))</f>
        <v>0</v>
      </c>
      <c r="I443" s="172" t="str">
        <f ca="1">IF(ISERROR($V443),"",OFFSET('Smelter Look-up'!$H$4,$V443-4,0))</f>
        <v>Pompano Beach</v>
      </c>
      <c r="J443" s="172" t="str">
        <f ca="1">IF(ISERROR($V443),"",OFFSET('Smelter Look-up'!$I$4,$V443-4,0))</f>
        <v>Florida</v>
      </c>
      <c r="K443" s="173"/>
      <c r="L443" s="173"/>
      <c r="M443" s="173"/>
      <c r="N443" s="173"/>
      <c r="O443" s="173"/>
      <c r="P443" s="174"/>
      <c r="Q443" s="175"/>
      <c r="R443" s="168" t="str">
        <f ca="1">IF(ISERROR($V443),"",OFFSET('Smelter Look-up'!$C$4,$V443-4,0)&amp;"")</f>
        <v>Exotech Inc.</v>
      </c>
      <c r="S443" s="167" t="str">
        <f t="shared" ca="1" si="63"/>
        <v>US</v>
      </c>
      <c r="T443" s="167" t="str">
        <f ca="1">IF(B443="","",IF(ISERROR(MATCH($J443,SorP!$B$1:$B$6230,0)),"",INDIRECT("'SorP'!$A$"&amp;MATCH($J443,SorP!$B$1:$B$6230,0))))</f>
        <v>US-FL</v>
      </c>
      <c r="U443" s="176"/>
      <c r="V443" s="177">
        <f ca="1">IF(C443="",NA(),IF(OR(C443="Smelter not listed",C443="Smelter not yet identified"),MATCH($B443&amp;$D443,'Smelter Look-up'!$J:$J,0),MATCH($B443&amp;$C443,'Smelter Look-up'!$J:$J,0)))</f>
        <v>328</v>
      </c>
      <c r="X443" s="140">
        <f t="shared" ca="1" si="64"/>
        <v>0</v>
      </c>
      <c r="AB443" s="178" t="str">
        <f t="shared" ca="1" si="65"/>
        <v>TantalumExotech Inc.</v>
      </c>
    </row>
    <row r="444" spans="1:28" s="140" customFormat="1" ht="102">
      <c r="A444" s="167" t="s">
        <v>2991</v>
      </c>
      <c r="B444" s="168" t="str">
        <f ca="1">IF(LEN(A444)=0,"",INDEX('Smelter Look-up'!$A:$A,MATCH($A444,'Smelter Look-up'!$E:$E,0)))</f>
        <v>Gold</v>
      </c>
      <c r="C444" s="169" t="str">
        <f ca="1">IF(LEN(A444)=0,"",INDEX('Smelter Look-up'!$C:$C,MATCH($A444,'Smelter Look-up'!$E:$E,0)))</f>
        <v>Metalor Technologies (Singapore) Pte., Ltd.</v>
      </c>
      <c r="D444" s="170"/>
      <c r="E444" s="168" t="str">
        <f ca="1">IF(ISERROR($V444),"",OFFSET('Smelter Look-up'!$D$4,$V444-4,0)&amp;"")</f>
        <v>SINGAPORE</v>
      </c>
      <c r="F444" s="168" t="str">
        <f ca="1">IF(ISERROR($V444),"",OFFSET('Smelter Look-up'!$E$4,$V444-4,0))</f>
        <v>CID001152</v>
      </c>
      <c r="G444" s="168" t="str">
        <f ca="1">IF(C444=$X$4,IF(ISERROR($V444),"Enter smelter details","RMI"),IF(ISERROR($V444),"",OFFSET('Smelter Look-up'!$F$4,$V444-4,0)))</f>
        <v>RMI</v>
      </c>
      <c r="H444" s="171">
        <f ca="1">IF(ISERROR($V444),"",OFFSET('Smelter Look-up'!$G$4,$V444-4,0))</f>
        <v>0</v>
      </c>
      <c r="I444" s="172" t="str">
        <f ca="1">IF(ISERROR($V444),"",OFFSET('Smelter Look-up'!$H$4,$V444-4,0))</f>
        <v>Singapore</v>
      </c>
      <c r="J444" s="172" t="str">
        <f ca="1">IF(ISERROR($V444),"",OFFSET('Smelter Look-up'!$I$4,$V444-4,0))</f>
        <v>South West</v>
      </c>
      <c r="K444" s="173"/>
      <c r="L444" s="173"/>
      <c r="M444" s="173"/>
      <c r="N444" s="173"/>
      <c r="O444" s="173"/>
      <c r="P444" s="174"/>
      <c r="Q444" s="175"/>
      <c r="R444" s="168" t="str">
        <f ca="1">IF(ISERROR($V444),"",OFFSET('Smelter Look-up'!$C$4,$V444-4,0)&amp;"")</f>
        <v>Metalor Technologies (Singapore) Pte., Ltd.</v>
      </c>
      <c r="S444" s="167" t="str">
        <f t="shared" ca="1" si="63"/>
        <v>SG</v>
      </c>
      <c r="T444" s="167" t="str">
        <f ca="1">IF(B444="","",IF(ISERROR(MATCH($J444,SorP!$B$1:$B$6230,0)),"",INDIRECT("'SorP'!$A$"&amp;MATCH($J444,SorP!$B$1:$B$6230,0))))</f>
        <v>SG-05</v>
      </c>
      <c r="U444" s="176"/>
      <c r="V444" s="177">
        <f ca="1">IF(C444="",NA(),IF(OR(C444="Smelter not listed",C444="Smelter not yet identified"),MATCH($B444&amp;$D444,'Smelter Look-up'!$J:$J,0),MATCH($B444&amp;$C444,'Smelter Look-up'!$J:$J,0)))</f>
        <v>174</v>
      </c>
      <c r="X444" s="140">
        <f t="shared" ca="1" si="64"/>
        <v>0</v>
      </c>
      <c r="AB444" s="178" t="str">
        <f t="shared" ca="1" si="65"/>
        <v>GoldMetalor Technologies (Singapore) Pte., Ltd.</v>
      </c>
    </row>
    <row r="445" spans="1:28" s="140" customFormat="1" ht="51">
      <c r="A445" s="167" t="s">
        <v>3037</v>
      </c>
      <c r="B445" s="168" t="str">
        <f ca="1">IF(LEN(A445)=0,"",INDEX('Smelter Look-up'!$A:$A,MATCH($A445,'Smelter Look-up'!$E:$E,0)))</f>
        <v>Tin</v>
      </c>
      <c r="C445" s="169" t="str">
        <f ca="1">IF(LEN(A445)=0,"",INDEX('Smelter Look-up'!$C:$C,MATCH($A445,'Smelter Look-up'!$E:$E,0)))</f>
        <v>PT Menara Cipta Mulia</v>
      </c>
      <c r="D445" s="170"/>
      <c r="E445" s="168" t="str">
        <f ca="1">IF(ISERROR($V445),"",OFFSET('Smelter Look-up'!$D$4,$V445-4,0)&amp;"")</f>
        <v>INDONESIA</v>
      </c>
      <c r="F445" s="168" t="str">
        <f ca="1">IF(ISERROR($V445),"",OFFSET('Smelter Look-up'!$E$4,$V445-4,0))</f>
        <v>CID002835</v>
      </c>
      <c r="G445" s="168" t="str">
        <f ca="1">IF(C445=$X$4,IF(ISERROR($V445),"Enter smelter details","RMI"),IF(ISERROR($V445),"",OFFSET('Smelter Look-up'!$F$4,$V445-4,0)))</f>
        <v>RMI</v>
      </c>
      <c r="H445" s="171">
        <f ca="1">IF(ISERROR($V445),"",OFFSET('Smelter Look-up'!$G$4,$V445-4,0))</f>
        <v>0</v>
      </c>
      <c r="I445" s="172" t="str">
        <f ca="1">IF(ISERROR($V445),"",OFFSET('Smelter Look-up'!$H$4,$V445-4,0))</f>
        <v>Mentawak</v>
      </c>
      <c r="J445" s="172" t="str">
        <f ca="1">IF(ISERROR($V445),"",OFFSET('Smelter Look-up'!$I$4,$V445-4,0))</f>
        <v>Kepulauan Bangka Belitung</v>
      </c>
      <c r="K445" s="173"/>
      <c r="L445" s="173"/>
      <c r="M445" s="173"/>
      <c r="N445" s="173"/>
      <c r="O445" s="173"/>
      <c r="P445" s="174"/>
      <c r="Q445" s="175"/>
      <c r="R445" s="168" t="str">
        <f ca="1">IF(ISERROR($V445),"",OFFSET('Smelter Look-up'!$C$4,$V445-4,0)&amp;"")</f>
        <v>PT Menara Cipta Mulia</v>
      </c>
      <c r="S445" s="167" t="str">
        <f t="shared" ca="1" si="63"/>
        <v>ID</v>
      </c>
      <c r="T445" s="167" t="str">
        <f ca="1">IF(B445="","",IF(ISERROR(MATCH($J445,SorP!$B$1:$B$6230,0)),"",INDIRECT("'SorP'!$A$"&amp;MATCH($J445,SorP!$B$1:$B$6230,0))))</f>
        <v>ID-BB</v>
      </c>
      <c r="U445" s="176"/>
      <c r="V445" s="177">
        <f ca="1">IF(C445="",NA(),IF(OR(C445="Smelter not listed",C445="Smelter not yet identified"),MATCH($B445&amp;$D445,'Smelter Look-up'!$J:$J,0),MATCH($B445&amp;$C445,'Smelter Look-up'!$J:$J,0)))</f>
        <v>495</v>
      </c>
      <c r="X445" s="140">
        <f t="shared" ca="1" si="64"/>
        <v>0</v>
      </c>
      <c r="AB445" s="178" t="str">
        <f t="shared" ca="1" si="65"/>
        <v>TinPT Menara Cipta Mulia</v>
      </c>
    </row>
    <row r="446" spans="1:28" s="140" customFormat="1" ht="51">
      <c r="A446" s="167" t="s">
        <v>3057</v>
      </c>
      <c r="B446" s="168" t="str">
        <f ca="1">IF(LEN(A446)=0,"",INDEX('Smelter Look-up'!$A:$A,MATCH($A446,'Smelter Look-up'!$E:$E,0)))</f>
        <v>Tin</v>
      </c>
      <c r="C446" s="169" t="str">
        <f ca="1">IF(LEN(A446)=0,"",INDEX('Smelter Look-up'!$C:$C,MATCH($A446,'Smelter Look-up'!$E:$E,0)))</f>
        <v>PT Rajawali Rimba Perkasa</v>
      </c>
      <c r="D446" s="170"/>
      <c r="E446" s="168" t="str">
        <f ca="1">IF(ISERROR($V446),"",OFFSET('Smelter Look-up'!$D$4,$V446-4,0)&amp;"")</f>
        <v>INDONESIA</v>
      </c>
      <c r="F446" s="168" t="str">
        <f ca="1">IF(ISERROR($V446),"",OFFSET('Smelter Look-up'!$E$4,$V446-4,0))</f>
        <v>CID003381</v>
      </c>
      <c r="G446" s="168" t="str">
        <f ca="1">IF(C446=$X$4,IF(ISERROR($V446),"Enter smelter details","RMI"),IF(ISERROR($V446),"",OFFSET('Smelter Look-up'!$F$4,$V446-4,0)))</f>
        <v>RMI</v>
      </c>
      <c r="H446" s="171">
        <f ca="1">IF(ISERROR($V446),"",OFFSET('Smelter Look-up'!$G$4,$V446-4,0))</f>
        <v>0</v>
      </c>
      <c r="I446" s="172" t="str">
        <f ca="1">IF(ISERROR($V446),"",OFFSET('Smelter Look-up'!$H$4,$V446-4,0))</f>
        <v>Tukak Sadai</v>
      </c>
      <c r="J446" s="172" t="str">
        <f ca="1">IF(ISERROR($V446),"",OFFSET('Smelter Look-up'!$I$4,$V446-4,0))</f>
        <v>Kepulauan Bangka Belitung</v>
      </c>
      <c r="K446" s="173"/>
      <c r="L446" s="173"/>
      <c r="M446" s="173"/>
      <c r="N446" s="173"/>
      <c r="O446" s="173"/>
      <c r="P446" s="174"/>
      <c r="Q446" s="175"/>
      <c r="R446" s="168" t="str">
        <f ca="1">IF(ISERROR($V446),"",OFFSET('Smelter Look-up'!$C$4,$V446-4,0)&amp;"")</f>
        <v>PT Rajawali Rimba Perkasa</v>
      </c>
      <c r="S446" s="167" t="str">
        <f t="shared" ca="1" si="63"/>
        <v>ID</v>
      </c>
      <c r="T446" s="167" t="str">
        <f ca="1">IF(B446="","",IF(ISERROR(MATCH($J446,SorP!$B$1:$B$6230,0)),"",INDIRECT("'SorP'!$A$"&amp;MATCH($J446,SorP!$B$1:$B$6230,0))))</f>
        <v>ID-BB</v>
      </c>
      <c r="U446" s="176"/>
      <c r="V446" s="177">
        <f ca="1">IF(C446="",NA(),IF(OR(C446="Smelter not listed",C446="Smelter not yet identified"),MATCH($B446&amp;$D446,'Smelter Look-up'!$J:$J,0),MATCH($B446&amp;$C446,'Smelter Look-up'!$J:$J,0)))</f>
        <v>501</v>
      </c>
      <c r="X446" s="140">
        <f t="shared" ca="1" si="64"/>
        <v>0</v>
      </c>
      <c r="AB446" s="178" t="str">
        <f t="shared" ca="1" si="65"/>
        <v>TinPT Rajawali Rimba Perkasa</v>
      </c>
    </row>
    <row r="447" spans="1:28" s="140" customFormat="1" ht="63.75">
      <c r="A447" s="167" t="s">
        <v>3061</v>
      </c>
      <c r="B447" s="168" t="str">
        <f ca="1">IF(LEN(A447)=0,"",INDEX('Smelter Look-up'!$A:$A,MATCH($A447,'Smelter Look-up'!$E:$E,0)))</f>
        <v>Tin</v>
      </c>
      <c r="C447" s="169" t="str">
        <f ca="1">IF(LEN(A447)=0,"",INDEX('Smelter Look-up'!$C:$C,MATCH($A447,'Smelter Look-up'!$E:$E,0)))</f>
        <v>PT Sariwiguna Binasentosa</v>
      </c>
      <c r="D447" s="170"/>
      <c r="E447" s="168" t="str">
        <f ca="1">IF(ISERROR($V447),"",OFFSET('Smelter Look-up'!$D$4,$V447-4,0)&amp;"")</f>
        <v>INDONESIA</v>
      </c>
      <c r="F447" s="168" t="str">
        <f ca="1">IF(ISERROR($V447),"",OFFSET('Smelter Look-up'!$E$4,$V447-4,0))</f>
        <v>CID001463</v>
      </c>
      <c r="G447" s="168" t="str">
        <f ca="1">IF(C447=$X$4,IF(ISERROR($V447),"Enter smelter details","RMI"),IF(ISERROR($V447),"",OFFSET('Smelter Look-up'!$F$4,$V447-4,0)))</f>
        <v>RMI</v>
      </c>
      <c r="H447" s="171">
        <f ca="1">IF(ISERROR($V447),"",OFFSET('Smelter Look-up'!$G$4,$V447-4,0))</f>
        <v>0</v>
      </c>
      <c r="I447" s="172" t="str">
        <f ca="1">IF(ISERROR($V447),"",OFFSET('Smelter Look-up'!$H$4,$V447-4,0))</f>
        <v>Pangkal Pinang</v>
      </c>
      <c r="J447" s="172" t="str">
        <f ca="1">IF(ISERROR($V447),"",OFFSET('Smelter Look-up'!$I$4,$V447-4,0))</f>
        <v>Kepulauan Bangka Belitung</v>
      </c>
      <c r="K447" s="173"/>
      <c r="L447" s="173"/>
      <c r="M447" s="173"/>
      <c r="N447" s="173"/>
      <c r="O447" s="173"/>
      <c r="P447" s="174"/>
      <c r="Q447" s="175"/>
      <c r="R447" s="168" t="str">
        <f ca="1">IF(ISERROR($V447),"",OFFSET('Smelter Look-up'!$C$4,$V447-4,0)&amp;"")</f>
        <v>PT Sariwiguna Binasentosa</v>
      </c>
      <c r="S447" s="167" t="str">
        <f t="shared" ca="1" si="63"/>
        <v>ID</v>
      </c>
      <c r="T447" s="167" t="str">
        <f ca="1">IF(B447="","",IF(ISERROR(MATCH($J447,SorP!$B$1:$B$6230,0)),"",INDIRECT("'SorP'!$A$"&amp;MATCH($J447,SorP!$B$1:$B$6230,0))))</f>
        <v>ID-BB</v>
      </c>
      <c r="U447" s="176"/>
      <c r="V447" s="177">
        <f ca="1">IF(C447="",NA(),IF(OR(C447="Smelter not listed",C447="Smelter not yet identified"),MATCH($B447&amp;$D447,'Smelter Look-up'!$J:$J,0),MATCH($B447&amp;$C447,'Smelter Look-up'!$J:$J,0)))</f>
        <v>503</v>
      </c>
      <c r="X447" s="140">
        <f t="shared" ca="1" si="64"/>
        <v>0</v>
      </c>
      <c r="AB447" s="178" t="str">
        <f t="shared" ca="1" si="65"/>
        <v>TinPT Sariwiguna Binasentosa</v>
      </c>
    </row>
    <row r="448" spans="1:28" s="140" customFormat="1" ht="51">
      <c r="A448" s="167" t="s">
        <v>3065</v>
      </c>
      <c r="B448" s="168" t="str">
        <f ca="1">IF(LEN(A448)=0,"",INDEX('Smelter Look-up'!$A:$A,MATCH($A448,'Smelter Look-up'!$E:$E,0)))</f>
        <v>Tin</v>
      </c>
      <c r="C448" s="169" t="str">
        <f ca="1">IF(LEN(A448)=0,"",INDEX('Smelter Look-up'!$C:$C,MATCH($A448,'Smelter Look-up'!$E:$E,0)))</f>
        <v>PT Stanindo Inti Perkasa</v>
      </c>
      <c r="D448" s="170"/>
      <c r="E448" s="168" t="str">
        <f ca="1">IF(ISERROR($V448),"",OFFSET('Smelter Look-up'!$D$4,$V448-4,0)&amp;"")</f>
        <v>INDONESIA</v>
      </c>
      <c r="F448" s="168" t="str">
        <f ca="1">IF(ISERROR($V448),"",OFFSET('Smelter Look-up'!$E$4,$V448-4,0))</f>
        <v>CID001468</v>
      </c>
      <c r="G448" s="168" t="str">
        <f ca="1">IF(C448=$X$4,IF(ISERROR($V448),"Enter smelter details","RMI"),IF(ISERROR($V448),"",OFFSET('Smelter Look-up'!$F$4,$V448-4,0)))</f>
        <v>RMI</v>
      </c>
      <c r="H448" s="171">
        <f ca="1">IF(ISERROR($V448),"",OFFSET('Smelter Look-up'!$G$4,$V448-4,0))</f>
        <v>0</v>
      </c>
      <c r="I448" s="172" t="str">
        <f ca="1">IF(ISERROR($V448),"",OFFSET('Smelter Look-up'!$H$4,$V448-4,0))</f>
        <v>Pangkal Pinang</v>
      </c>
      <c r="J448" s="172" t="str">
        <f ca="1">IF(ISERROR($V448),"",OFFSET('Smelter Look-up'!$I$4,$V448-4,0))</f>
        <v>Kepulauan Bangka Belitung</v>
      </c>
      <c r="K448" s="173"/>
      <c r="L448" s="173"/>
      <c r="M448" s="173"/>
      <c r="N448" s="173"/>
      <c r="O448" s="173"/>
      <c r="P448" s="174"/>
      <c r="Q448" s="175"/>
      <c r="R448" s="168" t="str">
        <f ca="1">IF(ISERROR($V448),"",OFFSET('Smelter Look-up'!$C$4,$V448-4,0)&amp;"")</f>
        <v>PT Stanindo Inti Perkasa</v>
      </c>
      <c r="S448" s="167" t="str">
        <f t="shared" ca="1" si="63"/>
        <v>ID</v>
      </c>
      <c r="T448" s="167" t="str">
        <f ca="1">IF(B448="","",IF(ISERROR(MATCH($J448,SorP!$B$1:$B$6230,0)),"",INDIRECT("'SorP'!$A$"&amp;MATCH($J448,SorP!$B$1:$B$6230,0))))</f>
        <v>ID-BB</v>
      </c>
      <c r="U448" s="176"/>
      <c r="V448" s="177">
        <f ca="1">IF(C448="",NA(),IF(OR(C448="Smelter not listed",C448="Smelter not yet identified"),MATCH($B448&amp;$D448,'Smelter Look-up'!$J:$J,0),MATCH($B448&amp;$C448,'Smelter Look-up'!$J:$J,0)))</f>
        <v>504</v>
      </c>
      <c r="X448" s="140">
        <f t="shared" ca="1" si="64"/>
        <v>0</v>
      </c>
      <c r="AB448" s="178" t="str">
        <f t="shared" ca="1" si="65"/>
        <v>TinPT Stanindo Inti Perkasa</v>
      </c>
    </row>
    <row r="449" spans="1:28" s="140" customFormat="1" ht="38.25">
      <c r="A449" s="167" t="s">
        <v>3081</v>
      </c>
      <c r="B449" s="168" t="str">
        <f ca="1">IF(LEN(A449)=0,"",INDEX('Smelter Look-up'!$A:$A,MATCH($A449,'Smelter Look-up'!$E:$E,0)))</f>
        <v>Tin</v>
      </c>
      <c r="C449" s="169" t="str">
        <f ca="1">IF(LEN(A449)=0,"",INDEX('Smelter Look-up'!$C:$C,MATCH($A449,'Smelter Look-up'!$E:$E,0)))</f>
        <v>CRM Synergies</v>
      </c>
      <c r="D449" s="170"/>
      <c r="E449" s="168" t="str">
        <f ca="1">IF(ISERROR($V449),"",OFFSET('Smelter Look-up'!$D$4,$V449-4,0)&amp;"")</f>
        <v>SPAIN</v>
      </c>
      <c r="F449" s="168" t="str">
        <f ca="1">IF(ISERROR($V449),"",OFFSET('Smelter Look-up'!$E$4,$V449-4,0))</f>
        <v>CID003524</v>
      </c>
      <c r="G449" s="168" t="str">
        <f ca="1">IF(C449=$X$4,IF(ISERROR($V449),"Enter smelter details","RMI"),IF(ISERROR($V449),"",OFFSET('Smelter Look-up'!$F$4,$V449-4,0)))</f>
        <v>RMI</v>
      </c>
      <c r="H449" s="171">
        <f ca="1">IF(ISERROR($V449),"",OFFSET('Smelter Look-up'!$G$4,$V449-4,0))</f>
        <v>0</v>
      </c>
      <c r="I449" s="172" t="str">
        <f ca="1">IF(ISERROR($V449),"",OFFSET('Smelter Look-up'!$H$4,$V449-4,0))</f>
        <v>Toledo</v>
      </c>
      <c r="J449" s="172" t="str">
        <f ca="1">IF(ISERROR($V449),"",OFFSET('Smelter Look-up'!$I$4,$V449-4,0))</f>
        <v>Toledo</v>
      </c>
      <c r="K449" s="173"/>
      <c r="L449" s="173"/>
      <c r="M449" s="173"/>
      <c r="N449" s="173"/>
      <c r="O449" s="173"/>
      <c r="P449" s="174"/>
      <c r="Q449" s="175"/>
      <c r="R449" s="168" t="str">
        <f ca="1">IF(ISERROR($V449),"",OFFSET('Smelter Look-up'!$C$4,$V449-4,0)&amp;"")</f>
        <v>CRM Synergies</v>
      </c>
      <c r="S449" s="167" t="str">
        <f t="shared" ca="1" si="63"/>
        <v>ES</v>
      </c>
      <c r="T449" s="167" t="str">
        <f ca="1">IF(B449="","",IF(ISERROR(MATCH($J449,SorP!$B$1:$B$6230,0)),"",INDIRECT("'SorP'!$A$"&amp;MATCH($J449,SorP!$B$1:$B$6230,0))))</f>
        <v>BZ-TOL</v>
      </c>
      <c r="U449" s="176"/>
      <c r="V449" s="177">
        <f ca="1">IF(C449="",NA(),IF(OR(C449="Smelter not listed",C449="Smelter not yet identified"),MATCH($B449&amp;$D449,'Smelter Look-up'!$J:$J,0),MATCH($B449&amp;$C449,'Smelter Look-up'!$J:$J,0)))</f>
        <v>410</v>
      </c>
      <c r="X449" s="140">
        <f t="shared" ca="1" si="64"/>
        <v>0</v>
      </c>
      <c r="AB449" s="178" t="str">
        <f t="shared" ca="1" si="65"/>
        <v>TinCRM Synergies</v>
      </c>
    </row>
    <row r="450" spans="1:28" s="140" customFormat="1" ht="89.25">
      <c r="A450" s="167" t="s">
        <v>3154</v>
      </c>
      <c r="B450" s="168" t="str">
        <f ca="1">IF(LEN(A450)=0,"",INDEX('Smelter Look-up'!$A:$A,MATCH($A450,'Smelter Look-up'!$E:$E,0)))</f>
        <v>Gold</v>
      </c>
      <c r="C450" s="169" t="str">
        <f ca="1">IF(LEN(A450)=0,"",INDEX('Smelter Look-up'!$C:$C,MATCH($A450,'Smelter Look-up'!$E:$E,0)))</f>
        <v>Lingbao Jinyuan Tonghui Refinery Co., Ltd.</v>
      </c>
      <c r="D450" s="170"/>
      <c r="E450" s="168" t="str">
        <f ca="1">IF(ISERROR($V450),"",OFFSET('Smelter Look-up'!$D$4,$V450-4,0)&amp;"")</f>
        <v>CHINA</v>
      </c>
      <c r="F450" s="168" t="str">
        <f ca="1">IF(ISERROR($V450),"",OFFSET('Smelter Look-up'!$E$4,$V450-4,0))</f>
        <v>CID001058</v>
      </c>
      <c r="G450" s="168" t="str">
        <f ca="1">IF(C450=$X$4,IF(ISERROR($V450),"Enter smelter details","RMI"),IF(ISERROR($V450),"",OFFSET('Smelter Look-up'!$F$4,$V450-4,0)))</f>
        <v>RMI</v>
      </c>
      <c r="H450" s="171">
        <f ca="1">IF(ISERROR($V450),"",OFFSET('Smelter Look-up'!$G$4,$V450-4,0))</f>
        <v>0</v>
      </c>
      <c r="I450" s="172" t="str">
        <f ca="1">IF(ISERROR($V450),"",OFFSET('Smelter Look-up'!$H$4,$V450-4,0))</f>
        <v>Lingbao</v>
      </c>
      <c r="J450" s="172" t="str">
        <f ca="1">IF(ISERROR($V450),"",OFFSET('Smelter Look-up'!$I$4,$V450-4,0))</f>
        <v>Henan Sheng</v>
      </c>
      <c r="K450" s="173"/>
      <c r="L450" s="173"/>
      <c r="M450" s="173"/>
      <c r="N450" s="173"/>
      <c r="O450" s="173"/>
      <c r="P450" s="174"/>
      <c r="Q450" s="175"/>
      <c r="R450" s="168" t="str">
        <f ca="1">IF(ISERROR($V450),"",OFFSET('Smelter Look-up'!$C$4,$V450-4,0)&amp;"")</f>
        <v>Lingbao Jinyuan Tonghui Refinery Co., Ltd.</v>
      </c>
      <c r="S450" s="167" t="str">
        <f t="shared" ca="1" si="63"/>
        <v>CN</v>
      </c>
      <c r="T450" s="167" t="str">
        <f ca="1">IF(B450="","",IF(ISERROR(MATCH($J450,SorP!$B$1:$B$6230,0)),"",INDIRECT("'SorP'!$A$"&amp;MATCH($J450,SorP!$B$1:$B$6230,0))))</f>
        <v>CN-HA</v>
      </c>
      <c r="U450" s="176"/>
      <c r="V450" s="177">
        <f ca="1">IF(C450="",NA(),IF(OR(C450="Smelter not listed",C450="Smelter not yet identified"),MATCH($B450&amp;$D450,'Smelter Look-up'!$J:$J,0),MATCH($B450&amp;$C450,'Smelter Look-up'!$J:$J,0)))</f>
        <v>156</v>
      </c>
      <c r="X450" s="140">
        <f t="shared" ca="1" si="64"/>
        <v>0</v>
      </c>
      <c r="AB450" s="178" t="str">
        <f t="shared" ca="1" si="65"/>
        <v>GoldLingbao Jinyuan Tonghui Refinery Co., Ltd.</v>
      </c>
    </row>
    <row r="451" spans="1:28" s="140" customFormat="1" ht="89.25">
      <c r="A451" s="167" t="s">
        <v>3178</v>
      </c>
      <c r="B451" s="168" t="str">
        <f ca="1">IF(LEN(A451)=0,"",INDEX('Smelter Look-up'!$A:$A,MATCH($A451,'Smelter Look-up'!$E:$E,0)))</f>
        <v>Gold</v>
      </c>
      <c r="C451" s="169" t="str">
        <f ca="1">IF(LEN(A451)=0,"",INDEX('Smelter Look-up'!$C:$C,MATCH($A451,'Smelter Look-up'!$E:$E,0)))</f>
        <v>Metal Concentrators SA (Pty) Ltd.</v>
      </c>
      <c r="D451" s="170"/>
      <c r="E451" s="168" t="str">
        <f ca="1">IF(ISERROR($V451),"",OFFSET('Smelter Look-up'!$D$4,$V451-4,0)&amp;"")</f>
        <v>SOUTH AFRICA</v>
      </c>
      <c r="F451" s="168" t="str">
        <f ca="1">IF(ISERROR($V451),"",OFFSET('Smelter Look-up'!$E$4,$V451-4,0))</f>
        <v>CID003575</v>
      </c>
      <c r="G451" s="168" t="str">
        <f ca="1">IF(C451=$X$4,IF(ISERROR($V451),"Enter smelter details","RMI"),IF(ISERROR($V451),"",OFFSET('Smelter Look-up'!$F$4,$V451-4,0)))</f>
        <v>RMI</v>
      </c>
      <c r="H451" s="171">
        <f ca="1">IF(ISERROR($V451),"",OFFSET('Smelter Look-up'!$G$4,$V451-4,0))</f>
        <v>0</v>
      </c>
      <c r="I451" s="172" t="str">
        <f ca="1">IF(ISERROR($V451),"",OFFSET('Smelter Look-up'!$H$4,$V451-4,0))</f>
        <v>Kempton Park</v>
      </c>
      <c r="J451" s="172" t="str">
        <f ca="1">IF(ISERROR($V451),"",OFFSET('Smelter Look-up'!$I$4,$V451-4,0))</f>
        <v>Gauteng</v>
      </c>
      <c r="K451" s="173"/>
      <c r="L451" s="173"/>
      <c r="M451" s="173"/>
      <c r="N451" s="173"/>
      <c r="O451" s="173"/>
      <c r="P451" s="174"/>
      <c r="Q451" s="175"/>
      <c r="R451" s="168" t="str">
        <f ca="1">IF(ISERROR($V451),"",OFFSET('Smelter Look-up'!$C$4,$V451-4,0)&amp;"")</f>
        <v>Metal Concentrators SA (Pty) Ltd.</v>
      </c>
      <c r="S451" s="167" t="str">
        <f t="shared" ca="1" si="63"/>
        <v>ZA</v>
      </c>
      <c r="T451" s="167" t="str">
        <f ca="1">IF(B451="","",IF(ISERROR(MATCH($J451,SorP!$B$1:$B$6230,0)),"",INDIRECT("'SorP'!$A$"&amp;MATCH($J451,SorP!$B$1:$B$6230,0))))</f>
        <v>ZA-GP</v>
      </c>
      <c r="U451" s="176"/>
      <c r="V451" s="177">
        <f ca="1">IF(C451="",NA(),IF(OR(C451="Smelter not listed",C451="Smelter not yet identified"),MATCH($B451&amp;$D451,'Smelter Look-up'!$J:$J,0),MATCH($B451&amp;$C451,'Smelter Look-up'!$J:$J,0)))</f>
        <v>168</v>
      </c>
      <c r="X451" s="140">
        <f t="shared" ca="1" si="64"/>
        <v>0</v>
      </c>
      <c r="AB451" s="178" t="str">
        <f t="shared" ca="1" si="65"/>
        <v>GoldMetal Concentrators SA (Pty) Ltd.</v>
      </c>
    </row>
    <row r="452" spans="1:28" s="140" customFormat="1" ht="51">
      <c r="A452" s="167" t="s">
        <v>3180</v>
      </c>
      <c r="B452" s="168" t="str">
        <f ca="1">IF(LEN(A452)=0,"",INDEX('Smelter Look-up'!$A:$A,MATCH($A452,'Smelter Look-up'!$E:$E,0)))</f>
        <v>Gold</v>
      </c>
      <c r="C452" s="169" t="str">
        <f ca="1">IF(LEN(A452)=0,"",INDEX('Smelter Look-up'!$C:$C,MATCH($A452,'Smelter Look-up'!$E:$E,0)))</f>
        <v>Metallix Refining Inc.</v>
      </c>
      <c r="D452" s="170"/>
      <c r="E452" s="168" t="str">
        <f ca="1">IF(ISERROR($V452),"",OFFSET('Smelter Look-up'!$D$4,$V452-4,0)&amp;"")</f>
        <v>UNITED STATES OF AMERICA</v>
      </c>
      <c r="F452" s="168" t="str">
        <f ca="1">IF(ISERROR($V452),"",OFFSET('Smelter Look-up'!$E$4,$V452-4,0))</f>
        <v>CID003557</v>
      </c>
      <c r="G452" s="168" t="str">
        <f ca="1">IF(C452=$X$4,IF(ISERROR($V452),"Enter smelter details","RMI"),IF(ISERROR($V452),"",OFFSET('Smelter Look-up'!$F$4,$V452-4,0)))</f>
        <v>RMI</v>
      </c>
      <c r="H452" s="171">
        <f ca="1">IF(ISERROR($V452),"",OFFSET('Smelter Look-up'!$G$4,$V452-4,0))</f>
        <v>0</v>
      </c>
      <c r="I452" s="172" t="str">
        <f ca="1">IF(ISERROR($V452),"",OFFSET('Smelter Look-up'!$H$4,$V452-4,0))</f>
        <v>Greenville</v>
      </c>
      <c r="J452" s="172" t="str">
        <f ca="1">IF(ISERROR($V452),"",OFFSET('Smelter Look-up'!$I$4,$V452-4,0))</f>
        <v>North Carolina</v>
      </c>
      <c r="K452" s="173"/>
      <c r="L452" s="173"/>
      <c r="M452" s="173"/>
      <c r="N452" s="173"/>
      <c r="O452" s="173"/>
      <c r="P452" s="174"/>
      <c r="Q452" s="175"/>
      <c r="R452" s="168" t="str">
        <f ca="1">IF(ISERROR($V452),"",OFFSET('Smelter Look-up'!$C$4,$V452-4,0)&amp;"")</f>
        <v>Metallix Refining Inc.</v>
      </c>
      <c r="S452" s="167" t="str">
        <f t="shared" ca="1" si="63"/>
        <v>US</v>
      </c>
      <c r="T452" s="167" t="str">
        <f ca="1">IF(B452="","",IF(ISERROR(MATCH($J452,SorP!$B$1:$B$6230,0)),"",INDIRECT("'SorP'!$A$"&amp;MATCH($J452,SorP!$B$1:$B$6230,0))))</f>
        <v>US-NC</v>
      </c>
      <c r="U452" s="176"/>
      <c r="V452" s="177">
        <f ca="1">IF(C452="",NA(),IF(OR(C452="Smelter not listed",C452="Smelter not yet identified"),MATCH($B452&amp;$D452,'Smelter Look-up'!$J:$J,0),MATCH($B452&amp;$C452,'Smelter Look-up'!$J:$J,0)))</f>
        <v>170</v>
      </c>
      <c r="X452" s="140">
        <f t="shared" ca="1" si="64"/>
        <v>0</v>
      </c>
      <c r="AB452" s="178" t="str">
        <f t="shared" ca="1" si="65"/>
        <v>GoldMetallix Refining Inc.</v>
      </c>
    </row>
    <row r="453" spans="1:28" s="140" customFormat="1" ht="89.25">
      <c r="A453" s="167" t="s">
        <v>987</v>
      </c>
      <c r="B453" s="168" t="str">
        <f ca="1">IF(LEN(A453)=0,"",INDEX('Smelter Look-up'!$A:$A,MATCH($A453,'Smelter Look-up'!$E:$E,0)))</f>
        <v>Tungsten</v>
      </c>
      <c r="C453" s="169" t="str">
        <f ca="1">IF(LEN(A453)=0,"",INDEX('Smelter Look-up'!$C:$C,MATCH($A453,'Smelter Look-up'!$E:$E,0)))</f>
        <v>Jiangxi Yaosheng Tungsten Co., Ltd.</v>
      </c>
      <c r="D453" s="170"/>
      <c r="E453" s="168" t="str">
        <f ca="1">IF(ISERROR($V453),"",OFFSET('Smelter Look-up'!$D$4,$V453-4,0)&amp;"")</f>
        <v>CHINA</v>
      </c>
      <c r="F453" s="168" t="str">
        <f ca="1">IF(ISERROR($V453),"",OFFSET('Smelter Look-up'!$E$4,$V453-4,0))</f>
        <v>CID002316</v>
      </c>
      <c r="G453" s="168" t="str">
        <f ca="1">IF(C453=$X$4,IF(ISERROR($V453),"Enter smelter details","RMI"),IF(ISERROR($V453),"",OFFSET('Smelter Look-up'!$F$4,$V453-4,0)))</f>
        <v>RMI</v>
      </c>
      <c r="H453" s="171">
        <f ca="1">IF(ISERROR($V453),"",OFFSET('Smelter Look-up'!$G$4,$V453-4,0))</f>
        <v>0</v>
      </c>
      <c r="I453" s="172" t="str">
        <f ca="1">IF(ISERROR($V453),"",OFFSET('Smelter Look-up'!$H$4,$V453-4,0))</f>
        <v>Ganzhou</v>
      </c>
      <c r="J453" s="172" t="str">
        <f ca="1">IF(ISERROR($V453),"",OFFSET('Smelter Look-up'!$I$4,$V453-4,0))</f>
        <v>Jiangxi Sheng</v>
      </c>
      <c r="K453" s="173"/>
      <c r="L453" s="173"/>
      <c r="M453" s="173"/>
      <c r="N453" s="173"/>
      <c r="O453" s="173"/>
      <c r="P453" s="174"/>
      <c r="Q453" s="175"/>
      <c r="R453" s="168" t="str">
        <f ca="1">IF(ISERROR($V453),"",OFFSET('Smelter Look-up'!$C$4,$V453-4,0)&amp;"")</f>
        <v>Jiangxi Yaosheng Tungsten Co., Ltd.</v>
      </c>
      <c r="S453" s="167" t="str">
        <f t="shared" ref="S453:S486" ca="1" si="66">IF(B453="","",IF(ISERROR(MATCH($E453,CL,0)),"Unknown",INDIRECT("'C'!$A$"&amp;MATCH($E453,CL,0)+1)))</f>
        <v>CN</v>
      </c>
      <c r="T453" s="167" t="str">
        <f ca="1">IF(B453="","",IF(ISERROR(MATCH($J453,SorP!$B$1:$B$6230,0)),"",INDIRECT("'SorP'!$A$"&amp;MATCH($J453,SorP!$B$1:$B$6230,0))))</f>
        <v>CN-JX</v>
      </c>
      <c r="U453" s="176"/>
      <c r="V453" s="177">
        <f ca="1">IF(C453="",NA(),IF(OR(C453="Smelter not listed",C453="Smelter not yet identified"),MATCH($B453&amp;$D453,'Smelter Look-up'!$J:$J,0),MATCH($B453&amp;$C453,'Smelter Look-up'!$J:$J,0)))</f>
        <v>600</v>
      </c>
      <c r="X453" s="140">
        <f t="shared" ref="X453:X486" ca="1" si="67">IF(AND(C453="Smelter not listed",OR(LEN(D453)=0,LEN(E453)=0)),1,0)</f>
        <v>0</v>
      </c>
      <c r="AB453" s="178" t="str">
        <f t="shared" ref="AB453:AB486" ca="1" si="68">B453&amp;C453</f>
        <v>TungstenJiangxi Yaosheng Tungsten Co., Ltd.</v>
      </c>
    </row>
    <row r="454" spans="1:28" s="140" customFormat="1" ht="102">
      <c r="A454" s="167" t="s">
        <v>1810</v>
      </c>
      <c r="B454" s="168" t="str">
        <f ca="1">IF(LEN(A454)=0,"",INDEX('Smelter Look-up'!$A:$A,MATCH($A454,'Smelter Look-up'!$E:$E,0)))</f>
        <v>Gold</v>
      </c>
      <c r="C454" s="169" t="str">
        <f ca="1">IF(LEN(A454)=0,"",INDEX('Smelter Look-up'!$C:$C,MATCH($A454,'Smelter Look-up'!$E:$E,0)))</f>
        <v>Almalyk Mining and Metallurgical Complex (AMMC)</v>
      </c>
      <c r="D454" s="170"/>
      <c r="E454" s="168" t="str">
        <f ca="1">IF(ISERROR($V454),"",OFFSET('Smelter Look-up'!$D$4,$V454-4,0)&amp;"")</f>
        <v>UZBEKISTAN</v>
      </c>
      <c r="F454" s="168" t="str">
        <f ca="1">IF(ISERROR($V454),"",OFFSET('Smelter Look-up'!$E$4,$V454-4,0))</f>
        <v>CID000041</v>
      </c>
      <c r="G454" s="168" t="str">
        <f ca="1">IF(C454=$X$4,IF(ISERROR($V454),"Enter smelter details","RMI"),IF(ISERROR($V454),"",OFFSET('Smelter Look-up'!$F$4,$V454-4,0)))</f>
        <v>RMI</v>
      </c>
      <c r="H454" s="171">
        <f ca="1">IF(ISERROR($V454),"",OFFSET('Smelter Look-up'!$G$4,$V454-4,0))</f>
        <v>0</v>
      </c>
      <c r="I454" s="172" t="str">
        <f ca="1">IF(ISERROR($V454),"",OFFSET('Smelter Look-up'!$H$4,$V454-4,0))</f>
        <v>Almalyk</v>
      </c>
      <c r="J454" s="172" t="str">
        <f ca="1">IF(ISERROR($V454),"",OFFSET('Smelter Look-up'!$I$4,$V454-4,0))</f>
        <v>Toshkent</v>
      </c>
      <c r="K454" s="173"/>
      <c r="L454" s="173"/>
      <c r="M454" s="173"/>
      <c r="N454" s="173"/>
      <c r="O454" s="173"/>
      <c r="P454" s="174"/>
      <c r="Q454" s="175"/>
      <c r="R454" s="168" t="str">
        <f ca="1">IF(ISERROR($V454),"",OFFSET('Smelter Look-up'!$C$4,$V454-4,0)&amp;"")</f>
        <v>Almalyk Mining and Metallurgical Complex (AMMC)</v>
      </c>
      <c r="S454" s="167" t="str">
        <f t="shared" ca="1" si="66"/>
        <v>UZ</v>
      </c>
      <c r="T454" s="167" t="str">
        <f ca="1">IF(B454="","",IF(ISERROR(MATCH($J454,SorP!$B$1:$B$6230,0)),"",INDIRECT("'SorP'!$A$"&amp;MATCH($J454,SorP!$B$1:$B$6230,0))))</f>
        <v>UZ-TO</v>
      </c>
      <c r="U454" s="176"/>
      <c r="V454" s="177">
        <f ca="1">IF(C454="",NA(),IF(OR(C454="Smelter not listed",C454="Smelter not yet identified"),MATCH($B454&amp;$D454,'Smelter Look-up'!$J:$J,0),MATCH($B454&amp;$C454,'Smelter Look-up'!$J:$J,0)))</f>
        <v>20</v>
      </c>
      <c r="X454" s="140">
        <f t="shared" ca="1" si="67"/>
        <v>0</v>
      </c>
      <c r="AB454" s="178" t="str">
        <f t="shared" ca="1" si="68"/>
        <v>GoldAlmalyk Mining and Metallurgical Complex (AMMC)</v>
      </c>
    </row>
    <row r="455" spans="1:28" s="140" customFormat="1" ht="102">
      <c r="A455" s="167" t="s">
        <v>171</v>
      </c>
      <c r="B455" s="168" t="str">
        <f ca="1">IF(LEN(A455)=0,"",INDEX('Smelter Look-up'!$A:$A,MATCH($A455,'Smelter Look-up'!$E:$E,0)))</f>
        <v>Gold</v>
      </c>
      <c r="C455" s="169" t="str">
        <f ca="1">IF(LEN(A455)=0,"",INDEX('Smelter Look-up'!$C:$C,MATCH($A455,'Smelter Look-up'!$E:$E,0)))</f>
        <v>Atasay Kuyumculuk Sanayi Ve Ticaret A.S.</v>
      </c>
      <c r="D455" s="170"/>
      <c r="E455" s="168" t="str">
        <f ca="1">IF(ISERROR($V455),"",OFFSET('Smelter Look-up'!$D$4,$V455-4,0)&amp;"")</f>
        <v>TURKEY</v>
      </c>
      <c r="F455" s="168" t="str">
        <f ca="1">IF(ISERROR($V455),"",OFFSET('Smelter Look-up'!$E$4,$V455-4,0))</f>
        <v>CID000103</v>
      </c>
      <c r="G455" s="168" t="str">
        <f ca="1">IF(C455=$X$4,IF(ISERROR($V455),"Enter smelter details","RMI"),IF(ISERROR($V455),"",OFFSET('Smelter Look-up'!$F$4,$V455-4,0)))</f>
        <v>RMI</v>
      </c>
      <c r="H455" s="171">
        <f ca="1">IF(ISERROR($V455),"",OFFSET('Smelter Look-up'!$G$4,$V455-4,0))</f>
        <v>0</v>
      </c>
      <c r="I455" s="172" t="str">
        <f ca="1">IF(ISERROR($V455),"",OFFSET('Smelter Look-up'!$H$4,$V455-4,0))</f>
        <v>Istanbul</v>
      </c>
      <c r="J455" s="172" t="str">
        <f ca="1">IF(ISERROR($V455),"",OFFSET('Smelter Look-up'!$I$4,$V455-4,0))</f>
        <v>İstanbul</v>
      </c>
      <c r="K455" s="173"/>
      <c r="L455" s="173"/>
      <c r="M455" s="173"/>
      <c r="N455" s="173"/>
      <c r="O455" s="173"/>
      <c r="P455" s="174"/>
      <c r="Q455" s="175"/>
      <c r="R455" s="168" t="str">
        <f ca="1">IF(ISERROR($V455),"",OFFSET('Smelter Look-up'!$C$4,$V455-4,0)&amp;"")</f>
        <v>Atasay Kuyumculuk Sanayi Ve Ticaret A.S.</v>
      </c>
      <c r="S455" s="167" t="str">
        <f t="shared" ca="1" si="66"/>
        <v>TR</v>
      </c>
      <c r="T455" s="167" t="str">
        <f ca="1">IF(B455="","",IF(ISERROR(MATCH($J455,SorP!$B$1:$B$6230,0)),"",INDIRECT("'SorP'!$A$"&amp;MATCH($J455,SorP!$B$1:$B$6230,0))))</f>
        <v>TR-34</v>
      </c>
      <c r="U455" s="176"/>
      <c r="V455" s="177">
        <f ca="1">IF(C455="",NA(),IF(OR(C455="Smelter not listed",C455="Smelter not yet identified"),MATCH($B455&amp;$D455,'Smelter Look-up'!$J:$J,0),MATCH($B455&amp;$C455,'Smelter Look-up'!$J:$J,0)))</f>
        <v>34</v>
      </c>
      <c r="X455" s="140">
        <f t="shared" ca="1" si="67"/>
        <v>0</v>
      </c>
      <c r="AB455" s="178" t="str">
        <f t="shared" ca="1" si="68"/>
        <v>GoldAtasay Kuyumculuk Sanayi Ve Ticaret A.S.</v>
      </c>
    </row>
    <row r="456" spans="1:28" s="140" customFormat="1" ht="25.5">
      <c r="A456" s="167" t="s">
        <v>1812</v>
      </c>
      <c r="B456" s="168" t="str">
        <f ca="1">IF(LEN(A456)=0,"",INDEX('Smelter Look-up'!$A:$A,MATCH($A456,'Smelter Look-up'!$E:$E,0)))</f>
        <v>Gold</v>
      </c>
      <c r="C456" s="169" t="str">
        <f ca="1">IF(LEN(A456)=0,"",INDEX('Smelter Look-up'!$C:$C,MATCH($A456,'Smelter Look-up'!$E:$E,0)))</f>
        <v>Caridad</v>
      </c>
      <c r="D456" s="170"/>
      <c r="E456" s="168" t="str">
        <f ca="1">IF(ISERROR($V456),"",OFFSET('Smelter Look-up'!$D$4,$V456-4,0)&amp;"")</f>
        <v>MEXICO</v>
      </c>
      <c r="F456" s="168" t="str">
        <f ca="1">IF(ISERROR($V456),"",OFFSET('Smelter Look-up'!$E$4,$V456-4,0))</f>
        <v>CID000180</v>
      </c>
      <c r="G456" s="168" t="str">
        <f ca="1">IF(C456=$X$4,IF(ISERROR($V456),"Enter smelter details","RMI"),IF(ISERROR($V456),"",OFFSET('Smelter Look-up'!$F$4,$V456-4,0)))</f>
        <v>RMI</v>
      </c>
      <c r="H456" s="171">
        <f ca="1">IF(ISERROR($V456),"",OFFSET('Smelter Look-up'!$G$4,$V456-4,0))</f>
        <v>0</v>
      </c>
      <c r="I456" s="172" t="str">
        <f ca="1">IF(ISERROR($V456),"",OFFSET('Smelter Look-up'!$H$4,$V456-4,0))</f>
        <v>Nacozari</v>
      </c>
      <c r="J456" s="172" t="str">
        <f ca="1">IF(ISERROR($V456),"",OFFSET('Smelter Look-up'!$I$4,$V456-4,0))</f>
        <v>Sonora</v>
      </c>
      <c r="K456" s="173"/>
      <c r="L456" s="173"/>
      <c r="M456" s="173"/>
      <c r="N456" s="173"/>
      <c r="O456" s="173"/>
      <c r="P456" s="174"/>
      <c r="Q456" s="175"/>
      <c r="R456" s="168" t="str">
        <f ca="1">IF(ISERROR($V456),"",OFFSET('Smelter Look-up'!$C$4,$V456-4,0)&amp;"")</f>
        <v>Caridad</v>
      </c>
      <c r="S456" s="167" t="str">
        <f t="shared" ca="1" si="66"/>
        <v>MX</v>
      </c>
      <c r="T456" s="167" t="str">
        <f ca="1">IF(B456="","",IF(ISERROR(MATCH($J456,SorP!$B$1:$B$6230,0)),"",INDIRECT("'SorP'!$A$"&amp;MATCH($J456,SorP!$B$1:$B$6230,0))))</f>
        <v>MX-SON</v>
      </c>
      <c r="U456" s="176"/>
      <c r="V456" s="177">
        <f ca="1">IF(C456="",NA(),IF(OR(C456="Smelter not listed",C456="Smelter not yet identified"),MATCH($B456&amp;$D456,'Smelter Look-up'!$J:$J,0),MATCH($B456&amp;$C456,'Smelter Look-up'!$J:$J,0)))</f>
        <v>45</v>
      </c>
      <c r="X456" s="140">
        <f t="shared" ca="1" si="67"/>
        <v>0</v>
      </c>
      <c r="AB456" s="178" t="str">
        <f t="shared" ca="1" si="68"/>
        <v>GoldCaridad</v>
      </c>
    </row>
    <row r="457" spans="1:28" s="140" customFormat="1" ht="38.25">
      <c r="A457" s="167" t="s">
        <v>314</v>
      </c>
      <c r="B457" s="168" t="str">
        <f ca="1">IF(LEN(A457)=0,"",INDEX('Smelter Look-up'!$A:$A,MATCH($A457,'Smelter Look-up'!$E:$E,0)))</f>
        <v>Gold</v>
      </c>
      <c r="C457" s="169" t="str">
        <f ca="1">IF(LEN(A457)=0,"",INDEX('Smelter Look-up'!$C:$C,MATCH($A457,'Smelter Look-up'!$E:$E,0)))</f>
        <v>Chugai Mining</v>
      </c>
      <c r="D457" s="170"/>
      <c r="E457" s="168" t="str">
        <f ca="1">IF(ISERROR($V457),"",OFFSET('Smelter Look-up'!$D$4,$V457-4,0)&amp;"")</f>
        <v>JAPAN</v>
      </c>
      <c r="F457" s="168" t="str">
        <f ca="1">IF(ISERROR($V457),"",OFFSET('Smelter Look-up'!$E$4,$V457-4,0))</f>
        <v>CID000264</v>
      </c>
      <c r="G457" s="168" t="str">
        <f ca="1">IF(C457=$X$4,IF(ISERROR($V457),"Enter smelter details","RMI"),IF(ISERROR($V457),"",OFFSET('Smelter Look-up'!$F$4,$V457-4,0)))</f>
        <v>RMI</v>
      </c>
      <c r="H457" s="171">
        <f ca="1">IF(ISERROR($V457),"",OFFSET('Smelter Look-up'!$G$4,$V457-4,0))</f>
        <v>0</v>
      </c>
      <c r="I457" s="172" t="str">
        <f ca="1">IF(ISERROR($V457),"",OFFSET('Smelter Look-up'!$H$4,$V457-4,0))</f>
        <v>Chiyoda</v>
      </c>
      <c r="J457" s="172" t="str">
        <f ca="1">IF(ISERROR($V457),"",OFFSET('Smelter Look-up'!$I$4,$V457-4,0))</f>
        <v>Tokyo</v>
      </c>
      <c r="K457" s="173"/>
      <c r="L457" s="173"/>
      <c r="M457" s="173"/>
      <c r="N457" s="173"/>
      <c r="O457" s="173"/>
      <c r="P457" s="174"/>
      <c r="Q457" s="175"/>
      <c r="R457" s="168" t="str">
        <f ca="1">IF(ISERROR($V457),"",OFFSET('Smelter Look-up'!$C$4,$V457-4,0)&amp;"")</f>
        <v>Chugai Mining</v>
      </c>
      <c r="S457" s="167" t="str">
        <f t="shared" ca="1" si="66"/>
        <v>JP</v>
      </c>
      <c r="T457" s="167" t="str">
        <f ca="1">IF(B457="","",IF(ISERROR(MATCH($J457,SorP!$B$1:$B$6230,0)),"",INDIRECT("'SorP'!$A$"&amp;MATCH($J457,SorP!$B$1:$B$6230,0))))</f>
        <v>JP-13</v>
      </c>
      <c r="U457" s="176"/>
      <c r="V457" s="177">
        <f ca="1">IF(C457="",NA(),IF(OR(C457="Smelter not listed",C457="Smelter not yet identified"),MATCH($B457&amp;$D457,'Smelter Look-up'!$J:$J,0),MATCH($B457&amp;$C457,'Smelter Look-up'!$J:$J,0)))</f>
        <v>58</v>
      </c>
      <c r="X457" s="140">
        <f t="shared" ca="1" si="67"/>
        <v>0</v>
      </c>
      <c r="AB457" s="178" t="str">
        <f t="shared" ca="1" si="68"/>
        <v>GoldChugai Mining</v>
      </c>
    </row>
    <row r="458" spans="1:28" s="140" customFormat="1" ht="63.75">
      <c r="A458" s="167" t="s">
        <v>254</v>
      </c>
      <c r="B458" s="168" t="str">
        <f ca="1">IF(LEN(A458)=0,"",INDEX('Smelter Look-up'!$A:$A,MATCH($A458,'Smelter Look-up'!$E:$E,0)))</f>
        <v>Gold</v>
      </c>
      <c r="C458" s="169" t="str">
        <f ca="1">IF(LEN(A458)=0,"",INDEX('Smelter Look-up'!$C:$C,MATCH($A458,'Smelter Look-up'!$E:$E,0)))</f>
        <v>DSC (Do Sung Corporation)</v>
      </c>
      <c r="D458" s="170"/>
      <c r="E458" s="168" t="str">
        <f ca="1">IF(ISERROR($V458),"",OFFSET('Smelter Look-up'!$D$4,$V458-4,0)&amp;"")</f>
        <v>KOREA, REPUBLIC OF</v>
      </c>
      <c r="F458" s="168" t="str">
        <f ca="1">IF(ISERROR($V458),"",OFFSET('Smelter Look-up'!$E$4,$V458-4,0))</f>
        <v>CID000359</v>
      </c>
      <c r="G458" s="168" t="str">
        <f ca="1">IF(C458=$X$4,IF(ISERROR($V458),"Enter smelter details","RMI"),IF(ISERROR($V458),"",OFFSET('Smelter Look-up'!$F$4,$V458-4,0)))</f>
        <v>RMI</v>
      </c>
      <c r="H458" s="171">
        <f ca="1">IF(ISERROR($V458),"",OFFSET('Smelter Look-up'!$G$4,$V458-4,0))</f>
        <v>0</v>
      </c>
      <c r="I458" s="172" t="str">
        <f ca="1">IF(ISERROR($V458),"",OFFSET('Smelter Look-up'!$H$4,$V458-4,0))</f>
        <v>Gimpo</v>
      </c>
      <c r="J458" s="172" t="str">
        <f ca="1">IF(ISERROR($V458),"",OFFSET('Smelter Look-up'!$I$4,$V458-4,0))</f>
        <v>Gyeonggi-do</v>
      </c>
      <c r="K458" s="173"/>
      <c r="L458" s="173"/>
      <c r="M458" s="173"/>
      <c r="N458" s="173"/>
      <c r="O458" s="173"/>
      <c r="P458" s="174"/>
      <c r="Q458" s="175"/>
      <c r="R458" s="168" t="str">
        <f ca="1">IF(ISERROR($V458),"",OFFSET('Smelter Look-up'!$C$4,$V458-4,0)&amp;"")</f>
        <v>DSC (Do Sung Corporation)</v>
      </c>
      <c r="S458" s="167" t="str">
        <f t="shared" ca="1" si="66"/>
        <v>KR</v>
      </c>
      <c r="T458" s="167" t="str">
        <f ca="1">IF(B458="","",IF(ISERROR(MATCH($J458,SorP!$B$1:$B$6230,0)),"",INDIRECT("'SorP'!$A$"&amp;MATCH($J458,SorP!$B$1:$B$6230,0))))</f>
        <v>KR-41</v>
      </c>
      <c r="U458" s="176"/>
      <c r="V458" s="177">
        <f ca="1">IF(C458="",NA(),IF(OR(C458="Smelter not listed",C458="Smelter not yet identified"),MATCH($B458&amp;$D458,'Smelter Look-up'!$J:$J,0),MATCH($B458&amp;$C458,'Smelter Look-up'!$J:$J,0)))</f>
        <v>72</v>
      </c>
      <c r="X458" s="140">
        <f t="shared" ca="1" si="67"/>
        <v>0</v>
      </c>
      <c r="AB458" s="178" t="str">
        <f t="shared" ca="1" si="68"/>
        <v>GoldDSC (Do Sung Corporation)</v>
      </c>
    </row>
    <row r="459" spans="1:28" s="140" customFormat="1" ht="25.5">
      <c r="A459" s="167" t="s">
        <v>1344</v>
      </c>
      <c r="B459" s="168" t="str">
        <f ca="1">IF(LEN(A459)=0,"",INDEX('Smelter Look-up'!$A:$A,MATCH($A459,'Smelter Look-up'!$E:$E,0)))</f>
        <v>Gold</v>
      </c>
      <c r="C459" s="169" t="str">
        <f ca="1">IF(LEN(A459)=0,"",INDEX('Smelter Look-up'!$C:$C,MATCH($A459,'Smelter Look-up'!$E:$E,0)))</f>
        <v>Dowa</v>
      </c>
      <c r="D459" s="170"/>
      <c r="E459" s="168" t="str">
        <f ca="1">IF(ISERROR($V459),"",OFFSET('Smelter Look-up'!$D$4,$V459-4,0)&amp;"")</f>
        <v>JAPAN</v>
      </c>
      <c r="F459" s="168" t="str">
        <f ca="1">IF(ISERROR($V459),"",OFFSET('Smelter Look-up'!$E$4,$V459-4,0))</f>
        <v>CID000401</v>
      </c>
      <c r="G459" s="168" t="str">
        <f ca="1">IF(C459=$X$4,IF(ISERROR($V459),"Enter smelter details","RMI"),IF(ISERROR($V459),"",OFFSET('Smelter Look-up'!$F$4,$V459-4,0)))</f>
        <v>RMI</v>
      </c>
      <c r="H459" s="171">
        <f ca="1">IF(ISERROR($V459),"",OFFSET('Smelter Look-up'!$G$4,$V459-4,0))</f>
        <v>0</v>
      </c>
      <c r="I459" s="172" t="str">
        <f ca="1">IF(ISERROR($V459),"",OFFSET('Smelter Look-up'!$H$4,$V459-4,0))</f>
        <v>Kosaka</v>
      </c>
      <c r="J459" s="172" t="str">
        <f ca="1">IF(ISERROR($V459),"",OFFSET('Smelter Look-up'!$I$4,$V459-4,0))</f>
        <v>Akita</v>
      </c>
      <c r="K459" s="173"/>
      <c r="L459" s="173"/>
      <c r="M459" s="173"/>
      <c r="N459" s="173"/>
      <c r="O459" s="173"/>
      <c r="P459" s="174"/>
      <c r="Q459" s="175"/>
      <c r="R459" s="168" t="str">
        <f ca="1">IF(ISERROR($V459),"",OFFSET('Smelter Look-up'!$C$4,$V459-4,0)&amp;"")</f>
        <v>Dowa</v>
      </c>
      <c r="S459" s="167" t="str">
        <f t="shared" ca="1" si="66"/>
        <v>JP</v>
      </c>
      <c r="T459" s="167" t="str">
        <f ca="1">IF(B459="","",IF(ISERROR(MATCH($J459,SorP!$B$1:$B$6230,0)),"",INDIRECT("'SorP'!$A$"&amp;MATCH($J459,SorP!$B$1:$B$6230,0))))</f>
        <v>JP-05</v>
      </c>
      <c r="U459" s="176"/>
      <c r="V459" s="177">
        <f ca="1">IF(C459="",NA(),IF(OR(C459="Smelter not listed",C459="Smelter not yet identified"),MATCH($B459&amp;$D459,'Smelter Look-up'!$J:$J,0),MATCH($B459&amp;$C459,'Smelter Look-up'!$J:$J,0)))</f>
        <v>68</v>
      </c>
      <c r="X459" s="140">
        <f t="shared" ca="1" si="67"/>
        <v>0</v>
      </c>
      <c r="AB459" s="178" t="str">
        <f t="shared" ca="1" si="68"/>
        <v>GoldDowa</v>
      </c>
    </row>
    <row r="460" spans="1:28" s="140" customFormat="1" ht="38.25">
      <c r="A460" s="167" t="s">
        <v>534</v>
      </c>
      <c r="B460" s="168" t="str">
        <f ca="1">IF(LEN(A460)=0,"",INDEX('Smelter Look-up'!$A:$A,MATCH($A460,'Smelter Look-up'!$E:$E,0)))</f>
        <v>Gold</v>
      </c>
      <c r="C460" s="169" t="str">
        <f ca="1">IF(LEN(A460)=0,"",INDEX('Smelter Look-up'!$C:$C,MATCH($A460,'Smelter Look-up'!$E:$E,0)))</f>
        <v>Gold Coast Refinery</v>
      </c>
      <c r="D460" s="170"/>
      <c r="E460" s="168" t="str">
        <f ca="1">IF(ISERROR($V460),"",OFFSET('Smelter Look-up'!$D$4,$V460-4,0)&amp;"")</f>
        <v>GHANA</v>
      </c>
      <c r="F460" s="168" t="str">
        <f ca="1">IF(ISERROR($V460),"",OFFSET('Smelter Look-up'!$E$4,$V460-4,0))</f>
        <v>CID003186</v>
      </c>
      <c r="G460" s="168" t="str">
        <f ca="1">IF(C460=$X$4,IF(ISERROR($V460),"Enter smelter details","RMI"),IF(ISERROR($V460),"",OFFSET('Smelter Look-up'!$F$4,$V460-4,0)))</f>
        <v>RMI</v>
      </c>
      <c r="H460" s="171">
        <f ca="1">IF(ISERROR($V460),"",OFFSET('Smelter Look-up'!$G$4,$V460-4,0))</f>
        <v>0</v>
      </c>
      <c r="I460" s="172" t="str">
        <f ca="1">IF(ISERROR($V460),"",OFFSET('Smelter Look-up'!$H$4,$V460-4,0))</f>
        <v>Accra</v>
      </c>
      <c r="J460" s="172" t="str">
        <f ca="1">IF(ISERROR($V460),"",OFFSET('Smelter Look-up'!$I$4,$V460-4,0))</f>
        <v>Accra</v>
      </c>
      <c r="K460" s="173"/>
      <c r="L460" s="173"/>
      <c r="M460" s="173"/>
      <c r="N460" s="173"/>
      <c r="O460" s="173"/>
      <c r="P460" s="174"/>
      <c r="Q460" s="175"/>
      <c r="R460" s="168" t="str">
        <f ca="1">IF(ISERROR($V460),"",OFFSET('Smelter Look-up'!$C$4,$V460-4,0)&amp;"")</f>
        <v>Gold Coast Refinery</v>
      </c>
      <c r="S460" s="167" t="str">
        <f t="shared" ca="1" si="66"/>
        <v>GH</v>
      </c>
      <c r="T460" s="167" t="str">
        <f ca="1">IF(B460="","",IF(ISERROR(MATCH($J460,SorP!$B$1:$B$6230,0)),"",INDIRECT("'SorP'!$A$"&amp;MATCH($J460,SorP!$B$1:$B$6230,0))))</f>
        <v/>
      </c>
      <c r="U460" s="176"/>
      <c r="V460" s="177">
        <f ca="1">IF(C460="",NA(),IF(OR(C460="Smelter not listed",C460="Smelter not yet identified"),MATCH($B460&amp;$D460,'Smelter Look-up'!$J:$J,0),MATCH($B460&amp;$C460,'Smelter Look-up'!$J:$J,0)))</f>
        <v>91</v>
      </c>
      <c r="X460" s="140">
        <f t="shared" ca="1" si="67"/>
        <v>0</v>
      </c>
      <c r="AB460" s="178" t="str">
        <f t="shared" ca="1" si="68"/>
        <v>GoldGold Coast Refinery</v>
      </c>
    </row>
    <row r="461" spans="1:28" s="140" customFormat="1" ht="51">
      <c r="A461" s="167" t="s">
        <v>266</v>
      </c>
      <c r="B461" s="168" t="str">
        <f ca="1">IF(LEN(A461)=0,"",INDEX('Smelter Look-up'!$A:$A,MATCH($A461,'Smelter Look-up'!$E:$E,0)))</f>
        <v>Gold</v>
      </c>
      <c r="C461" s="169" t="str">
        <f ca="1">IF(LEN(A461)=0,"",INDEX('Smelter Look-up'!$C:$C,MATCH($A461,'Smelter Look-up'!$E:$E,0)))</f>
        <v>Heimerle + Meule GmbH</v>
      </c>
      <c r="D461" s="170"/>
      <c r="E461" s="168" t="str">
        <f ca="1">IF(ISERROR($V461),"",OFFSET('Smelter Look-up'!$D$4,$V461-4,0)&amp;"")</f>
        <v>GERMANY</v>
      </c>
      <c r="F461" s="168" t="str">
        <f ca="1">IF(ISERROR($V461),"",OFFSET('Smelter Look-up'!$E$4,$V461-4,0))</f>
        <v>CID000694</v>
      </c>
      <c r="G461" s="168" t="str">
        <f ca="1">IF(C461=$X$4,IF(ISERROR($V461),"Enter smelter details","RMI"),IF(ISERROR($V461),"",OFFSET('Smelter Look-up'!$F$4,$V461-4,0)))</f>
        <v>RMI</v>
      </c>
      <c r="H461" s="171">
        <f ca="1">IF(ISERROR($V461),"",OFFSET('Smelter Look-up'!$G$4,$V461-4,0))</f>
        <v>0</v>
      </c>
      <c r="I461" s="172" t="str">
        <f ca="1">IF(ISERROR($V461),"",OFFSET('Smelter Look-up'!$H$4,$V461-4,0))</f>
        <v>Pforzheim</v>
      </c>
      <c r="J461" s="172" t="str">
        <f ca="1">IF(ISERROR($V461),"",OFFSET('Smelter Look-up'!$I$4,$V461-4,0))</f>
        <v>Baden-Württemberg</v>
      </c>
      <c r="K461" s="173"/>
      <c r="L461" s="173"/>
      <c r="M461" s="173"/>
      <c r="N461" s="173"/>
      <c r="O461" s="173"/>
      <c r="P461" s="174"/>
      <c r="Q461" s="175"/>
      <c r="R461" s="168" t="str">
        <f ca="1">IF(ISERROR($V461),"",OFFSET('Smelter Look-up'!$C$4,$V461-4,0)&amp;"")</f>
        <v>Heimerle + Meule GmbH</v>
      </c>
      <c r="S461" s="167" t="str">
        <f t="shared" ca="1" si="66"/>
        <v>DE</v>
      </c>
      <c r="T461" s="167" t="str">
        <f ca="1">IF(B461="","",IF(ISERROR(MATCH($J461,SorP!$B$1:$B$6230,0)),"",INDIRECT("'SorP'!$A$"&amp;MATCH($J461,SorP!$B$1:$B$6230,0))))</f>
        <v>DE-BW</v>
      </c>
      <c r="U461" s="176"/>
      <c r="V461" s="177">
        <f ca="1">IF(C461="",NA(),IF(OR(C461="Smelter not listed",C461="Smelter not yet identified"),MATCH($B461&amp;$D461,'Smelter Look-up'!$J:$J,0),MATCH($B461&amp;$C461,'Smelter Look-up'!$J:$J,0)))</f>
        <v>102</v>
      </c>
      <c r="X461" s="140">
        <f t="shared" ca="1" si="67"/>
        <v>0</v>
      </c>
      <c r="AB461" s="178" t="str">
        <f t="shared" ca="1" si="68"/>
        <v>GoldHeimerle + Meule GmbH</v>
      </c>
    </row>
    <row r="462" spans="1:28" s="140" customFormat="1" ht="63.75">
      <c r="A462" s="167" t="s">
        <v>2439</v>
      </c>
      <c r="B462" s="168" t="str">
        <f ca="1">IF(LEN(A462)=0,"",INDEX('Smelter Look-up'!$A:$A,MATCH($A462,'Smelter Look-up'!$E:$E,0)))</f>
        <v>Gold</v>
      </c>
      <c r="C462" s="169" t="str">
        <f ca="1">IF(LEN(A462)=0,"",INDEX('Smelter Look-up'!$C:$C,MATCH($A462,'Smelter Look-up'!$E:$E,0)))</f>
        <v>Heraeus Germany GmbH Co. KG</v>
      </c>
      <c r="D462" s="170"/>
      <c r="E462" s="168" t="str">
        <f ca="1">IF(ISERROR($V462),"",OFFSET('Smelter Look-up'!$D$4,$V462-4,0)&amp;"")</f>
        <v>GERMANY</v>
      </c>
      <c r="F462" s="168" t="str">
        <f ca="1">IF(ISERROR($V462),"",OFFSET('Smelter Look-up'!$E$4,$V462-4,0))</f>
        <v>CID000711</v>
      </c>
      <c r="G462" s="168" t="str">
        <f ca="1">IF(C462=$X$4,IF(ISERROR($V462),"Enter smelter details","RMI"),IF(ISERROR($V462),"",OFFSET('Smelter Look-up'!$F$4,$V462-4,0)))</f>
        <v>RMI</v>
      </c>
      <c r="H462" s="171">
        <f ca="1">IF(ISERROR($V462),"",OFFSET('Smelter Look-up'!$G$4,$V462-4,0))</f>
        <v>0</v>
      </c>
      <c r="I462" s="172" t="str">
        <f ca="1">IF(ISERROR($V462),"",OFFSET('Smelter Look-up'!$H$4,$V462-4,0))</f>
        <v>Hanau</v>
      </c>
      <c r="J462" s="172" t="str">
        <f ca="1">IF(ISERROR($V462),"",OFFSET('Smelter Look-up'!$I$4,$V462-4,0))</f>
        <v>Hessen</v>
      </c>
      <c r="K462" s="173"/>
      <c r="L462" s="173"/>
      <c r="M462" s="173"/>
      <c r="N462" s="173"/>
      <c r="O462" s="173"/>
      <c r="P462" s="174"/>
      <c r="Q462" s="175"/>
      <c r="R462" s="168" t="str">
        <f ca="1">IF(ISERROR($V462),"",OFFSET('Smelter Look-up'!$C$4,$V462-4,0)&amp;"")</f>
        <v>Heraeus Germany GmbH Co. KG</v>
      </c>
      <c r="S462" s="167" t="str">
        <f t="shared" ca="1" si="66"/>
        <v>DE</v>
      </c>
      <c r="T462" s="167" t="str">
        <f ca="1">IF(B462="","",IF(ISERROR(MATCH($J462,SorP!$B$1:$B$6230,0)),"",INDIRECT("'SorP'!$A$"&amp;MATCH($J462,SorP!$B$1:$B$6230,0))))</f>
        <v>DE-HE</v>
      </c>
      <c r="U462" s="176"/>
      <c r="V462" s="177">
        <f ca="1">IF(C462="",NA(),IF(OR(C462="Smelter not listed",C462="Smelter not yet identified"),MATCH($B462&amp;$D462,'Smelter Look-up'!$J:$J,0),MATCH($B462&amp;$C462,'Smelter Look-up'!$J:$J,0)))</f>
        <v>106</v>
      </c>
      <c r="X462" s="140">
        <f t="shared" ca="1" si="67"/>
        <v>0</v>
      </c>
      <c r="AB462" s="178" t="str">
        <f t="shared" ca="1" si="68"/>
        <v>GoldHeraeus Germany GmbH Co. KG</v>
      </c>
    </row>
    <row r="463" spans="1:28" s="140" customFormat="1" ht="76.5">
      <c r="A463" s="167" t="s">
        <v>1068</v>
      </c>
      <c r="B463" s="168" t="str">
        <f ca="1">IF(LEN(A463)=0,"",INDEX('Smelter Look-up'!$A:$A,MATCH($A463,'Smelter Look-up'!$E:$E,0)))</f>
        <v>Gold</v>
      </c>
      <c r="C463" s="169" t="str">
        <f ca="1">IF(LEN(A463)=0,"",INDEX('Smelter Look-up'!$C:$C,MATCH($A463,'Smelter Look-up'!$E:$E,0)))</f>
        <v>Heraeus Metals Hong Kong Ltd.</v>
      </c>
      <c r="D463" s="170"/>
      <c r="E463" s="168" t="str">
        <f ca="1">IF(ISERROR($V463),"",OFFSET('Smelter Look-up'!$D$4,$V463-4,0)&amp;"")</f>
        <v>CHINA</v>
      </c>
      <c r="F463" s="168" t="str">
        <f ca="1">IF(ISERROR($V463),"",OFFSET('Smelter Look-up'!$E$4,$V463-4,0))</f>
        <v>CID000707</v>
      </c>
      <c r="G463" s="168" t="str">
        <f ca="1">IF(C463=$X$4,IF(ISERROR($V463),"Enter smelter details","RMI"),IF(ISERROR($V463),"",OFFSET('Smelter Look-up'!$F$4,$V463-4,0)))</f>
        <v>RMI</v>
      </c>
      <c r="H463" s="171">
        <f ca="1">IF(ISERROR($V463),"",OFFSET('Smelter Look-up'!$G$4,$V463-4,0))</f>
        <v>0</v>
      </c>
      <c r="I463" s="172" t="str">
        <f ca="1">IF(ISERROR($V463),"",OFFSET('Smelter Look-up'!$H$4,$V463-4,0))</f>
        <v>Fanling</v>
      </c>
      <c r="J463" s="172" t="str">
        <f ca="1">IF(ISERROR($V463),"",OFFSET('Smelter Look-up'!$I$4,$V463-4,0))</f>
        <v>Hong Kong SAR</v>
      </c>
      <c r="K463" s="173"/>
      <c r="L463" s="173"/>
      <c r="M463" s="173"/>
      <c r="N463" s="173"/>
      <c r="O463" s="173"/>
      <c r="P463" s="174"/>
      <c r="Q463" s="175"/>
      <c r="R463" s="168" t="str">
        <f ca="1">IF(ISERROR($V463),"",OFFSET('Smelter Look-up'!$C$4,$V463-4,0)&amp;"")</f>
        <v>Heraeus Metals Hong Kong Ltd.</v>
      </c>
      <c r="S463" s="167" t="str">
        <f t="shared" ca="1" si="66"/>
        <v>CN</v>
      </c>
      <c r="T463" s="167" t="str">
        <f ca="1">IF(B463="","",IF(ISERROR(MATCH($J463,SorP!$B$1:$B$6230,0)),"",INDIRECT("'SorP'!$A$"&amp;MATCH($J463,SorP!$B$1:$B$6230,0))))</f>
        <v/>
      </c>
      <c r="U463" s="176"/>
      <c r="V463" s="177">
        <f ca="1">IF(C463="",NA(),IF(OR(C463="Smelter not listed",C463="Smelter not yet identified"),MATCH($B463&amp;$D463,'Smelter Look-up'!$J:$J,0),MATCH($B463&amp;$C463,'Smelter Look-up'!$J:$J,0)))</f>
        <v>108</v>
      </c>
      <c r="X463" s="140">
        <f t="shared" ca="1" si="67"/>
        <v>0</v>
      </c>
      <c r="AB463" s="178" t="str">
        <f t="shared" ca="1" si="68"/>
        <v>GoldHeraeus Metals Hong Kong Ltd.</v>
      </c>
    </row>
    <row r="464" spans="1:28" s="140" customFormat="1" ht="63.75" customHeight="1">
      <c r="A464" s="167" t="s">
        <v>2508</v>
      </c>
      <c r="B464" s="168" t="str">
        <f ca="1">IF(LEN(A464)=0,"",INDEX('Smelter Look-up'!$A:$A,MATCH($A464,'Smelter Look-up'!$E:$E,0)))</f>
        <v>Gold</v>
      </c>
      <c r="C464" s="169" t="str">
        <f ca="1">IF(LEN(A464)=0,"",INDEX('Smelter Look-up'!$C:$C,MATCH($A464,'Smelter Look-up'!$E:$E,0)))</f>
        <v>HwaSeong CJ CO., LTD.</v>
      </c>
      <c r="D464" s="170"/>
      <c r="E464" s="168" t="str">
        <f ca="1">IF(ISERROR($V464),"",OFFSET('Smelter Look-up'!$D$4,$V464-4,0)&amp;"")</f>
        <v>KOREA, REPUBLIC OF</v>
      </c>
      <c r="F464" s="168" t="str">
        <f ca="1">IF(ISERROR($V464),"",OFFSET('Smelter Look-up'!$E$4,$V464-4,0))</f>
        <v>CID000778</v>
      </c>
      <c r="G464" s="168" t="str">
        <f ca="1">IF(C464=$X$4,IF(ISERROR($V464),"Enter smelter details","RMI"),IF(ISERROR($V464),"",OFFSET('Smelter Look-up'!$F$4,$V464-4,0)))</f>
        <v>RMI</v>
      </c>
      <c r="H464" s="171">
        <f ca="1">IF(ISERROR($V464),"",OFFSET('Smelter Look-up'!$G$4,$V464-4,0))</f>
        <v>0</v>
      </c>
      <c r="I464" s="172" t="str">
        <f ca="1">IF(ISERROR($V464),"",OFFSET('Smelter Look-up'!$H$4,$V464-4,0))</f>
        <v>Danwon</v>
      </c>
      <c r="J464" s="172" t="str">
        <f ca="1">IF(ISERROR($V464),"",OFFSET('Smelter Look-up'!$I$4,$V464-4,0))</f>
        <v>Gyeonggi-do</v>
      </c>
      <c r="K464" s="173"/>
      <c r="L464" s="173"/>
      <c r="M464" s="173"/>
      <c r="N464" s="173"/>
      <c r="O464" s="173"/>
      <c r="P464" s="174"/>
      <c r="Q464" s="175"/>
      <c r="R464" s="168" t="str">
        <f ca="1">IF(ISERROR($V464),"",OFFSET('Smelter Look-up'!$C$4,$V464-4,0)&amp;"")</f>
        <v>HwaSeong CJ CO., LTD.</v>
      </c>
      <c r="S464" s="167" t="str">
        <f t="shared" ca="1" si="66"/>
        <v>KR</v>
      </c>
      <c r="T464" s="167" t="str">
        <f ca="1">IF(B464="","",IF(ISERROR(MATCH($J464,SorP!$B$1:$B$6230,0)),"",INDIRECT("'SorP'!$A$"&amp;MATCH($J464,SorP!$B$1:$B$6230,0))))</f>
        <v>KR-41</v>
      </c>
      <c r="U464" s="176"/>
      <c r="V464" s="177">
        <f ca="1">IF(C464="",NA(),IF(OR(C464="Smelter not listed",C464="Smelter not yet identified"),MATCH($B464&amp;$D464,'Smelter Look-up'!$J:$J,0),MATCH($B464&amp;$C464,'Smelter Look-up'!$J:$J,0)))</f>
        <v>115</v>
      </c>
      <c r="X464" s="140">
        <f t="shared" ca="1" si="67"/>
        <v>0</v>
      </c>
      <c r="AB464" s="178" t="str">
        <f t="shared" ca="1" si="68"/>
        <v>GoldHwaSeong CJ CO., LTD.</v>
      </c>
    </row>
    <row r="465" spans="1:28" s="140" customFormat="1" ht="25.5">
      <c r="A465" s="167" t="s">
        <v>1947</v>
      </c>
      <c r="B465" s="168" t="str">
        <f ca="1">IF(LEN(A465)=0,"",INDEX('Smelter Look-up'!$A:$A,MATCH($A465,'Smelter Look-up'!$E:$E,0)))</f>
        <v>Gold</v>
      </c>
      <c r="C465" s="169" t="str">
        <f ca="1">IF(LEN(A465)=0,"",INDEX('Smelter Look-up'!$C:$C,MATCH($A465,'Smelter Look-up'!$E:$E,0)))</f>
        <v>Japan Mint</v>
      </c>
      <c r="D465" s="170"/>
      <c r="E465" s="168" t="str">
        <f ca="1">IF(ISERROR($V465),"",OFFSET('Smelter Look-up'!$D$4,$V465-4,0)&amp;"")</f>
        <v>JAPAN</v>
      </c>
      <c r="F465" s="168" t="str">
        <f ca="1">IF(ISERROR($V465),"",OFFSET('Smelter Look-up'!$E$4,$V465-4,0))</f>
        <v>CID000823</v>
      </c>
      <c r="G465" s="168" t="str">
        <f ca="1">IF(C465=$X$4,IF(ISERROR($V465),"Enter smelter details","RMI"),IF(ISERROR($V465),"",OFFSET('Smelter Look-up'!$F$4,$V465-4,0)))</f>
        <v>RMI</v>
      </c>
      <c r="H465" s="171">
        <f ca="1">IF(ISERROR($V465),"",OFFSET('Smelter Look-up'!$G$4,$V465-4,0))</f>
        <v>0</v>
      </c>
      <c r="I465" s="172" t="str">
        <f ca="1">IF(ISERROR($V465),"",OFFSET('Smelter Look-up'!$H$4,$V465-4,0))</f>
        <v>Osaka</v>
      </c>
      <c r="J465" s="172" t="str">
        <f ca="1">IF(ISERROR($V465),"",OFFSET('Smelter Look-up'!$I$4,$V465-4,0))</f>
        <v>Osaka</v>
      </c>
      <c r="K465" s="173"/>
      <c r="L465" s="173"/>
      <c r="M465" s="173"/>
      <c r="N465" s="173"/>
      <c r="O465" s="173"/>
      <c r="P465" s="174"/>
      <c r="Q465" s="175"/>
      <c r="R465" s="168" t="str">
        <f ca="1">IF(ISERROR($V465),"",OFFSET('Smelter Look-up'!$C$4,$V465-4,0)&amp;"")</f>
        <v>Japan Mint</v>
      </c>
      <c r="S465" s="167" t="str">
        <f t="shared" ca="1" si="66"/>
        <v>JP</v>
      </c>
      <c r="T465" s="167" t="str">
        <f ca="1">IF(B465="","",IF(ISERROR(MATCH($J465,SorP!$B$1:$B$6230,0)),"",INDIRECT("'SorP'!$A$"&amp;MATCH($J465,SorP!$B$1:$B$6230,0))))</f>
        <v>JP-27</v>
      </c>
      <c r="U465" s="176"/>
      <c r="V465" s="177">
        <f ca="1">IF(C465="",NA(),IF(OR(C465="Smelter not listed",C465="Smelter not yet identified"),MATCH($B465&amp;$D465,'Smelter Look-up'!$J:$J,0),MATCH($B465&amp;$C465,'Smelter Look-up'!$J:$J,0)))</f>
        <v>123</v>
      </c>
      <c r="X465" s="140">
        <f t="shared" ca="1" si="67"/>
        <v>0</v>
      </c>
      <c r="AB465" s="178" t="str">
        <f t="shared" ca="1" si="68"/>
        <v>GoldJapan Mint</v>
      </c>
    </row>
    <row r="466" spans="1:28" s="140" customFormat="1" ht="63.75">
      <c r="A466" s="167" t="s">
        <v>2538</v>
      </c>
      <c r="B466" s="168" t="str">
        <f ca="1">IF(LEN(A466)=0,"",INDEX('Smelter Look-up'!$A:$A,MATCH($A466,'Smelter Look-up'!$E:$E,0)))</f>
        <v>Gold</v>
      </c>
      <c r="C466" s="169" t="str">
        <f ca="1">IF(LEN(A466)=0,"",INDEX('Smelter Look-up'!$C:$C,MATCH($A466,'Smelter Look-up'!$E:$E,0)))</f>
        <v>Jiangxi Copper Co., Ltd.</v>
      </c>
      <c r="D466" s="170"/>
      <c r="E466" s="168" t="str">
        <f ca="1">IF(ISERROR($V466),"",OFFSET('Smelter Look-up'!$D$4,$V466-4,0)&amp;"")</f>
        <v>CHINA</v>
      </c>
      <c r="F466" s="168" t="str">
        <f ca="1">IF(ISERROR($V466),"",OFFSET('Smelter Look-up'!$E$4,$V466-4,0))</f>
        <v>CID000855</v>
      </c>
      <c r="G466" s="168" t="str">
        <f ca="1">IF(C466=$X$4,IF(ISERROR($V466),"Enter smelter details","RMI"),IF(ISERROR($V466),"",OFFSET('Smelter Look-up'!$F$4,$V466-4,0)))</f>
        <v>RMI</v>
      </c>
      <c r="H466" s="171">
        <f ca="1">IF(ISERROR($V466),"",OFFSET('Smelter Look-up'!$G$4,$V466-4,0))</f>
        <v>0</v>
      </c>
      <c r="I466" s="172" t="str">
        <f ca="1">IF(ISERROR($V466),"",OFFSET('Smelter Look-up'!$H$4,$V466-4,0))</f>
        <v>Guixi City</v>
      </c>
      <c r="J466" s="172" t="str">
        <f ca="1">IF(ISERROR($V466),"",OFFSET('Smelter Look-up'!$I$4,$V466-4,0))</f>
        <v>Jiangxi Sheng</v>
      </c>
      <c r="K466" s="173"/>
      <c r="L466" s="173"/>
      <c r="M466" s="173"/>
      <c r="N466" s="173"/>
      <c r="O466" s="173"/>
      <c r="P466" s="174"/>
      <c r="Q466" s="175"/>
      <c r="R466" s="168" t="str">
        <f ca="1">IF(ISERROR($V466),"",OFFSET('Smelter Look-up'!$C$4,$V466-4,0)&amp;"")</f>
        <v>Jiangxi Copper Co., Ltd.</v>
      </c>
      <c r="S466" s="167" t="str">
        <f t="shared" ca="1" si="66"/>
        <v>CN</v>
      </c>
      <c r="T466" s="167" t="str">
        <f ca="1">IF(B466="","",IF(ISERROR(MATCH($J466,SorP!$B$1:$B$6230,0)),"",INDIRECT("'SorP'!$A$"&amp;MATCH($J466,SorP!$B$1:$B$6230,0))))</f>
        <v>CN-JX</v>
      </c>
      <c r="U466" s="176"/>
      <c r="V466" s="177">
        <f ca="1">IF(C466="",NA(),IF(OR(C466="Smelter not listed",C466="Smelter not yet identified"),MATCH($B466&amp;$D466,'Smelter Look-up'!$J:$J,0),MATCH($B466&amp;$C466,'Smelter Look-up'!$J:$J,0)))</f>
        <v>125</v>
      </c>
      <c r="X466" s="140">
        <f t="shared" ca="1" si="67"/>
        <v>0</v>
      </c>
      <c r="AB466" s="178" t="str">
        <f t="shared" ca="1" si="68"/>
        <v>GoldJiangxi Copper Co., Ltd.</v>
      </c>
    </row>
    <row r="467" spans="1:28" s="140" customFormat="1" ht="63.75">
      <c r="A467" s="167" t="s">
        <v>1821</v>
      </c>
      <c r="B467" s="168" t="str">
        <f ca="1">IF(LEN(A467)=0,"",INDEX('Smelter Look-up'!$A:$A,MATCH($A467,'Smelter Look-up'!$E:$E,0)))</f>
        <v>Gold</v>
      </c>
      <c r="C467" s="169" t="str">
        <f ca="1">IF(LEN(A467)=0,"",INDEX('Smelter Look-up'!$C:$C,MATCH($A467,'Smelter Look-up'!$E:$E,0)))</f>
        <v>Asahi Refining Canada Ltd.</v>
      </c>
      <c r="D467" s="170"/>
      <c r="E467" s="168" t="str">
        <f ca="1">IF(ISERROR($V467),"",OFFSET('Smelter Look-up'!$D$4,$V467-4,0)&amp;"")</f>
        <v>CANADA</v>
      </c>
      <c r="F467" s="168" t="str">
        <f ca="1">IF(ISERROR($V467),"",OFFSET('Smelter Look-up'!$E$4,$V467-4,0))</f>
        <v>CID000924</v>
      </c>
      <c r="G467" s="168" t="str">
        <f ca="1">IF(C467=$X$4,IF(ISERROR($V467),"Enter smelter details","RMI"),IF(ISERROR($V467),"",OFFSET('Smelter Look-up'!$F$4,$V467-4,0)))</f>
        <v>RMI</v>
      </c>
      <c r="H467" s="171">
        <f ca="1">IF(ISERROR($V467),"",OFFSET('Smelter Look-up'!$G$4,$V467-4,0))</f>
        <v>0</v>
      </c>
      <c r="I467" s="172" t="str">
        <f ca="1">IF(ISERROR($V467),"",OFFSET('Smelter Look-up'!$H$4,$V467-4,0))</f>
        <v>Brampton</v>
      </c>
      <c r="J467" s="172" t="str">
        <f ca="1">IF(ISERROR($V467),"",OFFSET('Smelter Look-up'!$I$4,$V467-4,0))</f>
        <v>Ontario</v>
      </c>
      <c r="K467" s="173"/>
      <c r="L467" s="173"/>
      <c r="M467" s="173"/>
      <c r="N467" s="173"/>
      <c r="O467" s="173"/>
      <c r="P467" s="174"/>
      <c r="Q467" s="175"/>
      <c r="R467" s="168" t="str">
        <f ca="1">IF(ISERROR($V467),"",OFFSET('Smelter Look-up'!$C$4,$V467-4,0)&amp;"")</f>
        <v>Asahi Refining Canada Ltd.</v>
      </c>
      <c r="S467" s="167" t="str">
        <f t="shared" ca="1" si="66"/>
        <v>CA</v>
      </c>
      <c r="T467" s="167" t="str">
        <f ca="1">IF(B467="","",IF(ISERROR(MATCH($J467,SorP!$B$1:$B$6230,0)),"",INDIRECT("'SorP'!$A$"&amp;MATCH($J467,SorP!$B$1:$B$6230,0))))</f>
        <v>CA-ON</v>
      </c>
      <c r="U467" s="176"/>
      <c r="V467" s="177">
        <f ca="1">IF(C467="",NA(),IF(OR(C467="Smelter not listed",C467="Smelter not yet identified"),MATCH($B467&amp;$D467,'Smelter Look-up'!$J:$J,0),MATCH($B467&amp;$C467,'Smelter Look-up'!$J:$J,0)))</f>
        <v>30</v>
      </c>
      <c r="X467" s="140">
        <f t="shared" ca="1" si="67"/>
        <v>0</v>
      </c>
      <c r="AB467" s="178" t="str">
        <f t="shared" ca="1" si="68"/>
        <v>GoldAsahi Refining Canada Ltd.</v>
      </c>
    </row>
    <row r="468" spans="1:28" s="140" customFormat="1" ht="51">
      <c r="A468" s="167" t="s">
        <v>1728</v>
      </c>
      <c r="B468" s="168" t="str">
        <f ca="1">IF(LEN(A468)=0,"",INDEX('Smelter Look-up'!$A:$A,MATCH($A468,'Smelter Look-up'!$E:$E,0)))</f>
        <v>Gold</v>
      </c>
      <c r="C468" s="169" t="str">
        <f ca="1">IF(LEN(A468)=0,"",INDEX('Smelter Look-up'!$C:$C,MATCH($A468,'Smelter Look-up'!$E:$E,0)))</f>
        <v>JSC Novosibirsk Refinery</v>
      </c>
      <c r="D468" s="170"/>
      <c r="E468" s="168" t="str">
        <f ca="1">IF(ISERROR($V468),"",OFFSET('Smelter Look-up'!$D$4,$V468-4,0)&amp;"")</f>
        <v>RUSSIAN FEDERATION</v>
      </c>
      <c r="F468" s="168" t="str">
        <f ca="1">IF(ISERROR($V468),"",OFFSET('Smelter Look-up'!$E$4,$V468-4,0))</f>
        <v>CID000493</v>
      </c>
      <c r="G468" s="168" t="str">
        <f ca="1">IF(C468=$X$4,IF(ISERROR($V468),"Enter smelter details","RMI"),IF(ISERROR($V468),"",OFFSET('Smelter Look-up'!$F$4,$V468-4,0)))</f>
        <v>RMI</v>
      </c>
      <c r="H468" s="171">
        <f ca="1">IF(ISERROR($V468),"",OFFSET('Smelter Look-up'!$G$4,$V468-4,0))</f>
        <v>0</v>
      </c>
      <c r="I468" s="172" t="str">
        <f ca="1">IF(ISERROR($V468),"",OFFSET('Smelter Look-up'!$H$4,$V468-4,0))</f>
        <v>Novosibirsk</v>
      </c>
      <c r="J468" s="172" t="str">
        <f ca="1">IF(ISERROR($V468),"",OFFSET('Smelter Look-up'!$I$4,$V468-4,0))</f>
        <v>Novosibirskaya oblast'</v>
      </c>
      <c r="K468" s="173"/>
      <c r="L468" s="173"/>
      <c r="M468" s="173"/>
      <c r="N468" s="173"/>
      <c r="O468" s="173"/>
      <c r="P468" s="174"/>
      <c r="Q468" s="175"/>
      <c r="R468" s="168" t="str">
        <f ca="1">IF(ISERROR($V468),"",OFFSET('Smelter Look-up'!$C$4,$V468-4,0)&amp;"")</f>
        <v>JSC Novosibirsk Refinery</v>
      </c>
      <c r="S468" s="167" t="str">
        <f t="shared" ca="1" si="66"/>
        <v>RU</v>
      </c>
      <c r="T468" s="167" t="str">
        <f ca="1">IF(B468="","",IF(ISERROR(MATCH($J468,SorP!$B$1:$B$6230,0)),"",INDIRECT("'SorP'!$A$"&amp;MATCH($J468,SorP!$B$1:$B$6230,0))))</f>
        <v>RU-NVS</v>
      </c>
      <c r="U468" s="176"/>
      <c r="V468" s="177">
        <f ca="1">IF(C468="",NA(),IF(OR(C468="Smelter not listed",C468="Smelter not yet identified"),MATCH($B468&amp;$D468,'Smelter Look-up'!$J:$J,0),MATCH($B468&amp;$C468,'Smelter Look-up'!$J:$J,0)))</f>
        <v>131</v>
      </c>
      <c r="X468" s="140">
        <f t="shared" ca="1" si="67"/>
        <v>0</v>
      </c>
      <c r="AB468" s="178" t="str">
        <f t="shared" ca="1" si="68"/>
        <v>GoldJSC Novosibirsk Refinery</v>
      </c>
    </row>
    <row r="469" spans="1:28" s="140" customFormat="1" ht="63.75">
      <c r="A469" s="167" t="s">
        <v>2518</v>
      </c>
      <c r="B469" s="168" t="str">
        <f ca="1">IF(LEN(A469)=0,"",INDEX('Smelter Look-up'!$A:$A,MATCH($A469,'Smelter Look-up'!$E:$E,0)))</f>
        <v>Gold</v>
      </c>
      <c r="C469" s="169" t="str">
        <f ca="1">IF(LEN(A469)=0,"",INDEX('Smelter Look-up'!$C:$C,MATCH($A469,'Smelter Look-up'!$E:$E,0)))</f>
        <v>L'azurde Company For Jewelry</v>
      </c>
      <c r="D469" s="170"/>
      <c r="E469" s="168" t="str">
        <f ca="1">IF(ISERROR($V469),"",OFFSET('Smelter Look-up'!$D$4,$V469-4,0)&amp;"")</f>
        <v>SAUDI ARABIA</v>
      </c>
      <c r="F469" s="168" t="str">
        <f ca="1">IF(ISERROR($V469),"",OFFSET('Smelter Look-up'!$E$4,$V469-4,0))</f>
        <v>CID001032</v>
      </c>
      <c r="G469" s="168" t="str">
        <f ca="1">IF(C469=$X$4,IF(ISERROR($V469),"Enter smelter details","RMI"),IF(ISERROR($V469),"",OFFSET('Smelter Look-up'!$F$4,$V469-4,0)))</f>
        <v>RMI</v>
      </c>
      <c r="H469" s="171">
        <f ca="1">IF(ISERROR($V469),"",OFFSET('Smelter Look-up'!$G$4,$V469-4,0))</f>
        <v>0</v>
      </c>
      <c r="I469" s="172" t="str">
        <f ca="1">IF(ISERROR($V469),"",OFFSET('Smelter Look-up'!$H$4,$V469-4,0))</f>
        <v>Riyadh</v>
      </c>
      <c r="J469" s="172" t="str">
        <f ca="1">IF(ISERROR($V469),"",OFFSET('Smelter Look-up'!$I$4,$V469-4,0))</f>
        <v>Ar Riyāḑ</v>
      </c>
      <c r="K469" s="173"/>
      <c r="L469" s="173"/>
      <c r="M469" s="173"/>
      <c r="N469" s="173"/>
      <c r="O469" s="173"/>
      <c r="P469" s="174"/>
      <c r="Q469" s="175"/>
      <c r="R469" s="168" t="str">
        <f ca="1">IF(ISERROR($V469),"",OFFSET('Smelter Look-up'!$C$4,$V469-4,0)&amp;"")</f>
        <v>L'azurde Company For Jewelry</v>
      </c>
      <c r="S469" s="167" t="str">
        <f t="shared" ca="1" si="66"/>
        <v>SA</v>
      </c>
      <c r="T469" s="167" t="str">
        <f ca="1">IF(B469="","",IF(ISERROR(MATCH($J469,SorP!$B$1:$B$6230,0)),"",INDIRECT("'SorP'!$A$"&amp;MATCH($J469,SorP!$B$1:$B$6230,0))))</f>
        <v>SA-01</v>
      </c>
      <c r="U469" s="176"/>
      <c r="V469" s="177">
        <f ca="1">IF(C469="",NA(),IF(OR(C469="Smelter not listed",C469="Smelter not yet identified"),MATCH($B469&amp;$D469,'Smelter Look-up'!$J:$J,0),MATCH($B469&amp;$C469,'Smelter Look-up'!$J:$J,0)))</f>
        <v>153</v>
      </c>
      <c r="X469" s="140">
        <f t="shared" ca="1" si="67"/>
        <v>0</v>
      </c>
      <c r="AB469" s="178" t="str">
        <f t="shared" ca="1" si="68"/>
        <v>GoldL'azurde Company For Jewelry</v>
      </c>
    </row>
    <row r="470" spans="1:28" s="140" customFormat="1" ht="63.75">
      <c r="A470" s="167" t="s">
        <v>807</v>
      </c>
      <c r="B470" s="168" t="str">
        <f ca="1">IF(LEN(A470)=0,"",INDEX('Smelter Look-up'!$A:$A,MATCH($A470,'Smelter Look-up'!$E:$E,0)))</f>
        <v>Gold</v>
      </c>
      <c r="C470" s="169" t="str">
        <f ca="1">IF(LEN(A470)=0,"",INDEX('Smelter Look-up'!$C:$C,MATCH($A470,'Smelter Look-up'!$E:$E,0)))</f>
        <v>Tanaka Kikinzoku Kogyo K.K.</v>
      </c>
      <c r="D470" s="170"/>
      <c r="E470" s="168" t="str">
        <f ca="1">IF(ISERROR($V470),"",OFFSET('Smelter Look-up'!$D$4,$V470-4,0)&amp;"")</f>
        <v>JAPAN</v>
      </c>
      <c r="F470" s="168" t="str">
        <f ca="1">IF(ISERROR($V470),"",OFFSET('Smelter Look-up'!$E$4,$V470-4,0))</f>
        <v>CID001875</v>
      </c>
      <c r="G470" s="168" t="str">
        <f ca="1">IF(C470=$X$4,IF(ISERROR($V470),"Enter smelter details","RMI"),IF(ISERROR($V470),"",OFFSET('Smelter Look-up'!$F$4,$V470-4,0)))</f>
        <v>RMI</v>
      </c>
      <c r="H470" s="171">
        <f ca="1">IF(ISERROR($V470),"",OFFSET('Smelter Look-up'!$G$4,$V470-4,0))</f>
        <v>0</v>
      </c>
      <c r="I470" s="172" t="str">
        <f ca="1">IF(ISERROR($V470),"",OFFSET('Smelter Look-up'!$H$4,$V470-4,0))</f>
        <v>Hiratsuka</v>
      </c>
      <c r="J470" s="172" t="str">
        <f ca="1">IF(ISERROR($V470),"",OFFSET('Smelter Look-up'!$I$4,$V470-4,0))</f>
        <v>Kanagawa</v>
      </c>
      <c r="K470" s="173"/>
      <c r="L470" s="173"/>
      <c r="M470" s="173"/>
      <c r="N470" s="173"/>
      <c r="O470" s="173"/>
      <c r="P470" s="174"/>
      <c r="Q470" s="175"/>
      <c r="R470" s="168" t="str">
        <f ca="1">IF(ISERROR($V470),"",OFFSET('Smelter Look-up'!$C$4,$V470-4,0)&amp;"")</f>
        <v>Tanaka Kikinzoku Kogyo K.K.</v>
      </c>
      <c r="S470" s="167" t="str">
        <f t="shared" ca="1" si="66"/>
        <v>JP</v>
      </c>
      <c r="T470" s="167" t="str">
        <f ca="1">IF(B470="","",IF(ISERROR(MATCH($J470,SorP!$B$1:$B$6230,0)),"",INDIRECT("'SorP'!$A$"&amp;MATCH($J470,SorP!$B$1:$B$6230,0))))</f>
        <v>JP-14</v>
      </c>
      <c r="U470" s="176"/>
      <c r="V470" s="177">
        <f ca="1">IF(C470="",NA(),IF(OR(C470="Smelter not listed",C470="Smelter not yet identified"),MATCH($B470&amp;$D470,'Smelter Look-up'!$J:$J,0),MATCH($B470&amp;$C470,'Smelter Look-up'!$J:$J,0)))</f>
        <v>278</v>
      </c>
      <c r="X470" s="140">
        <f t="shared" ca="1" si="67"/>
        <v>0</v>
      </c>
      <c r="AB470" s="178" t="str">
        <f t="shared" ca="1" si="68"/>
        <v>GoldTanaka Kikinzoku Kogyo K.K.</v>
      </c>
    </row>
    <row r="471" spans="1:28" s="140" customFormat="1" ht="89.25">
      <c r="A471" s="167" t="s">
        <v>586</v>
      </c>
      <c r="B471" s="168" t="str">
        <f ca="1">IF(LEN(A471)=0,"",INDEX('Smelter Look-up'!$A:$A,MATCH($A471,'Smelter Look-up'!$E:$E,0)))</f>
        <v>Gold</v>
      </c>
      <c r="C471" s="169" t="str">
        <f ca="1">IF(LEN(A471)=0,"",INDEX('Smelter Look-up'!$C:$C,MATCH($A471,'Smelter Look-up'!$E:$E,0)))</f>
        <v>Metalor Technologies (Hong Kong) Ltd.</v>
      </c>
      <c r="D471" s="170"/>
      <c r="E471" s="168" t="str">
        <f ca="1">IF(ISERROR($V471),"",OFFSET('Smelter Look-up'!$D$4,$V471-4,0)&amp;"")</f>
        <v>CHINA</v>
      </c>
      <c r="F471" s="168" t="str">
        <f ca="1">IF(ISERROR($V471),"",OFFSET('Smelter Look-up'!$E$4,$V471-4,0))</f>
        <v>CID001149</v>
      </c>
      <c r="G471" s="168" t="str">
        <f ca="1">IF(C471=$X$4,IF(ISERROR($V471),"Enter smelter details","RMI"),IF(ISERROR($V471),"",OFFSET('Smelter Look-up'!$F$4,$V471-4,0)))</f>
        <v>RMI</v>
      </c>
      <c r="H471" s="171">
        <f ca="1">IF(ISERROR($V471),"",OFFSET('Smelter Look-up'!$G$4,$V471-4,0))</f>
        <v>0</v>
      </c>
      <c r="I471" s="172" t="str">
        <f ca="1">IF(ISERROR($V471),"",OFFSET('Smelter Look-up'!$H$4,$V471-4,0))</f>
        <v>Kwai Chung</v>
      </c>
      <c r="J471" s="172" t="str">
        <f ca="1">IF(ISERROR($V471),"",OFFSET('Smelter Look-up'!$I$4,$V471-4,0))</f>
        <v>Hong Kong SAR</v>
      </c>
      <c r="K471" s="173"/>
      <c r="L471" s="173"/>
      <c r="M471" s="173"/>
      <c r="N471" s="173"/>
      <c r="O471" s="173"/>
      <c r="P471" s="174"/>
      <c r="Q471" s="175"/>
      <c r="R471" s="168" t="str">
        <f ca="1">IF(ISERROR($V471),"",OFFSET('Smelter Look-up'!$C$4,$V471-4,0)&amp;"")</f>
        <v>Metalor Technologies (Hong Kong) Ltd.</v>
      </c>
      <c r="S471" s="167" t="str">
        <f t="shared" ca="1" si="66"/>
        <v>CN</v>
      </c>
      <c r="T471" s="167" t="str">
        <f ca="1">IF(B471="","",IF(ISERROR(MATCH($J471,SorP!$B$1:$B$6230,0)),"",INDIRECT("'SorP'!$A$"&amp;MATCH($J471,SorP!$B$1:$B$6230,0))))</f>
        <v/>
      </c>
      <c r="U471" s="176"/>
      <c r="V471" s="177">
        <f ca="1">IF(C471="",NA(),IF(OR(C471="Smelter not listed",C471="Smelter not yet identified"),MATCH($B471&amp;$D471,'Smelter Look-up'!$J:$J,0),MATCH($B471&amp;$C471,'Smelter Look-up'!$J:$J,0)))</f>
        <v>173</v>
      </c>
      <c r="X471" s="140">
        <f t="shared" ca="1" si="67"/>
        <v>0</v>
      </c>
      <c r="AB471" s="178" t="str">
        <f t="shared" ca="1" si="68"/>
        <v>GoldMetalor Technologies (Hong Kong) Ltd.</v>
      </c>
    </row>
    <row r="472" spans="1:28" s="140" customFormat="1" ht="63.75">
      <c r="A472" s="167" t="s">
        <v>3196</v>
      </c>
      <c r="B472" s="168" t="str">
        <f ca="1">IF(LEN(A472)=0,"",INDEX('Smelter Look-up'!$A:$A,MATCH($A472,'Smelter Look-up'!$E:$E,0)))</f>
        <v>Gold</v>
      </c>
      <c r="C472" s="169" t="str">
        <f ca="1">IF(LEN(A472)=0,"",INDEX('Smelter Look-up'!$C:$C,MATCH($A472,'Smelter Look-up'!$E:$E,0)))</f>
        <v>Metalor Technologies S.A.</v>
      </c>
      <c r="D472" s="170"/>
      <c r="E472" s="168" t="str">
        <f ca="1">IF(ISERROR($V472),"",OFFSET('Smelter Look-up'!$D$4,$V472-4,0)&amp;"")</f>
        <v>SWITZERLAND</v>
      </c>
      <c r="F472" s="168" t="str">
        <f ca="1">IF(ISERROR($V472),"",OFFSET('Smelter Look-up'!$E$4,$V472-4,0))</f>
        <v>CID001153</v>
      </c>
      <c r="G472" s="168" t="str">
        <f ca="1">IF(C472=$X$4,IF(ISERROR($V472),"Enter smelter details","RMI"),IF(ISERROR($V472),"",OFFSET('Smelter Look-up'!$F$4,$V472-4,0)))</f>
        <v>RMI</v>
      </c>
      <c r="H472" s="171">
        <f ca="1">IF(ISERROR($V472),"",OFFSET('Smelter Look-up'!$G$4,$V472-4,0))</f>
        <v>0</v>
      </c>
      <c r="I472" s="172" t="str">
        <f ca="1">IF(ISERROR($V472),"",OFFSET('Smelter Look-up'!$H$4,$V472-4,0))</f>
        <v>Marin</v>
      </c>
      <c r="J472" s="172" t="str">
        <f ca="1">IF(ISERROR($V472),"",OFFSET('Smelter Look-up'!$I$4,$V472-4,0))</f>
        <v>Neuchâtel</v>
      </c>
      <c r="K472" s="173"/>
      <c r="L472" s="173"/>
      <c r="M472" s="173"/>
      <c r="N472" s="173"/>
      <c r="O472" s="173"/>
      <c r="P472" s="174"/>
      <c r="Q472" s="175"/>
      <c r="R472" s="168" t="str">
        <f ca="1">IF(ISERROR($V472),"",OFFSET('Smelter Look-up'!$C$4,$V472-4,0)&amp;"")</f>
        <v>Metalor Technologies S.A.</v>
      </c>
      <c r="S472" s="167" t="str">
        <f t="shared" ca="1" si="66"/>
        <v>CH</v>
      </c>
      <c r="T472" s="167" t="str">
        <f ca="1">IF(B472="","",IF(ISERROR(MATCH($J472,SorP!$B$1:$B$6230,0)),"",INDIRECT("'SorP'!$A$"&amp;MATCH($J472,SorP!$B$1:$B$6230,0))))</f>
        <v>CH-NE</v>
      </c>
      <c r="U472" s="176"/>
      <c r="V472" s="177">
        <f ca="1">IF(C472="",NA(),IF(OR(C472="Smelter not listed",C472="Smelter not yet identified"),MATCH($B472&amp;$D472,'Smelter Look-up'!$J:$J,0),MATCH($B472&amp;$C472,'Smelter Look-up'!$J:$J,0)))</f>
        <v>176</v>
      </c>
      <c r="X472" s="140">
        <f t="shared" ca="1" si="67"/>
        <v>0</v>
      </c>
      <c r="AB472" s="178" t="str">
        <f t="shared" ca="1" si="68"/>
        <v>GoldMetalor Technologies S.A.</v>
      </c>
    </row>
    <row r="473" spans="1:28" s="140" customFormat="1" ht="89.25">
      <c r="A473" s="167" t="s">
        <v>2545</v>
      </c>
      <c r="B473" s="168" t="str">
        <f ca="1">IF(LEN(A473)=0,"",INDEX('Smelter Look-up'!$A:$A,MATCH($A473,'Smelter Look-up'!$E:$E,0)))</f>
        <v>Gold</v>
      </c>
      <c r="C473" s="169" t="str">
        <f ca="1">IF(LEN(A473)=0,"",INDEX('Smelter Look-up'!$C:$C,MATCH($A473,'Smelter Look-up'!$E:$E,0)))</f>
        <v>Metalurgica Met-Mex Penoles S.A. De C.V.</v>
      </c>
      <c r="D473" s="170"/>
      <c r="E473" s="168" t="str">
        <f ca="1">IF(ISERROR($V473),"",OFFSET('Smelter Look-up'!$D$4,$V473-4,0)&amp;"")</f>
        <v>MEXICO</v>
      </c>
      <c r="F473" s="168" t="str">
        <f ca="1">IF(ISERROR($V473),"",OFFSET('Smelter Look-up'!$E$4,$V473-4,0))</f>
        <v>CID001161</v>
      </c>
      <c r="G473" s="168" t="str">
        <f ca="1">IF(C473=$X$4,IF(ISERROR($V473),"Enter smelter details","RMI"),IF(ISERROR($V473),"",OFFSET('Smelter Look-up'!$F$4,$V473-4,0)))</f>
        <v>RMI</v>
      </c>
      <c r="H473" s="171">
        <f ca="1">IF(ISERROR($V473),"",OFFSET('Smelter Look-up'!$G$4,$V473-4,0))</f>
        <v>0</v>
      </c>
      <c r="I473" s="172" t="str">
        <f ca="1">IF(ISERROR($V473),"",OFFSET('Smelter Look-up'!$H$4,$V473-4,0))</f>
        <v>Torreon</v>
      </c>
      <c r="J473" s="172" t="str">
        <f ca="1">IF(ISERROR($V473),"",OFFSET('Smelter Look-up'!$I$4,$V473-4,0))</f>
        <v>Coahuila de Zaragoza</v>
      </c>
      <c r="K473" s="173"/>
      <c r="L473" s="173"/>
      <c r="M473" s="173"/>
      <c r="N473" s="173"/>
      <c r="O473" s="173"/>
      <c r="P473" s="174"/>
      <c r="Q473" s="175"/>
      <c r="R473" s="168" t="str">
        <f ca="1">IF(ISERROR($V473),"",OFFSET('Smelter Look-up'!$C$4,$V473-4,0)&amp;"")</f>
        <v>Metalurgica Met-Mex Penoles S.A. De C.V.</v>
      </c>
      <c r="S473" s="167" t="str">
        <f t="shared" ca="1" si="66"/>
        <v>MX</v>
      </c>
      <c r="T473" s="167" t="str">
        <f ca="1">IF(B473="","",IF(ISERROR(MATCH($J473,SorP!$B$1:$B$6230,0)),"",INDIRECT("'SorP'!$A$"&amp;MATCH($J473,SorP!$B$1:$B$6230,0))))</f>
        <v>MX-COA</v>
      </c>
      <c r="U473" s="176"/>
      <c r="V473" s="177">
        <f ca="1">IF(C473="",NA(),IF(OR(C473="Smelter not listed",C473="Smelter not yet identified"),MATCH($B473&amp;$D473,'Smelter Look-up'!$J:$J,0),MATCH($B473&amp;$C473,'Smelter Look-up'!$J:$J,0)))</f>
        <v>178</v>
      </c>
      <c r="X473" s="140">
        <f t="shared" ca="1" si="67"/>
        <v>0</v>
      </c>
      <c r="AB473" s="178" t="str">
        <f t="shared" ca="1" si="68"/>
        <v>GoldMetalurgica Met-Mex Penoles S.A. De C.V.</v>
      </c>
    </row>
    <row r="474" spans="1:28" s="140" customFormat="1" ht="76.5">
      <c r="A474" s="167" t="s">
        <v>1350</v>
      </c>
      <c r="B474" s="168" t="str">
        <f ca="1">IF(LEN(A474)=0,"",INDEX('Smelter Look-up'!$A:$A,MATCH($A474,'Smelter Look-up'!$E:$E,0)))</f>
        <v>Gold</v>
      </c>
      <c r="C474" s="169" t="str">
        <f ca="1">IF(LEN(A474)=0,"",INDEX('Smelter Look-up'!$C:$C,MATCH($A474,'Smelter Look-up'!$E:$E,0)))</f>
        <v>JX Nippon Mining &amp; Metals Co., Ltd.</v>
      </c>
      <c r="D474" s="170"/>
      <c r="E474" s="168" t="str">
        <f ca="1">IF(ISERROR($V474),"",OFFSET('Smelter Look-up'!$D$4,$V474-4,0)&amp;"")</f>
        <v>JAPAN</v>
      </c>
      <c r="F474" s="168" t="str">
        <f ca="1">IF(ISERROR($V474),"",OFFSET('Smelter Look-up'!$E$4,$V474-4,0))</f>
        <v>CID000937</v>
      </c>
      <c r="G474" s="168" t="str">
        <f ca="1">IF(C474=$X$4,IF(ISERROR($V474),"Enter smelter details","RMI"),IF(ISERROR($V474),"",OFFSET('Smelter Look-up'!$F$4,$V474-4,0)))</f>
        <v>RMI</v>
      </c>
      <c r="H474" s="171">
        <f ca="1">IF(ISERROR($V474),"",OFFSET('Smelter Look-up'!$G$4,$V474-4,0))</f>
        <v>0</v>
      </c>
      <c r="I474" s="172" t="str">
        <f ca="1">IF(ISERROR($V474),"",OFFSET('Smelter Look-up'!$H$4,$V474-4,0))</f>
        <v>Ōita</v>
      </c>
      <c r="J474" s="172" t="str">
        <f ca="1">IF(ISERROR($V474),"",OFFSET('Smelter Look-up'!$I$4,$V474-4,0))</f>
        <v>Ôita</v>
      </c>
      <c r="K474" s="173"/>
      <c r="L474" s="173"/>
      <c r="M474" s="173"/>
      <c r="N474" s="173"/>
      <c r="O474" s="173"/>
      <c r="P474" s="174"/>
      <c r="Q474" s="175"/>
      <c r="R474" s="168" t="str">
        <f ca="1">IF(ISERROR($V474),"",OFFSET('Smelter Look-up'!$C$4,$V474-4,0)&amp;"")</f>
        <v>JX Nippon Mining &amp; Metals Co., Ltd.</v>
      </c>
      <c r="S474" s="167" t="str">
        <f t="shared" ca="1" si="66"/>
        <v>JP</v>
      </c>
      <c r="T474" s="167" t="str">
        <f ca="1">IF(B474="","",IF(ISERROR(MATCH($J474,SorP!$B$1:$B$6230,0)),"",INDIRECT("'SorP'!$A$"&amp;MATCH($J474,SorP!$B$1:$B$6230,0))))</f>
        <v>JP-44</v>
      </c>
      <c r="U474" s="176"/>
      <c r="V474" s="177">
        <f ca="1">IF(C474="",NA(),IF(OR(C474="Smelter not listed",C474="Smelter not yet identified"),MATCH($B474&amp;$D474,'Smelter Look-up'!$J:$J,0),MATCH($B474&amp;$C474,'Smelter Look-up'!$J:$J,0)))</f>
        <v>133</v>
      </c>
      <c r="X474" s="140">
        <f t="shared" ca="1" si="67"/>
        <v>0</v>
      </c>
      <c r="AB474" s="178" t="str">
        <f t="shared" ca="1" si="68"/>
        <v>GoldJX Nippon Mining &amp; Metals Co., Ltd.</v>
      </c>
    </row>
    <row r="475" spans="1:28" s="140" customFormat="1" ht="153">
      <c r="A475" s="167" t="s">
        <v>1925</v>
      </c>
      <c r="B475" s="168" t="str">
        <f ca="1">IF(LEN(A475)=0,"",INDEX('Smelter Look-up'!$A:$A,MATCH($A475,'Smelter Look-up'!$E:$E,0)))</f>
        <v>Gold</v>
      </c>
      <c r="C475" s="169" t="str">
        <f ca="1">IF(LEN(A475)=0,"",INDEX('Smelter Look-up'!$C:$C,MATCH($A475,'Smelter Look-up'!$E:$E,0)))</f>
        <v>Inner Mongolia Qiankun Gold and Silver Refinery Share Co., Ltd.</v>
      </c>
      <c r="D475" s="170"/>
      <c r="E475" s="168" t="str">
        <f ca="1">IF(ISERROR($V475),"",OFFSET('Smelter Look-up'!$D$4,$V475-4,0)&amp;"")</f>
        <v>CHINA</v>
      </c>
      <c r="F475" s="168" t="str">
        <f ca="1">IF(ISERROR($V475),"",OFFSET('Smelter Look-up'!$E$4,$V475-4,0))</f>
        <v>CID000801</v>
      </c>
      <c r="G475" s="168" t="str">
        <f ca="1">IF(C475=$X$4,IF(ISERROR($V475),"Enter smelter details","RMI"),IF(ISERROR($V475),"",OFFSET('Smelter Look-up'!$F$4,$V475-4,0)))</f>
        <v>RMI</v>
      </c>
      <c r="H475" s="171">
        <f ca="1">IF(ISERROR($V475),"",OFFSET('Smelter Look-up'!$G$4,$V475-4,0))</f>
        <v>0</v>
      </c>
      <c r="I475" s="172" t="str">
        <f ca="1">IF(ISERROR($V475),"",OFFSET('Smelter Look-up'!$H$4,$V475-4,0))</f>
        <v>Hohhot</v>
      </c>
      <c r="J475" s="172" t="str">
        <f ca="1">IF(ISERROR($V475),"",OFFSET('Smelter Look-up'!$I$4,$V475-4,0))</f>
        <v>Nei Mongol Zizhiqu</v>
      </c>
      <c r="K475" s="173"/>
      <c r="L475" s="173"/>
      <c r="M475" s="173"/>
      <c r="N475" s="173"/>
      <c r="O475" s="173"/>
      <c r="P475" s="174"/>
      <c r="Q475" s="175"/>
      <c r="R475" s="168" t="str">
        <f ca="1">IF(ISERROR($V475),"",OFFSET('Smelter Look-up'!$C$4,$V475-4,0)&amp;"")</f>
        <v>Inner Mongolia Qiankun Gold and Silver Refinery Share Co., Ltd.</v>
      </c>
      <c r="S475" s="167" t="str">
        <f t="shared" ca="1" si="66"/>
        <v>CN</v>
      </c>
      <c r="T475" s="167" t="str">
        <f ca="1">IF(B475="","",IF(ISERROR(MATCH($J475,SorP!$B$1:$B$6230,0)),"",INDIRECT("'SorP'!$A$"&amp;MATCH($J475,SorP!$B$1:$B$6230,0))))</f>
        <v>CN-NM</v>
      </c>
      <c r="U475" s="176"/>
      <c r="V475" s="177">
        <f ca="1">IF(C475="",NA(),IF(OR(C475="Smelter not listed",C475="Smelter not yet identified"),MATCH($B475&amp;$D475,'Smelter Look-up'!$J:$J,0),MATCH($B475&amp;$C475,'Smelter Look-up'!$J:$J,0)))</f>
        <v>117</v>
      </c>
      <c r="X475" s="140">
        <f t="shared" ca="1" si="67"/>
        <v>0</v>
      </c>
      <c r="AB475" s="178" t="str">
        <f t="shared" ca="1" si="68"/>
        <v>GoldInner Mongolia Qiankun Gold and Silver Refinery Share Co., Ltd.</v>
      </c>
    </row>
    <row r="476" spans="1:28" s="140" customFormat="1" ht="102">
      <c r="A476" s="167" t="s">
        <v>2963</v>
      </c>
      <c r="B476" s="168" t="str">
        <f ca="1">IF(LEN(A476)=0,"",INDEX('Smelter Look-up'!$A:$A,MATCH($A476,'Smelter Look-up'!$E:$E,0)))</f>
        <v>Gold</v>
      </c>
      <c r="C476" s="169" t="str">
        <f ca="1">IF(LEN(A476)=0,"",INDEX('Smelter Look-up'!$C:$C,MATCH($A476,'Smelter Look-up'!$E:$E,0)))</f>
        <v>Shandong Zhaojin Gold &amp; Silver Refinery Co., Ltd.</v>
      </c>
      <c r="D476" s="170"/>
      <c r="E476" s="168" t="str">
        <f ca="1">IF(ISERROR($V476),"",OFFSET('Smelter Look-up'!$D$4,$V476-4,0)&amp;"")</f>
        <v>CHINA</v>
      </c>
      <c r="F476" s="168" t="str">
        <f ca="1">IF(ISERROR($V476),"",OFFSET('Smelter Look-up'!$E$4,$V476-4,0))</f>
        <v>CID001622</v>
      </c>
      <c r="G476" s="168" t="str">
        <f ca="1">IF(C476=$X$4,IF(ISERROR($V476),"Enter smelter details","RMI"),IF(ISERROR($V476),"",OFFSET('Smelter Look-up'!$F$4,$V476-4,0)))</f>
        <v>RMI</v>
      </c>
      <c r="H476" s="171">
        <f ca="1">IF(ISERROR($V476),"",OFFSET('Smelter Look-up'!$G$4,$V476-4,0))</f>
        <v>0</v>
      </c>
      <c r="I476" s="172" t="str">
        <f ca="1">IF(ISERROR($V476),"",OFFSET('Smelter Look-up'!$H$4,$V476-4,0))</f>
        <v>Zhaoyuan</v>
      </c>
      <c r="J476" s="172" t="str">
        <f ca="1">IF(ISERROR($V476),"",OFFSET('Smelter Look-up'!$I$4,$V476-4,0))</f>
        <v>Shandong Sheng</v>
      </c>
      <c r="K476" s="173"/>
      <c r="L476" s="173"/>
      <c r="M476" s="173"/>
      <c r="N476" s="173"/>
      <c r="O476" s="173"/>
      <c r="P476" s="174"/>
      <c r="Q476" s="175"/>
      <c r="R476" s="168" t="str">
        <f ca="1">IF(ISERROR($V476),"",OFFSET('Smelter Look-up'!$C$4,$V476-4,0)&amp;"")</f>
        <v>Shandong Zhaojin Gold &amp; Silver Refinery Co., Ltd.</v>
      </c>
      <c r="S476" s="167" t="str">
        <f t="shared" ca="1" si="66"/>
        <v>CN</v>
      </c>
      <c r="T476" s="167" t="str">
        <f ca="1">IF(B476="","",IF(ISERROR(MATCH($J476,SorP!$B$1:$B$6230,0)),"",INDIRECT("'SorP'!$A$"&amp;MATCH($J476,SorP!$B$1:$B$6230,0))))</f>
        <v>CN-SD</v>
      </c>
      <c r="U476" s="176"/>
      <c r="V476" s="177">
        <f ca="1">IF(C476="",NA(),IF(OR(C476="Smelter not listed",C476="Smelter not yet identified"),MATCH($B476&amp;$D476,'Smelter Look-up'!$J:$J,0),MATCH($B476&amp;$C476,'Smelter Look-up'!$J:$J,0)))</f>
        <v>246</v>
      </c>
      <c r="X476" s="140">
        <f t="shared" ca="1" si="67"/>
        <v>0</v>
      </c>
      <c r="AB476" s="178" t="str">
        <f t="shared" ca="1" si="68"/>
        <v>GoldShandong Zhaojin Gold &amp; Silver Refinery Co., Ltd.</v>
      </c>
    </row>
    <row r="477" spans="1:28" s="140" customFormat="1" ht="114.75">
      <c r="A477" s="167" t="s">
        <v>2585</v>
      </c>
      <c r="B477" s="168" t="str">
        <f ca="1">IF(LEN(A477)=0,"",INDEX('Smelter Look-up'!$A:$A,MATCH($A477,'Smelter Look-up'!$E:$E,0)))</f>
        <v>Gold</v>
      </c>
      <c r="C477" s="169" t="str">
        <f ca="1">IF(LEN(A477)=0,"",INDEX('Smelter Look-up'!$C:$C,MATCH($A477,'Smelter Look-up'!$E:$E,0)))</f>
        <v>SOE Shyolkovsky Factory of Secondary Precious Metals</v>
      </c>
      <c r="D477" s="170"/>
      <c r="E477" s="168" t="str">
        <f ca="1">IF(ISERROR($V477),"",OFFSET('Smelter Look-up'!$D$4,$V477-4,0)&amp;"")</f>
        <v>RUSSIAN FEDERATION</v>
      </c>
      <c r="F477" s="168" t="str">
        <f ca="1">IF(ISERROR($V477),"",OFFSET('Smelter Look-up'!$E$4,$V477-4,0))</f>
        <v>CID001756</v>
      </c>
      <c r="G477" s="168" t="str">
        <f ca="1">IF(C477=$X$4,IF(ISERROR($V477),"Enter smelter details","RMI"),IF(ISERROR($V477),"",OFFSET('Smelter Look-up'!$F$4,$V477-4,0)))</f>
        <v>RMI</v>
      </c>
      <c r="H477" s="171">
        <f ca="1">IF(ISERROR($V477),"",OFFSET('Smelter Look-up'!$G$4,$V477-4,0))</f>
        <v>0</v>
      </c>
      <c r="I477" s="172" t="str">
        <f ca="1">IF(ISERROR($V477),"",OFFSET('Smelter Look-up'!$H$4,$V477-4,0))</f>
        <v>Shyolkovo</v>
      </c>
      <c r="J477" s="172" t="str">
        <f ca="1">IF(ISERROR($V477),"",OFFSET('Smelter Look-up'!$I$4,$V477-4,0))</f>
        <v>Moskovskaja oblast'</v>
      </c>
      <c r="K477" s="173"/>
      <c r="L477" s="173"/>
      <c r="M477" s="173"/>
      <c r="N477" s="173"/>
      <c r="O477" s="173"/>
      <c r="P477" s="174"/>
      <c r="Q477" s="175"/>
      <c r="R477" s="168" t="str">
        <f ca="1">IF(ISERROR($V477),"",OFFSET('Smelter Look-up'!$C$4,$V477-4,0)&amp;"")</f>
        <v>SOE Shyolkovsky Factory of Secondary Precious Metals</v>
      </c>
      <c r="S477" s="167" t="str">
        <f t="shared" ca="1" si="66"/>
        <v>RU</v>
      </c>
      <c r="T477" s="167" t="str">
        <f ca="1">IF(B477="","",IF(ISERROR(MATCH($J477,SorP!$B$1:$B$6230,0)),"",INDIRECT("'SorP'!$A$"&amp;MATCH($J477,SorP!$B$1:$B$6230,0))))</f>
        <v>RU-MOS</v>
      </c>
      <c r="U477" s="176"/>
      <c r="V477" s="177">
        <f ca="1">IF(C477="",NA(),IF(OR(C477="Smelter not listed",C477="Smelter not yet identified"),MATCH($B477&amp;$D477,'Smelter Look-up'!$J:$J,0),MATCH($B477&amp;$C477,'Smelter Look-up'!$J:$J,0)))</f>
        <v>257</v>
      </c>
      <c r="X477" s="140">
        <f t="shared" ca="1" si="67"/>
        <v>0</v>
      </c>
      <c r="AB477" s="178" t="str">
        <f t="shared" ca="1" si="68"/>
        <v>GoldSOE Shyolkovsky Factory of Secondary Precious Metals</v>
      </c>
    </row>
    <row r="478" spans="1:28" s="140" customFormat="1" ht="102">
      <c r="A478" s="167" t="s">
        <v>1541</v>
      </c>
      <c r="B478" s="168" t="str">
        <f ca="1">IF(LEN(A478)=0,"",INDEX('Smelter Look-up'!$A:$A,MATCH($A478,'Smelter Look-up'!$E:$E,0)))</f>
        <v>Gold</v>
      </c>
      <c r="C478" s="169" t="str">
        <f ca="1">IF(LEN(A478)=0,"",INDEX('Smelter Look-up'!$C:$C,MATCH($A478,'Smelter Look-up'!$E:$E,0)))</f>
        <v>Western Australian Mint (T/a The Perth Mint)</v>
      </c>
      <c r="D478" s="170"/>
      <c r="E478" s="168" t="str">
        <f ca="1">IF(ISERROR($V478),"",OFFSET('Smelter Look-up'!$D$4,$V478-4,0)&amp;"")</f>
        <v>AUSTRALIA</v>
      </c>
      <c r="F478" s="168" t="str">
        <f ca="1">IF(ISERROR($V478),"",OFFSET('Smelter Look-up'!$E$4,$V478-4,0))</f>
        <v>CID002030</v>
      </c>
      <c r="G478" s="168" t="str">
        <f ca="1">IF(C478=$X$4,IF(ISERROR($V478),"Enter smelter details","RMI"),IF(ISERROR($V478),"",OFFSET('Smelter Look-up'!$F$4,$V478-4,0)))</f>
        <v>RMI</v>
      </c>
      <c r="H478" s="171">
        <f ca="1">IF(ISERROR($V478),"",OFFSET('Smelter Look-up'!$G$4,$V478-4,0))</f>
        <v>0</v>
      </c>
      <c r="I478" s="172" t="str">
        <f ca="1">IF(ISERROR($V478),"",OFFSET('Smelter Look-up'!$H$4,$V478-4,0))</f>
        <v>Newburn</v>
      </c>
      <c r="J478" s="172" t="str">
        <f ca="1">IF(ISERROR($V478),"",OFFSET('Smelter Look-up'!$I$4,$V478-4,0))</f>
        <v>Western Australia</v>
      </c>
      <c r="K478" s="173"/>
      <c r="L478" s="173"/>
      <c r="M478" s="173"/>
      <c r="N478" s="173"/>
      <c r="O478" s="173"/>
      <c r="P478" s="174"/>
      <c r="Q478" s="175"/>
      <c r="R478" s="168" t="str">
        <f ca="1">IF(ISERROR($V478),"",OFFSET('Smelter Look-up'!$C$4,$V478-4,0)&amp;"")</f>
        <v>Western Australian Mint (T/a The Perth Mint)</v>
      </c>
      <c r="S478" s="167" t="str">
        <f t="shared" ca="1" si="66"/>
        <v>AU</v>
      </c>
      <c r="T478" s="167" t="str">
        <f ca="1">IF(B478="","",IF(ISERROR(MATCH($J478,SorP!$B$1:$B$6230,0)),"",INDIRECT("'SorP'!$A$"&amp;MATCH($J478,SorP!$B$1:$B$6230,0))))</f>
        <v>AU-WA</v>
      </c>
      <c r="U478" s="176"/>
      <c r="V478" s="177">
        <f ca="1">IF(C478="",NA(),IF(OR(C478="Smelter not listed",C478="Smelter not yet identified"),MATCH($B478&amp;$D478,'Smelter Look-up'!$J:$J,0),MATCH($B478&amp;$C478,'Smelter Look-up'!$J:$J,0)))</f>
        <v>298</v>
      </c>
      <c r="X478" s="140">
        <f t="shared" ca="1" si="67"/>
        <v>0</v>
      </c>
      <c r="AB478" s="178" t="str">
        <f t="shared" ca="1" si="68"/>
        <v>GoldWestern Australian Mint (T/a The Perth Mint)</v>
      </c>
    </row>
    <row r="479" spans="1:28" s="140" customFormat="1" ht="102">
      <c r="A479" s="167" t="s">
        <v>1853</v>
      </c>
      <c r="B479" s="168" t="str">
        <f ca="1">IF(LEN(A479)=0,"",INDEX('Smelter Look-up'!$A:$A,MATCH($A479,'Smelter Look-up'!$E:$E,0)))</f>
        <v>Gold</v>
      </c>
      <c r="C479" s="169" t="str">
        <f ca="1">IF(LEN(A479)=0,"",INDEX('Smelter Look-up'!$C:$C,MATCH($A479,'Smelter Look-up'!$E:$E,0)))</f>
        <v>CCR Refinery - Glencore Canada Corporation</v>
      </c>
      <c r="D479" s="170"/>
      <c r="E479" s="168" t="str">
        <f ca="1">IF(ISERROR($V479),"",OFFSET('Smelter Look-up'!$D$4,$V479-4,0)&amp;"")</f>
        <v>CANADA</v>
      </c>
      <c r="F479" s="168" t="str">
        <f ca="1">IF(ISERROR($V479),"",OFFSET('Smelter Look-up'!$E$4,$V479-4,0))</f>
        <v>CID000185</v>
      </c>
      <c r="G479" s="168" t="str">
        <f ca="1">IF(C479=$X$4,IF(ISERROR($V479),"Enter smelter details","RMI"),IF(ISERROR($V479),"",OFFSET('Smelter Look-up'!$F$4,$V479-4,0)))</f>
        <v>RMI</v>
      </c>
      <c r="H479" s="171">
        <f ca="1">IF(ISERROR($V479),"",OFFSET('Smelter Look-up'!$G$4,$V479-4,0))</f>
        <v>0</v>
      </c>
      <c r="I479" s="172" t="str">
        <f ca="1">IF(ISERROR($V479),"",OFFSET('Smelter Look-up'!$H$4,$V479-4,0))</f>
        <v>Montréal</v>
      </c>
      <c r="J479" s="172" t="str">
        <f ca="1">IF(ISERROR($V479),"",OFFSET('Smelter Look-up'!$I$4,$V479-4,0))</f>
        <v>Quebec</v>
      </c>
      <c r="K479" s="173"/>
      <c r="L479" s="173"/>
      <c r="M479" s="173"/>
      <c r="N479" s="173"/>
      <c r="O479" s="173"/>
      <c r="P479" s="174"/>
      <c r="Q479" s="175"/>
      <c r="R479" s="168" t="str">
        <f ca="1">IF(ISERROR($V479),"",OFFSET('Smelter Look-up'!$C$4,$V479-4,0)&amp;"")</f>
        <v>CCR Refinery - Glencore Canada Corporation</v>
      </c>
      <c r="S479" s="167" t="str">
        <f t="shared" ca="1" si="66"/>
        <v>CA</v>
      </c>
      <c r="T479" s="167" t="str">
        <f ca="1">IF(B479="","",IF(ISERROR(MATCH($J479,SorP!$B$1:$B$6230,0)),"",INDIRECT("'SorP'!$A$"&amp;MATCH($J479,SorP!$B$1:$B$6230,0))))</f>
        <v>CA-QC</v>
      </c>
      <c r="U479" s="176"/>
      <c r="V479" s="177">
        <f ca="1">IF(C479="",NA(),IF(OR(C479="Smelter not listed",C479="Smelter not yet identified"),MATCH($B479&amp;$D479,'Smelter Look-up'!$J:$J,0),MATCH($B479&amp;$C479,'Smelter Look-up'!$J:$J,0)))</f>
        <v>47</v>
      </c>
      <c r="X479" s="140">
        <f t="shared" ca="1" si="67"/>
        <v>0</v>
      </c>
      <c r="AB479" s="178" t="str">
        <f t="shared" ca="1" si="68"/>
        <v>GoldCCR Refinery - Glencore Canada Corporation</v>
      </c>
    </row>
    <row r="480" spans="1:28" s="140" customFormat="1" ht="89.25">
      <c r="A480" s="167" t="s">
        <v>2980</v>
      </c>
      <c r="B480" s="168" t="str">
        <f ca="1">IF(LEN(A480)=0,"",INDEX('Smelter Look-up'!$A:$A,MATCH($A480,'Smelter Look-up'!$E:$E,0)))</f>
        <v>Gold</v>
      </c>
      <c r="C480" s="169" t="str">
        <f ca="1">IF(LEN(A480)=0,"",INDEX('Smelter Look-up'!$C:$C,MATCH($A480,'Smelter Look-up'!$E:$E,0)))</f>
        <v>Gold Refinery of Zijin Mining Group Co., Ltd.</v>
      </c>
      <c r="D480" s="170"/>
      <c r="E480" s="168" t="str">
        <f ca="1">IF(ISERROR($V480),"",OFFSET('Smelter Look-up'!$D$4,$V480-4,0)&amp;"")</f>
        <v>CHINA</v>
      </c>
      <c r="F480" s="168" t="str">
        <f ca="1">IF(ISERROR($V480),"",OFFSET('Smelter Look-up'!$E$4,$V480-4,0))</f>
        <v>CID002243</v>
      </c>
      <c r="G480" s="168" t="str">
        <f ca="1">IF(C480=$X$4,IF(ISERROR($V480),"Enter smelter details","RMI"),IF(ISERROR($V480),"",OFFSET('Smelter Look-up'!$F$4,$V480-4,0)))</f>
        <v>RMI</v>
      </c>
      <c r="H480" s="171">
        <f ca="1">IF(ISERROR($V480),"",OFFSET('Smelter Look-up'!$G$4,$V480-4,0))</f>
        <v>0</v>
      </c>
      <c r="I480" s="172" t="str">
        <f ca="1">IF(ISERROR($V480),"",OFFSET('Smelter Look-up'!$H$4,$V480-4,0))</f>
        <v>Shanghang</v>
      </c>
      <c r="J480" s="172" t="str">
        <f ca="1">IF(ISERROR($V480),"",OFFSET('Smelter Look-up'!$I$4,$V480-4,0))</f>
        <v>Fujian Sheng</v>
      </c>
      <c r="K480" s="173"/>
      <c r="L480" s="173"/>
      <c r="M480" s="173"/>
      <c r="N480" s="173"/>
      <c r="O480" s="173"/>
      <c r="P480" s="174"/>
      <c r="Q480" s="175"/>
      <c r="R480" s="168" t="str">
        <f ca="1">IF(ISERROR($V480),"",OFFSET('Smelter Look-up'!$C$4,$V480-4,0)&amp;"")</f>
        <v>Gold Refinery of Zijin Mining Group Co., Ltd.</v>
      </c>
      <c r="S480" s="167" t="str">
        <f t="shared" ca="1" si="66"/>
        <v>CN</v>
      </c>
      <c r="T480" s="167" t="str">
        <f ca="1">IF(B480="","",IF(ISERROR(MATCH($J480,SorP!$B$1:$B$6230,0)),"",INDIRECT("'SorP'!$A$"&amp;MATCH($J480,SorP!$B$1:$B$6230,0))))</f>
        <v>CN-FJ</v>
      </c>
      <c r="U480" s="176"/>
      <c r="V480" s="177">
        <f ca="1">IF(C480="",NA(),IF(OR(C480="Smelter not listed",C480="Smelter not yet identified"),MATCH($B480&amp;$D480,'Smelter Look-up'!$J:$J,0),MATCH($B480&amp;$C480,'Smelter Look-up'!$J:$J,0)))</f>
        <v>93</v>
      </c>
      <c r="X480" s="140">
        <f t="shared" ca="1" si="67"/>
        <v>0</v>
      </c>
      <c r="AB480" s="178" t="str">
        <f t="shared" ca="1" si="68"/>
        <v>GoldGold Refinery of Zijin Mining Group Co., Ltd.</v>
      </c>
    </row>
    <row r="481" spans="1:28" s="140" customFormat="1" ht="51">
      <c r="A481" s="167" t="s">
        <v>3205</v>
      </c>
      <c r="B481" s="168" t="str">
        <f ca="1">IF(LEN(A481)=0,"",INDEX('Smelter Look-up'!$A:$A,MATCH($A481,'Smelter Look-up'!$E:$E,0)))</f>
        <v>Tantalum</v>
      </c>
      <c r="C481" s="169" t="str">
        <f ca="1">IF(LEN(A481)=0,"",INDEX('Smelter Look-up'!$C:$C,MATCH($A481,'Smelter Look-up'!$E:$E,0)))</f>
        <v>NPM Silmet AS</v>
      </c>
      <c r="D481" s="170"/>
      <c r="E481" s="168" t="str">
        <f ca="1">IF(ISERROR($V481),"",OFFSET('Smelter Look-up'!$D$4,$V481-4,0)&amp;"")</f>
        <v>ESTONIA</v>
      </c>
      <c r="F481" s="168" t="str">
        <f ca="1">IF(ISERROR($V481),"",OFFSET('Smelter Look-up'!$E$4,$V481-4,0))</f>
        <v>CID001200</v>
      </c>
      <c r="G481" s="168" t="str">
        <f ca="1">IF(C481=$X$4,IF(ISERROR($V481),"Enter smelter details","RMI"),IF(ISERROR($V481),"",OFFSET('Smelter Look-up'!$F$4,$V481-4,0)))</f>
        <v>RMI</v>
      </c>
      <c r="H481" s="171">
        <f ca="1">IF(ISERROR($V481),"",OFFSET('Smelter Look-up'!$G$4,$V481-4,0))</f>
        <v>0</v>
      </c>
      <c r="I481" s="172" t="str">
        <f ca="1">IF(ISERROR($V481),"",OFFSET('Smelter Look-up'!$H$4,$V481-4,0))</f>
        <v>Sillamäe</v>
      </c>
      <c r="J481" s="172" t="str">
        <f ca="1">IF(ISERROR($V481),"",OFFSET('Smelter Look-up'!$I$4,$V481-4,0))</f>
        <v>Ida-Virumaa</v>
      </c>
      <c r="K481" s="173"/>
      <c r="L481" s="173"/>
      <c r="M481" s="173"/>
      <c r="N481" s="173"/>
      <c r="O481" s="173"/>
      <c r="P481" s="174"/>
      <c r="Q481" s="175"/>
      <c r="R481" s="168" t="str">
        <f ca="1">IF(ISERROR($V481),"",OFFSET('Smelter Look-up'!$C$4,$V481-4,0)&amp;"")</f>
        <v>NPM Silmet AS</v>
      </c>
      <c r="S481" s="167" t="str">
        <f t="shared" ca="1" si="66"/>
        <v>EE</v>
      </c>
      <c r="T481" s="167" t="str">
        <f ca="1">IF(B481="","",IF(ISERROR(MATCH($J481,SorP!$B$1:$B$6230,0)),"",INDIRECT("'SorP'!$A$"&amp;MATCH($J481,SorP!$B$1:$B$6230,0))))</f>
        <v>EE-44</v>
      </c>
      <c r="U481" s="176"/>
      <c r="V481" s="177">
        <f ca="1">IF(C481="",NA(),IF(OR(C481="Smelter not listed",C481="Smelter not yet identified"),MATCH($B481&amp;$D481,'Smelter Look-up'!$J:$J,0),MATCH($B481&amp;$C481,'Smelter Look-up'!$J:$J,0)))</f>
        <v>361</v>
      </c>
      <c r="X481" s="140">
        <f t="shared" ca="1" si="67"/>
        <v>0</v>
      </c>
      <c r="AB481" s="178" t="str">
        <f t="shared" ca="1" si="68"/>
        <v>TantalumNPM Silmet AS</v>
      </c>
    </row>
    <row r="482" spans="1:28" s="140" customFormat="1" ht="51">
      <c r="A482" s="167" t="s">
        <v>2722</v>
      </c>
      <c r="B482" s="168" t="str">
        <f ca="1">IF(LEN(A482)=0,"",INDEX('Smelter Look-up'!$A:$A,MATCH($A482,'Smelter Look-up'!$E:$E,0)))</f>
        <v>Tantalum</v>
      </c>
      <c r="C482" s="169" t="str">
        <f ca="1">IF(LEN(A482)=0,"",INDEX('Smelter Look-up'!$C:$C,MATCH($A482,'Smelter Look-up'!$E:$E,0)))</f>
        <v>TANIOBIS Co., Ltd.</v>
      </c>
      <c r="D482" s="170"/>
      <c r="E482" s="168" t="str">
        <f ca="1">IF(ISERROR($V482),"",OFFSET('Smelter Look-up'!$D$4,$V482-4,0)&amp;"")</f>
        <v>THAILAND</v>
      </c>
      <c r="F482" s="168" t="str">
        <f ca="1">IF(ISERROR($V482),"",OFFSET('Smelter Look-up'!$E$4,$V482-4,0))</f>
        <v>CID002544</v>
      </c>
      <c r="G482" s="168" t="str">
        <f ca="1">IF(C482=$X$4,IF(ISERROR($V482),"Enter smelter details","RMI"),IF(ISERROR($V482),"",OFFSET('Smelter Look-up'!$F$4,$V482-4,0)))</f>
        <v>RMI</v>
      </c>
      <c r="H482" s="171">
        <f ca="1">IF(ISERROR($V482),"",OFFSET('Smelter Look-up'!$G$4,$V482-4,0))</f>
        <v>0</v>
      </c>
      <c r="I482" s="172" t="str">
        <f ca="1">IF(ISERROR($V482),"",OFFSET('Smelter Look-up'!$H$4,$V482-4,0))</f>
        <v>Map Ta Phut</v>
      </c>
      <c r="J482" s="172" t="str">
        <f ca="1">IF(ISERROR($V482),"",OFFSET('Smelter Look-up'!$I$4,$V482-4,0))</f>
        <v>Rayong</v>
      </c>
      <c r="K482" s="173"/>
      <c r="L482" s="173"/>
      <c r="M482" s="173"/>
      <c r="N482" s="173"/>
      <c r="O482" s="173"/>
      <c r="P482" s="174"/>
      <c r="Q482" s="175"/>
      <c r="R482" s="168" t="str">
        <f ca="1">IF(ISERROR($V482),"",OFFSET('Smelter Look-up'!$C$4,$V482-4,0)&amp;"")</f>
        <v>TANIOBIS Co., Ltd.</v>
      </c>
      <c r="S482" s="167" t="str">
        <f t="shared" ca="1" si="66"/>
        <v>TH</v>
      </c>
      <c r="T482" s="167" t="str">
        <f ca="1">IF(B482="","",IF(ISERROR(MATCH($J482,SorP!$B$1:$B$6230,0)),"",INDIRECT("'SorP'!$A$"&amp;MATCH($J482,SorP!$B$1:$B$6230,0))))</f>
        <v>TH-21</v>
      </c>
      <c r="U482" s="176"/>
      <c r="V482" s="177">
        <f ca="1">IF(C482="",NA(),IF(OR(C482="Smelter not listed",C482="Smelter not yet identified"),MATCH($B482&amp;$D482,'Smelter Look-up'!$J:$J,0),MATCH($B482&amp;$C482,'Smelter Look-up'!$J:$J,0)))</f>
        <v>374</v>
      </c>
      <c r="X482" s="140">
        <f t="shared" ca="1" si="67"/>
        <v>0</v>
      </c>
      <c r="AB482" s="178" t="str">
        <f t="shared" ca="1" si="68"/>
        <v>TantalumTANIOBIS Co., Ltd.</v>
      </c>
    </row>
    <row r="483" spans="1:28" s="140" customFormat="1" ht="51">
      <c r="A483" s="167" t="s">
        <v>1128</v>
      </c>
      <c r="B483" s="168" t="str">
        <f ca="1">IF(LEN(A483)=0,"",INDEX('Smelter Look-up'!$A:$A,MATCH($A483,'Smelter Look-up'!$E:$E,0)))</f>
        <v>Tantalum</v>
      </c>
      <c r="C483" s="169" t="str">
        <f ca="1">IF(LEN(A483)=0,"",INDEX('Smelter Look-up'!$C:$C,MATCH($A483,'Smelter Look-up'!$E:$E,0)))</f>
        <v>TANIOBIS GmbH</v>
      </c>
      <c r="D483" s="170"/>
      <c r="E483" s="168" t="str">
        <f ca="1">IF(ISERROR($V483),"",OFFSET('Smelter Look-up'!$D$4,$V483-4,0)&amp;"")</f>
        <v>GERMANY</v>
      </c>
      <c r="F483" s="168" t="str">
        <f ca="1">IF(ISERROR($V483),"",OFFSET('Smelter Look-up'!$E$4,$V483-4,0))</f>
        <v>CID002545</v>
      </c>
      <c r="G483" s="168" t="str">
        <f ca="1">IF(C483=$X$4,IF(ISERROR($V483),"Enter smelter details","RMI"),IF(ISERROR($V483),"",OFFSET('Smelter Look-up'!$F$4,$V483-4,0)))</f>
        <v>RMI</v>
      </c>
      <c r="H483" s="171">
        <f ca="1">IF(ISERROR($V483),"",OFFSET('Smelter Look-up'!$G$4,$V483-4,0))</f>
        <v>0</v>
      </c>
      <c r="I483" s="172" t="str">
        <f ca="1">IF(ISERROR($V483),"",OFFSET('Smelter Look-up'!$H$4,$V483-4,0))</f>
        <v>Goslar</v>
      </c>
      <c r="J483" s="172" t="str">
        <f ca="1">IF(ISERROR($V483),"",OFFSET('Smelter Look-up'!$I$4,$V483-4,0))</f>
        <v>Niedersachsen</v>
      </c>
      <c r="K483" s="173"/>
      <c r="L483" s="173"/>
      <c r="M483" s="173"/>
      <c r="N483" s="173"/>
      <c r="O483" s="173"/>
      <c r="P483" s="174"/>
      <c r="Q483" s="175"/>
      <c r="R483" s="168" t="str">
        <f ca="1">IF(ISERROR($V483),"",OFFSET('Smelter Look-up'!$C$4,$V483-4,0)&amp;"")</f>
        <v>TANIOBIS GmbH</v>
      </c>
      <c r="S483" s="167" t="str">
        <f t="shared" ca="1" si="66"/>
        <v>DE</v>
      </c>
      <c r="T483" s="167" t="str">
        <f ca="1">IF(B483="","",IF(ISERROR(MATCH($J483,SorP!$B$1:$B$6230,0)),"",INDIRECT("'SorP'!$A$"&amp;MATCH($J483,SorP!$B$1:$B$6230,0))))</f>
        <v>DE-NI</v>
      </c>
      <c r="U483" s="176"/>
      <c r="V483" s="177">
        <f ca="1">IF(C483="",NA(),IF(OR(C483="Smelter not listed",C483="Smelter not yet identified"),MATCH($B483&amp;$D483,'Smelter Look-up'!$J:$J,0),MATCH($B483&amp;$C483,'Smelter Look-up'!$J:$J,0)))</f>
        <v>375</v>
      </c>
      <c r="X483" s="140">
        <f t="shared" ca="1" si="67"/>
        <v>0</v>
      </c>
      <c r="AB483" s="178" t="str">
        <f t="shared" ca="1" si="68"/>
        <v>TantalumTANIOBIS GmbH</v>
      </c>
    </row>
    <row r="484" spans="1:28" s="140" customFormat="1" ht="76.5">
      <c r="A484" s="167" t="s">
        <v>1211</v>
      </c>
      <c r="B484" s="168" t="str">
        <f ca="1">IF(LEN(A484)=0,"",INDEX('Smelter Look-up'!$A:$A,MATCH($A484,'Smelter Look-up'!$E:$E,0)))</f>
        <v>Tantalum</v>
      </c>
      <c r="C484" s="169" t="str">
        <f ca="1">IF(LEN(A484)=0,"",INDEX('Smelter Look-up'!$C:$C,MATCH($A484,'Smelter Look-up'!$E:$E,0)))</f>
        <v>TANIOBIS Japan Co., Ltd.</v>
      </c>
      <c r="D484" s="170"/>
      <c r="E484" s="168" t="str">
        <f ca="1">IF(ISERROR($V484),"",OFFSET('Smelter Look-up'!$D$4,$V484-4,0)&amp;"")</f>
        <v>JAPAN</v>
      </c>
      <c r="F484" s="168" t="str">
        <f ca="1">IF(ISERROR($V484),"",OFFSET('Smelter Look-up'!$E$4,$V484-4,0))</f>
        <v>CID002549</v>
      </c>
      <c r="G484" s="168" t="str">
        <f ca="1">IF(C484=$X$4,IF(ISERROR($V484),"Enter smelter details","RMI"),IF(ISERROR($V484),"",OFFSET('Smelter Look-up'!$F$4,$V484-4,0)))</f>
        <v>RMI</v>
      </c>
      <c r="H484" s="171">
        <f ca="1">IF(ISERROR($V484),"",OFFSET('Smelter Look-up'!$G$4,$V484-4,0))</f>
        <v>0</v>
      </c>
      <c r="I484" s="172" t="str">
        <f ca="1">IF(ISERROR($V484),"",OFFSET('Smelter Look-up'!$H$4,$V484-4,0))</f>
        <v>Mito</v>
      </c>
      <c r="J484" s="172" t="str">
        <f ca="1">IF(ISERROR($V484),"",OFFSET('Smelter Look-up'!$I$4,$V484-4,0))</f>
        <v>Ibaraki</v>
      </c>
      <c r="K484" s="173"/>
      <c r="L484" s="173"/>
      <c r="M484" s="173"/>
      <c r="N484" s="173"/>
      <c r="O484" s="173"/>
      <c r="P484" s="174"/>
      <c r="Q484" s="175"/>
      <c r="R484" s="168" t="str">
        <f ca="1">IF(ISERROR($V484),"",OFFSET('Smelter Look-up'!$C$4,$V484-4,0)&amp;"")</f>
        <v>TANIOBIS Japan Co., Ltd.</v>
      </c>
      <c r="S484" s="167" t="str">
        <f t="shared" ca="1" si="66"/>
        <v>JP</v>
      </c>
      <c r="T484" s="167" t="str">
        <f ca="1">IF(B484="","",IF(ISERROR(MATCH($J484,SorP!$B$1:$B$6230,0)),"",INDIRECT("'SorP'!$A$"&amp;MATCH($J484,SorP!$B$1:$B$6230,0))))</f>
        <v>JP-08</v>
      </c>
      <c r="U484" s="176"/>
      <c r="V484" s="177">
        <f ca="1">IF(C484="",NA(),IF(OR(C484="Smelter not listed",C484="Smelter not yet identified"),MATCH($B484&amp;$D484,'Smelter Look-up'!$J:$J,0),MATCH($B484&amp;$C484,'Smelter Look-up'!$J:$J,0)))</f>
        <v>376</v>
      </c>
      <c r="X484" s="140">
        <f t="shared" ca="1" si="67"/>
        <v>0</v>
      </c>
      <c r="AB484" s="178" t="str">
        <f t="shared" ca="1" si="68"/>
        <v>TantalumTANIOBIS Japan Co., Ltd.</v>
      </c>
    </row>
    <row r="485" spans="1:28" s="140" customFormat="1" ht="89.25">
      <c r="A485" s="167" t="s">
        <v>2724</v>
      </c>
      <c r="B485" s="168" t="str">
        <f ca="1">IF(LEN(A485)=0,"",INDEX('Smelter Look-up'!$A:$A,MATCH($A485,'Smelter Look-up'!$E:$E,0)))</f>
        <v>Tantalum</v>
      </c>
      <c r="C485" s="169" t="str">
        <f ca="1">IF(LEN(A485)=0,"",INDEX('Smelter Look-up'!$C:$C,MATCH($A485,'Smelter Look-up'!$E:$E,0)))</f>
        <v>XIMEI RESOURCES (GUANGDONG) LIMITED</v>
      </c>
      <c r="D485" s="170"/>
      <c r="E485" s="168" t="str">
        <f ca="1">IF(ISERROR($V485),"",OFFSET('Smelter Look-up'!$D$4,$V485-4,0)&amp;"")</f>
        <v>CHINA</v>
      </c>
      <c r="F485" s="168" t="str">
        <f ca="1">IF(ISERROR($V485),"",OFFSET('Smelter Look-up'!$E$4,$V485-4,0))</f>
        <v>CID000616</v>
      </c>
      <c r="G485" s="168" t="str">
        <f ca="1">IF(C485=$X$4,IF(ISERROR($V485),"Enter smelter details","RMI"),IF(ISERROR($V485),"",OFFSET('Smelter Look-up'!$F$4,$V485-4,0)))</f>
        <v>RMI</v>
      </c>
      <c r="H485" s="171">
        <f ca="1">IF(ISERROR($V485),"",OFFSET('Smelter Look-up'!$G$4,$V485-4,0))</f>
        <v>0</v>
      </c>
      <c r="I485" s="172" t="str">
        <f ca="1">IF(ISERROR($V485),"",OFFSET('Smelter Look-up'!$H$4,$V485-4,0))</f>
        <v>Yingde</v>
      </c>
      <c r="J485" s="172" t="str">
        <f ca="1">IF(ISERROR($V485),"",OFFSET('Smelter Look-up'!$I$4,$V485-4,0))</f>
        <v>Guangdong Sheng</v>
      </c>
      <c r="K485" s="173"/>
      <c r="L485" s="173"/>
      <c r="M485" s="173"/>
      <c r="N485" s="173"/>
      <c r="O485" s="173"/>
      <c r="P485" s="174"/>
      <c r="Q485" s="175"/>
      <c r="R485" s="168" t="str">
        <f ca="1">IF(ISERROR($V485),"",OFFSET('Smelter Look-up'!$C$4,$V485-4,0)&amp;"")</f>
        <v>XIMEI RESOURCES (GUANGDONG) LIMITED</v>
      </c>
      <c r="S485" s="167" t="str">
        <f t="shared" ca="1" si="66"/>
        <v>CN</v>
      </c>
      <c r="T485" s="167" t="str">
        <f ca="1">IF(B485="","",IF(ISERROR(MATCH($J485,SorP!$B$1:$B$6230,0)),"",INDIRECT("'SorP'!$A$"&amp;MATCH($J485,SorP!$B$1:$B$6230,0))))</f>
        <v>CN-GD</v>
      </c>
      <c r="U485" s="176"/>
      <c r="V485" s="177">
        <f ca="1">IF(C485="",NA(),IF(OR(C485="Smelter not listed",C485="Smelter not yet identified"),MATCH($B485&amp;$D485,'Smelter Look-up'!$J:$J,0),MATCH($B485&amp;$C485,'Smelter Look-up'!$J:$J,0)))</f>
        <v>381</v>
      </c>
      <c r="X485" s="140">
        <f t="shared" ca="1" si="67"/>
        <v>0</v>
      </c>
      <c r="AB485" s="178" t="str">
        <f t="shared" ca="1" si="68"/>
        <v>TantalumXIMEI RESOURCES (GUANGDONG) LIMITED</v>
      </c>
    </row>
    <row r="486" spans="1:28" s="140" customFormat="1" ht="127.5">
      <c r="A486" s="167" t="s">
        <v>1021</v>
      </c>
      <c r="B486" s="168" t="str">
        <f ca="1">IF(LEN(A486)=0,"",INDEX('Smelter Look-up'!$A:$A,MATCH($A486,'Smelter Look-up'!$E:$E,0)))</f>
        <v>Tantalum</v>
      </c>
      <c r="C486" s="169" t="str">
        <f ca="1">IF(LEN(A486)=0,"",INDEX('Smelter Look-up'!$C:$C,MATCH($A486,'Smelter Look-up'!$E:$E,0)))</f>
        <v>Yanling Jincheng Tantalum &amp; Niobium Co., Ltd.</v>
      </c>
      <c r="D486" s="170"/>
      <c r="E486" s="168" t="str">
        <f ca="1">IF(ISERROR($V486),"",OFFSET('Smelter Look-up'!$D$4,$V486-4,0)&amp;"")</f>
        <v>CHINA</v>
      </c>
      <c r="F486" s="168" t="str">
        <f ca="1">IF(ISERROR($V486),"",OFFSET('Smelter Look-up'!$E$4,$V486-4,0))</f>
        <v>CID001522</v>
      </c>
      <c r="G486" s="168" t="str">
        <f ca="1">IF(C486=$X$4,IF(ISERROR($V486),"Enter smelter details","RMI"),IF(ISERROR($V486),"",OFFSET('Smelter Look-up'!$F$4,$V486-4,0)))</f>
        <v>RMI</v>
      </c>
      <c r="H486" s="171">
        <f ca="1">IF(ISERROR($V486),"",OFFSET('Smelter Look-up'!$G$4,$V486-4,0))</f>
        <v>0</v>
      </c>
      <c r="I486" s="172" t="str">
        <f ca="1">IF(ISERROR($V486),"",OFFSET('Smelter Look-up'!$H$4,$V486-4,0))</f>
        <v>Zhuzhou</v>
      </c>
      <c r="J486" s="172" t="str">
        <f ca="1">IF(ISERROR($V486),"",OFFSET('Smelter Look-up'!$I$4,$V486-4,0))</f>
        <v>Hunan Sheng</v>
      </c>
      <c r="K486" s="173"/>
      <c r="L486" s="173"/>
      <c r="M486" s="173"/>
      <c r="N486" s="173"/>
      <c r="O486" s="173"/>
      <c r="P486" s="174"/>
      <c r="Q486" s="175"/>
      <c r="R486" s="168" t="str">
        <f ca="1">IF(ISERROR($V486),"",OFFSET('Smelter Look-up'!$C$4,$V486-4,0)&amp;"")</f>
        <v>Yanling Jincheng Tantalum &amp; Niobium Co., Ltd.</v>
      </c>
      <c r="S486" s="167" t="str">
        <f t="shared" ca="1" si="66"/>
        <v>CN</v>
      </c>
      <c r="T486" s="167" t="str">
        <f ca="1">IF(B486="","",IF(ISERROR(MATCH($J486,SorP!$B$1:$B$6230,0)),"",INDIRECT("'SorP'!$A$"&amp;MATCH($J486,SorP!$B$1:$B$6230,0))))</f>
        <v>CN-HN</v>
      </c>
      <c r="U486" s="176"/>
      <c r="V486" s="177">
        <f ca="1">IF(C486="",NA(),IF(OR(C486="Smelter not listed",C486="Smelter not yet identified"),MATCH($B486&amp;$D486,'Smelter Look-up'!$J:$J,0),MATCH($B486&amp;$C486,'Smelter Look-up'!$J:$J,0)))</f>
        <v>384</v>
      </c>
      <c r="X486" s="140">
        <f t="shared" ca="1" si="67"/>
        <v>0</v>
      </c>
      <c r="AB486" s="178" t="str">
        <f t="shared" ca="1" si="68"/>
        <v>TantalumYanling Jincheng Tantalum &amp; Niobium Co., Ltd.</v>
      </c>
    </row>
    <row r="487" spans="1:28" s="140" customFormat="1" ht="51">
      <c r="A487" s="167" t="s">
        <v>2471</v>
      </c>
      <c r="B487" s="168" t="str">
        <f ca="1">IF(LEN(A487)=0,"",INDEX('Smelter Look-up'!$A:$A,MATCH($A487,'Smelter Look-up'!$E:$E,0)))</f>
        <v>Tin</v>
      </c>
      <c r="C487" s="169" t="str">
        <f ca="1">IF(LEN(A487)=0,"",INDEX('Smelter Look-up'!$C:$C,MATCH($A487,'Smelter Look-up'!$E:$E,0)))</f>
        <v>PT Prima Timah Utama</v>
      </c>
      <c r="D487" s="170"/>
      <c r="E487" s="168" t="str">
        <f ca="1">IF(ISERROR($V487),"",OFFSET('Smelter Look-up'!$D$4,$V487-4,0)&amp;"")</f>
        <v>INDONESIA</v>
      </c>
      <c r="F487" s="168" t="str">
        <f ca="1">IF(ISERROR($V487),"",OFFSET('Smelter Look-up'!$E$4,$V487-4,0))</f>
        <v>CID001458</v>
      </c>
      <c r="G487" s="168" t="str">
        <f ca="1">IF(C487=$X$4,IF(ISERROR($V487),"Enter smelter details","RMI"),IF(ISERROR($V487),"",OFFSET('Smelter Look-up'!$F$4,$V487-4,0)))</f>
        <v>RMI</v>
      </c>
      <c r="H487" s="171">
        <f ca="1">IF(ISERROR($V487),"",OFFSET('Smelter Look-up'!$G$4,$V487-4,0))</f>
        <v>0</v>
      </c>
      <c r="I487" s="172" t="str">
        <f ca="1">IF(ISERROR($V487),"",OFFSET('Smelter Look-up'!$H$4,$V487-4,0))</f>
        <v>Pangkal Pinang</v>
      </c>
      <c r="J487" s="172" t="str">
        <f ca="1">IF(ISERROR($V487),"",OFFSET('Smelter Look-up'!$I$4,$V487-4,0))</f>
        <v>Kepulauan Bangka Belitung</v>
      </c>
      <c r="K487" s="173"/>
      <c r="L487" s="173"/>
      <c r="M487" s="173"/>
      <c r="N487" s="173"/>
      <c r="O487" s="173"/>
      <c r="P487" s="174"/>
      <c r="Q487" s="175"/>
      <c r="R487" s="168" t="str">
        <f ca="1">IF(ISERROR($V487),"",OFFSET('Smelter Look-up'!$C$4,$V487-4,0)&amp;"")</f>
        <v>PT Prima Timah Utama</v>
      </c>
      <c r="S487" s="167" t="str">
        <f t="shared" ref="S487:S502" ca="1" si="69">IF(B487="","",IF(ISERROR(MATCH($E487,CL,0)),"Unknown",INDIRECT("'C'!$A$"&amp;MATCH($E487,CL,0)+1)))</f>
        <v>ID</v>
      </c>
      <c r="T487" s="167" t="str">
        <f ca="1">IF(B487="","",IF(ISERROR(MATCH($J487,SorP!$B$1:$B$6230,0)),"",INDIRECT("'SorP'!$A$"&amp;MATCH($J487,SorP!$B$1:$B$6230,0))))</f>
        <v>ID-BB</v>
      </c>
      <c r="U487" s="176"/>
      <c r="V487" s="177">
        <f ca="1">IF(C487="",NA(),IF(OR(C487="Smelter not listed",C487="Smelter not yet identified"),MATCH($B487&amp;$D487,'Smelter Look-up'!$J:$J,0),MATCH($B487&amp;$C487,'Smelter Look-up'!$J:$J,0)))</f>
        <v>499</v>
      </c>
      <c r="X487" s="140">
        <f t="shared" ref="X487:X502" ca="1" si="70">IF(AND(C487="Smelter not listed",OR(LEN(D487)=0,LEN(E487)=0)),1,0)</f>
        <v>0</v>
      </c>
      <c r="AB487" s="178" t="str">
        <f t="shared" ref="AB487:AB502" ca="1" si="71">B487&amp;C487</f>
        <v>TinPT Prima Timah Utama</v>
      </c>
    </row>
    <row r="488" spans="1:28" s="140" customFormat="1" ht="38.25">
      <c r="A488" s="167" t="s">
        <v>3084</v>
      </c>
      <c r="B488" s="168" t="str">
        <f ca="1">IF(LEN(A488)=0,"",INDEX('Smelter Look-up'!$A:$A,MATCH($A488,'Smelter Look-up'!$E:$E,0)))</f>
        <v>Tin</v>
      </c>
      <c r="C488" s="169" t="str">
        <f ca="1">IF(LEN(A488)=0,"",INDEX('Smelter Look-up'!$C:$C,MATCH($A488,'Smelter Look-up'!$E:$E,0)))</f>
        <v>EM Vinto</v>
      </c>
      <c r="D488" s="170"/>
      <c r="E488" s="168" t="str">
        <f ca="1">IF(ISERROR($V488),"",OFFSET('Smelter Look-up'!$D$4,$V488-4,0)&amp;"")</f>
        <v>BOLIVIA (PLURINATIONAL STATE OF)</v>
      </c>
      <c r="F488" s="168" t="str">
        <f ca="1">IF(ISERROR($V488),"",OFFSET('Smelter Look-up'!$E$4,$V488-4,0))</f>
        <v>CID000438</v>
      </c>
      <c r="G488" s="168" t="str">
        <f ca="1">IF(C488=$X$4,IF(ISERROR($V488),"Enter smelter details","RMI"),IF(ISERROR($V488),"",OFFSET('Smelter Look-up'!$F$4,$V488-4,0)))</f>
        <v>RMI</v>
      </c>
      <c r="H488" s="171">
        <f ca="1">IF(ISERROR($V488),"",OFFSET('Smelter Look-up'!$G$4,$V488-4,0))</f>
        <v>0</v>
      </c>
      <c r="I488" s="172" t="str">
        <f ca="1">IF(ISERROR($V488),"",OFFSET('Smelter Look-up'!$H$4,$V488-4,0))</f>
        <v>Oruro</v>
      </c>
      <c r="J488" s="172" t="str">
        <f ca="1">IF(ISERROR($V488),"",OFFSET('Smelter Look-up'!$I$4,$V488-4,0))</f>
        <v>Oruro</v>
      </c>
      <c r="K488" s="173"/>
      <c r="L488" s="173"/>
      <c r="M488" s="173"/>
      <c r="N488" s="173"/>
      <c r="O488" s="173"/>
      <c r="P488" s="174"/>
      <c r="Q488" s="175"/>
      <c r="R488" s="168" t="str">
        <f ca="1">IF(ISERROR($V488),"",OFFSET('Smelter Look-up'!$C$4,$V488-4,0)&amp;"")</f>
        <v>EM Vinto</v>
      </c>
      <c r="S488" s="167" t="str">
        <f t="shared" ca="1" si="69"/>
        <v>BO</v>
      </c>
      <c r="T488" s="167" t="str">
        <f ca="1">IF(B488="","",IF(ISERROR(MATCH($J488,SorP!$B$1:$B$6230,0)),"",INDIRECT("'SorP'!$A$"&amp;MATCH($J488,SorP!$B$1:$B$6230,0))))</f>
        <v>BO-O</v>
      </c>
      <c r="U488" s="176"/>
      <c r="V488" s="177">
        <f ca="1">IF(C488="",NA(),IF(OR(C488="Smelter not listed",C488="Smelter not yet identified"),MATCH($B488&amp;$D488,'Smelter Look-up'!$J:$J,0),MATCH($B488&amp;$C488,'Smelter Look-up'!$J:$J,0)))</f>
        <v>418</v>
      </c>
      <c r="X488" s="140">
        <f t="shared" ca="1" si="70"/>
        <v>0</v>
      </c>
      <c r="AB488" s="178" t="str">
        <f t="shared" ca="1" si="71"/>
        <v>TinEM Vinto</v>
      </c>
    </row>
    <row r="489" spans="1:28" s="140" customFormat="1" ht="25.5">
      <c r="A489" s="167" t="s">
        <v>2044</v>
      </c>
      <c r="B489" s="168" t="str">
        <f ca="1">IF(LEN(A489)=0,"",INDEX('Smelter Look-up'!$A:$A,MATCH($A489,'Smelter Look-up'!$E:$E,0)))</f>
        <v>Tin</v>
      </c>
      <c r="C489" s="169" t="str">
        <f ca="1">IF(LEN(A489)=0,"",INDEX('Smelter Look-up'!$C:$C,MATCH($A489,'Smelter Look-up'!$E:$E,0)))</f>
        <v>Fenix Metals</v>
      </c>
      <c r="D489" s="170"/>
      <c r="E489" s="168" t="str">
        <f ca="1">IF(ISERROR($V489),"",OFFSET('Smelter Look-up'!$D$4,$V489-4,0)&amp;"")</f>
        <v>POLAND</v>
      </c>
      <c r="F489" s="168" t="str">
        <f ca="1">IF(ISERROR($V489),"",OFFSET('Smelter Look-up'!$E$4,$V489-4,0))</f>
        <v>CID000468</v>
      </c>
      <c r="G489" s="168" t="str">
        <f ca="1">IF(C489=$X$4,IF(ISERROR($V489),"Enter smelter details","RMI"),IF(ISERROR($V489),"",OFFSET('Smelter Look-up'!$F$4,$V489-4,0)))</f>
        <v>RMI</v>
      </c>
      <c r="H489" s="171">
        <f ca="1">IF(ISERROR($V489),"",OFFSET('Smelter Look-up'!$G$4,$V489-4,0))</f>
        <v>0</v>
      </c>
      <c r="I489" s="172" t="str">
        <f ca="1">IF(ISERROR($V489),"",OFFSET('Smelter Look-up'!$H$4,$V489-4,0))</f>
        <v>Chmielów</v>
      </c>
      <c r="J489" s="172" t="str">
        <f ca="1">IF(ISERROR($V489),"",OFFSET('Smelter Look-up'!$I$4,$V489-4,0))</f>
        <v>Podkarpackie</v>
      </c>
      <c r="K489" s="173"/>
      <c r="L489" s="173"/>
      <c r="M489" s="173"/>
      <c r="N489" s="173"/>
      <c r="O489" s="173"/>
      <c r="P489" s="174"/>
      <c r="Q489" s="175"/>
      <c r="R489" s="168" t="str">
        <f ca="1">IF(ISERROR($V489),"",OFFSET('Smelter Look-up'!$C$4,$V489-4,0)&amp;"")</f>
        <v>Fenix Metals</v>
      </c>
      <c r="S489" s="167" t="str">
        <f t="shared" ca="1" si="69"/>
        <v>PL</v>
      </c>
      <c r="T489" s="167" t="str">
        <f ca="1">IF(B489="","",IF(ISERROR(MATCH($J489,SorP!$B$1:$B$6230,0)),"",INDIRECT("'SorP'!$A$"&amp;MATCH($J489,SorP!$B$1:$B$6230,0))))</f>
        <v>PL-18</v>
      </c>
      <c r="U489" s="176"/>
      <c r="V489" s="177">
        <f ca="1">IF(C489="",NA(),IF(OR(C489="Smelter not listed",C489="Smelter not yet identified"),MATCH($B489&amp;$D489,'Smelter Look-up'!$J:$J,0),MATCH($B489&amp;$C489,'Smelter Look-up'!$J:$J,0)))</f>
        <v>427</v>
      </c>
      <c r="X489" s="140">
        <f t="shared" ca="1" si="70"/>
        <v>0</v>
      </c>
      <c r="AB489" s="178" t="str">
        <f t="shared" ca="1" si="71"/>
        <v>TinFenix Metals</v>
      </c>
    </row>
    <row r="490" spans="1:28" s="140" customFormat="1" ht="63.75">
      <c r="A490" s="167" t="s">
        <v>2759</v>
      </c>
      <c r="B490" s="168" t="str">
        <f ca="1">IF(LEN(A490)=0,"",INDEX('Smelter Look-up'!$A:$A,MATCH($A490,'Smelter Look-up'!$E:$E,0)))</f>
        <v>Tin</v>
      </c>
      <c r="C490" s="169" t="str">
        <f ca="1">IF(LEN(A490)=0,"",INDEX('Smelter Look-up'!$C:$C,MATCH($A490,'Smelter Look-up'!$E:$E,0)))</f>
        <v>Jiangxi New Nanshan Technology Ltd.</v>
      </c>
      <c r="D490" s="170"/>
      <c r="E490" s="168" t="str">
        <f ca="1">IF(ISERROR($V490),"",OFFSET('Smelter Look-up'!$D$4,$V490-4,0)&amp;"")</f>
        <v>CHINA</v>
      </c>
      <c r="F490" s="168" t="str">
        <f ca="1">IF(ISERROR($V490),"",OFFSET('Smelter Look-up'!$E$4,$V490-4,0))</f>
        <v>CID001231</v>
      </c>
      <c r="G490" s="168" t="str">
        <f ca="1">IF(C490=$X$4,IF(ISERROR($V490),"Enter smelter details","RMI"),IF(ISERROR($V490),"",OFFSET('Smelter Look-up'!$F$4,$V490-4,0)))</f>
        <v>RMI</v>
      </c>
      <c r="H490" s="171">
        <f ca="1">IF(ISERROR($V490),"",OFFSET('Smelter Look-up'!$G$4,$V490-4,0))</f>
        <v>0</v>
      </c>
      <c r="I490" s="172" t="str">
        <f ca="1">IF(ISERROR($V490),"",OFFSET('Smelter Look-up'!$H$4,$V490-4,0))</f>
        <v>Ganzhou</v>
      </c>
      <c r="J490" s="172" t="str">
        <f ca="1">IF(ISERROR($V490),"",OFFSET('Smelter Look-up'!$I$4,$V490-4,0))</f>
        <v>Jiangxi Sheng</v>
      </c>
      <c r="K490" s="173"/>
      <c r="L490" s="173"/>
      <c r="M490" s="173"/>
      <c r="N490" s="173"/>
      <c r="O490" s="173"/>
      <c r="P490" s="174"/>
      <c r="Q490" s="175"/>
      <c r="R490" s="168" t="str">
        <f ca="1">IF(ISERROR($V490),"",OFFSET('Smelter Look-up'!$C$4,$V490-4,0)&amp;"")</f>
        <v>Jiangxi New Nanshan Technology Ltd.</v>
      </c>
      <c r="S490" s="167" t="str">
        <f t="shared" ca="1" si="69"/>
        <v>CN</v>
      </c>
      <c r="T490" s="167" t="str">
        <f ca="1">IF(B490="","",IF(ISERROR(MATCH($J490,SorP!$B$1:$B$6230,0)),"",INDIRECT("'SorP'!$A$"&amp;MATCH($J490,SorP!$B$1:$B$6230,0))))</f>
        <v>CN-JX</v>
      </c>
      <c r="U490" s="176"/>
      <c r="V490" s="177">
        <f ca="1">IF(C490="",NA(),IF(OR(C490="Smelter not listed",C490="Smelter not yet identified"),MATCH($B490&amp;$D490,'Smelter Look-up'!$J:$J,0),MATCH($B490&amp;$C490,'Smelter Look-up'!$J:$J,0)))</f>
        <v>448</v>
      </c>
      <c r="X490" s="140">
        <f t="shared" ca="1" si="70"/>
        <v>0</v>
      </c>
      <c r="AB490" s="178" t="str">
        <f t="shared" ca="1" si="71"/>
        <v>TinJiangxi New Nanshan Technology Ltd.</v>
      </c>
    </row>
    <row r="491" spans="1:28" s="140" customFormat="1" ht="89.25">
      <c r="A491" s="167" t="s">
        <v>3088</v>
      </c>
      <c r="B491" s="168" t="str">
        <f ca="1">IF(LEN(A491)=0,"",INDEX('Smelter Look-up'!$A:$A,MATCH($A491,'Smelter Look-up'!$E:$E,0)))</f>
        <v>Tin</v>
      </c>
      <c r="C491" s="169" t="str">
        <f ca="1">IF(LEN(A491)=0,"",INDEX('Smelter Look-up'!$C:$C,MATCH($A491,'Smelter Look-up'!$E:$E,0)))</f>
        <v>Gejiu Kai Meng Industry and Trade LLC</v>
      </c>
      <c r="D491" s="170"/>
      <c r="E491" s="168" t="str">
        <f ca="1">IF(ISERROR($V491),"",OFFSET('Smelter Look-up'!$D$4,$V491-4,0)&amp;"")</f>
        <v>CHINA</v>
      </c>
      <c r="F491" s="168" t="str">
        <f ca="1">IF(ISERROR($V491),"",OFFSET('Smelter Look-up'!$E$4,$V491-4,0))</f>
        <v>CID000942</v>
      </c>
      <c r="G491" s="168" t="str">
        <f ca="1">IF(C491=$X$4,IF(ISERROR($V491),"Enter smelter details","RMI"),IF(ISERROR($V491),"",OFFSET('Smelter Look-up'!$F$4,$V491-4,0)))</f>
        <v>RMI</v>
      </c>
      <c r="H491" s="171">
        <f ca="1">IF(ISERROR($V491),"",OFFSET('Smelter Look-up'!$G$4,$V491-4,0))</f>
        <v>0</v>
      </c>
      <c r="I491" s="172" t="str">
        <f ca="1">IF(ISERROR($V491),"",OFFSET('Smelter Look-up'!$H$4,$V491-4,0))</f>
        <v>Gejiu</v>
      </c>
      <c r="J491" s="172" t="str">
        <f ca="1">IF(ISERROR($V491),"",OFFSET('Smelter Look-up'!$I$4,$V491-4,0))</f>
        <v>Yunnan Sheng</v>
      </c>
      <c r="K491" s="173"/>
      <c r="L491" s="173"/>
      <c r="M491" s="173"/>
      <c r="N491" s="173"/>
      <c r="O491" s="173"/>
      <c r="P491" s="174"/>
      <c r="Q491" s="175"/>
      <c r="R491" s="168" t="str">
        <f ca="1">IF(ISERROR($V491),"",OFFSET('Smelter Look-up'!$C$4,$V491-4,0)&amp;"")</f>
        <v>Gejiu Kai Meng Industry and Trade LLC</v>
      </c>
      <c r="S491" s="167" t="str">
        <f t="shared" ca="1" si="69"/>
        <v>CN</v>
      </c>
      <c r="T491" s="167" t="str">
        <f ca="1">IF(B491="","",IF(ISERROR(MATCH($J491,SorP!$B$1:$B$6230,0)),"",INDIRECT("'SorP'!$A$"&amp;MATCH($J491,SorP!$B$1:$B$6230,0))))</f>
        <v>CN-YN</v>
      </c>
      <c r="U491" s="176"/>
      <c r="V491" s="177">
        <f ca="1">IF(C491="",NA(),IF(OR(C491="Smelter not listed",C491="Smelter not yet identified"),MATCH($B491&amp;$D491,'Smelter Look-up'!$J:$J,0),MATCH($B491&amp;$C491,'Smelter Look-up'!$J:$J,0)))</f>
        <v>432</v>
      </c>
      <c r="X491" s="140">
        <f t="shared" ca="1" si="70"/>
        <v>0</v>
      </c>
      <c r="AB491" s="178" t="str">
        <f t="shared" ca="1" si="71"/>
        <v>TinGejiu Kai Meng Industry and Trade LLC</v>
      </c>
    </row>
    <row r="492" spans="1:28" s="140" customFormat="1" ht="76.5">
      <c r="A492" s="167" t="s">
        <v>2274</v>
      </c>
      <c r="B492" s="168" t="str">
        <f ca="1">IF(LEN(A492)=0,"",INDEX('Smelter Look-up'!$A:$A,MATCH($A492,'Smelter Look-up'!$E:$E,0)))</f>
        <v>Tin</v>
      </c>
      <c r="C492" s="169" t="str">
        <f ca="1">IF(LEN(A492)=0,"",INDEX('Smelter Look-up'!$C:$C,MATCH($A492,'Smelter Look-up'!$E:$E,0)))</f>
        <v>Malaysia Smelting Corporation (MSC)</v>
      </c>
      <c r="D492" s="170"/>
      <c r="E492" s="168" t="str">
        <f ca="1">IF(ISERROR($V492),"",OFFSET('Smelter Look-up'!$D$4,$V492-4,0)&amp;"")</f>
        <v>MALAYSIA</v>
      </c>
      <c r="F492" s="168" t="str">
        <f ca="1">IF(ISERROR($V492),"",OFFSET('Smelter Look-up'!$E$4,$V492-4,0))</f>
        <v>CID001105</v>
      </c>
      <c r="G492" s="168" t="str">
        <f ca="1">IF(C492=$X$4,IF(ISERROR($V492),"Enter smelter details","RMI"),IF(ISERROR($V492),"",OFFSET('Smelter Look-up'!$F$4,$V492-4,0)))</f>
        <v>RMI</v>
      </c>
      <c r="H492" s="171">
        <f ca="1">IF(ISERROR($V492),"",OFFSET('Smelter Look-up'!$G$4,$V492-4,0))</f>
        <v>0</v>
      </c>
      <c r="I492" s="172" t="str">
        <f ca="1">IF(ISERROR($V492),"",OFFSET('Smelter Look-up'!$H$4,$V492-4,0))</f>
        <v>Butterworth</v>
      </c>
      <c r="J492" s="172" t="str">
        <f ca="1">IF(ISERROR($V492),"",OFFSET('Smelter Look-up'!$I$4,$V492-4,0))</f>
        <v>Pulau Pinang</v>
      </c>
      <c r="K492" s="173"/>
      <c r="L492" s="173"/>
      <c r="M492" s="173"/>
      <c r="N492" s="173"/>
      <c r="O492" s="173"/>
      <c r="P492" s="174"/>
      <c r="Q492" s="175"/>
      <c r="R492" s="168" t="str">
        <f ca="1">IF(ISERROR($V492),"",OFFSET('Smelter Look-up'!$C$4,$V492-4,0)&amp;"")</f>
        <v>Malaysia Smelting Corporation (MSC)</v>
      </c>
      <c r="S492" s="167" t="str">
        <f t="shared" ca="1" si="69"/>
        <v>MY</v>
      </c>
      <c r="T492" s="167" t="str">
        <f ca="1">IF(B492="","",IF(ISERROR(MATCH($J492,SorP!$B$1:$B$6230,0)),"",INDIRECT("'SorP'!$A$"&amp;MATCH($J492,SorP!$B$1:$B$6230,0))))</f>
        <v>MY-07</v>
      </c>
      <c r="U492" s="176"/>
      <c r="V492" s="177">
        <f ca="1">IF(C492="",NA(),IF(OR(C492="Smelter not listed",C492="Smelter not yet identified"),MATCH($B492&amp;$D492,'Smelter Look-up'!$J:$J,0),MATCH($B492&amp;$C492,'Smelter Look-up'!$J:$J,0)))</f>
        <v>457</v>
      </c>
      <c r="X492" s="140">
        <f t="shared" ca="1" si="70"/>
        <v>0</v>
      </c>
      <c r="AB492" s="178" t="str">
        <f t="shared" ca="1" si="71"/>
        <v>TinMalaysia Smelting Corporation (MSC)</v>
      </c>
    </row>
    <row r="493" spans="1:28" s="140" customFormat="1" ht="51">
      <c r="A493" s="167" t="s">
        <v>2050</v>
      </c>
      <c r="B493" s="168" t="str">
        <f ca="1">IF(LEN(A493)=0,"",INDEX('Smelter Look-up'!$A:$A,MATCH($A493,'Smelter Look-up'!$E:$E,0)))</f>
        <v>Tin</v>
      </c>
      <c r="C493" s="169" t="str">
        <f ca="1">IF(LEN(A493)=0,"",INDEX('Smelter Look-up'!$C:$C,MATCH($A493,'Smelter Look-up'!$E:$E,0)))</f>
        <v>Mineracao Taboca S.A.</v>
      </c>
      <c r="D493" s="170"/>
      <c r="E493" s="168" t="str">
        <f ca="1">IF(ISERROR($V493),"",OFFSET('Smelter Look-up'!$D$4,$V493-4,0)&amp;"")</f>
        <v>BRAZIL</v>
      </c>
      <c r="F493" s="168" t="str">
        <f ca="1">IF(ISERROR($V493),"",OFFSET('Smelter Look-up'!$E$4,$V493-4,0))</f>
        <v>CID001173</v>
      </c>
      <c r="G493" s="168" t="str">
        <f ca="1">IF(C493=$X$4,IF(ISERROR($V493),"Enter smelter details","RMI"),IF(ISERROR($V493),"",OFFSET('Smelter Look-up'!$F$4,$V493-4,0)))</f>
        <v>RMI</v>
      </c>
      <c r="H493" s="171">
        <f ca="1">IF(ISERROR($V493),"",OFFSET('Smelter Look-up'!$G$4,$V493-4,0))</f>
        <v>0</v>
      </c>
      <c r="I493" s="172" t="str">
        <f ca="1">IF(ISERROR($V493),"",OFFSET('Smelter Look-up'!$H$4,$V493-4,0))</f>
        <v>Bairro Guarapiranga</v>
      </c>
      <c r="J493" s="172" t="str">
        <f ca="1">IF(ISERROR($V493),"",OFFSET('Smelter Look-up'!$I$4,$V493-4,0))</f>
        <v>São Paulo</v>
      </c>
      <c r="K493" s="173"/>
      <c r="L493" s="173"/>
      <c r="M493" s="173"/>
      <c r="N493" s="173"/>
      <c r="O493" s="173"/>
      <c r="P493" s="174"/>
      <c r="Q493" s="175"/>
      <c r="R493" s="168" t="str">
        <f ca="1">IF(ISERROR($V493),"",OFFSET('Smelter Look-up'!$C$4,$V493-4,0)&amp;"")</f>
        <v>Mineracao Taboca S.A.</v>
      </c>
      <c r="S493" s="167" t="str">
        <f t="shared" ca="1" si="69"/>
        <v>BR</v>
      </c>
      <c r="T493" s="167" t="str">
        <f ca="1">IF(B493="","",IF(ISERROR(MATCH($J493,SorP!$B$1:$B$6230,0)),"",INDIRECT("'SorP'!$A$"&amp;MATCH($J493,SorP!$B$1:$B$6230,0))))</f>
        <v>BR-SP</v>
      </c>
      <c r="U493" s="176"/>
      <c r="V493" s="177">
        <f ca="1">IF(C493="",NA(),IF(OR(C493="Smelter not listed",C493="Smelter not yet identified"),MATCH($B493&amp;$D493,'Smelter Look-up'!$J:$J,0),MATCH($B493&amp;$C493,'Smelter Look-up'!$J:$J,0)))</f>
        <v>464</v>
      </c>
      <c r="X493" s="140">
        <f t="shared" ca="1" si="70"/>
        <v>0</v>
      </c>
      <c r="AB493" s="178" t="str">
        <f t="shared" ca="1" si="71"/>
        <v>TinMineracao Taboca S.A.</v>
      </c>
    </row>
    <row r="494" spans="1:28" s="140" customFormat="1" ht="63.75">
      <c r="A494" s="167" t="s">
        <v>2454</v>
      </c>
      <c r="B494" s="168" t="str">
        <f ca="1">IF(LEN(A494)=0,"",INDEX('Smelter Look-up'!$A:$A,MATCH($A494,'Smelter Look-up'!$E:$E,0)))</f>
        <v>Tin</v>
      </c>
      <c r="C494" s="169" t="str">
        <f ca="1">IF(LEN(A494)=0,"",INDEX('Smelter Look-up'!$C:$C,MATCH($A494,'Smelter Look-up'!$E:$E,0)))</f>
        <v>Operaciones Metalurgicas S.A.</v>
      </c>
      <c r="D494" s="170"/>
      <c r="E494" s="168" t="str">
        <f ca="1">IF(ISERROR($V494),"",OFFSET('Smelter Look-up'!$D$4,$V494-4,0)&amp;"")</f>
        <v>BOLIVIA (PLURINATIONAL STATE OF)</v>
      </c>
      <c r="F494" s="168" t="str">
        <f ca="1">IF(ISERROR($V494),"",OFFSET('Smelter Look-up'!$E$4,$V494-4,0))</f>
        <v>CID001337</v>
      </c>
      <c r="G494" s="168" t="str">
        <f ca="1">IF(C494=$X$4,IF(ISERROR($V494),"Enter smelter details","RMI"),IF(ISERROR($V494),"",OFFSET('Smelter Look-up'!$F$4,$V494-4,0)))</f>
        <v>RMI</v>
      </c>
      <c r="H494" s="171">
        <f ca="1">IF(ISERROR($V494),"",OFFSET('Smelter Look-up'!$G$4,$V494-4,0))</f>
        <v>0</v>
      </c>
      <c r="I494" s="172" t="str">
        <f ca="1">IF(ISERROR($V494),"",OFFSET('Smelter Look-up'!$H$4,$V494-4,0))</f>
        <v>Oruro</v>
      </c>
      <c r="J494" s="172" t="str">
        <f ca="1">IF(ISERROR($V494),"",OFFSET('Smelter Look-up'!$I$4,$V494-4,0))</f>
        <v>Oruro</v>
      </c>
      <c r="K494" s="173"/>
      <c r="L494" s="173"/>
      <c r="M494" s="173"/>
      <c r="N494" s="173"/>
      <c r="O494" s="173"/>
      <c r="P494" s="174"/>
      <c r="Q494" s="175"/>
      <c r="R494" s="168" t="str">
        <f ca="1">IF(ISERROR($V494),"",OFFSET('Smelter Look-up'!$C$4,$V494-4,0)&amp;"")</f>
        <v>Operaciones Metalurgicas S.A.</v>
      </c>
      <c r="S494" s="167" t="str">
        <f t="shared" ca="1" si="69"/>
        <v>BO</v>
      </c>
      <c r="T494" s="167" t="str">
        <f ca="1">IF(B494="","",IF(ISERROR(MATCH($J494,SorP!$B$1:$B$6230,0)),"",INDIRECT("'SorP'!$A$"&amp;MATCH($J494,SorP!$B$1:$B$6230,0))))</f>
        <v>BO-O</v>
      </c>
      <c r="U494" s="176"/>
      <c r="V494" s="177">
        <f ca="1">IF(C494="",NA(),IF(OR(C494="Smelter not listed",C494="Smelter not yet identified"),MATCH($B494&amp;$D494,'Smelter Look-up'!$J:$J,0),MATCH($B494&amp;$C494,'Smelter Look-up'!$J:$J,0)))</f>
        <v>479</v>
      </c>
      <c r="X494" s="140">
        <f t="shared" ca="1" si="70"/>
        <v>0</v>
      </c>
      <c r="AB494" s="178" t="str">
        <f t="shared" ca="1" si="71"/>
        <v>TinOperaciones Metalurgicas S.A.</v>
      </c>
    </row>
    <row r="495" spans="1:28" s="140" customFormat="1" ht="409.5">
      <c r="A495" s="167" t="s">
        <v>2481</v>
      </c>
      <c r="B495" s="168" t="str">
        <f ca="1">IF(LEN(A495)=0,"",INDEX('Smelter Look-up'!$A:$A,MATCH($A495,'Smelter Look-up'!$E:$E,0)))</f>
        <v>Tin</v>
      </c>
      <c r="C495" s="169" t="str">
        <f ca="1">IF(LEN(A495)=0,"",INDEX('Smelter Look-up'!$C:$C,MATCH($A495,'Smelter Look-up'!$E:$E,0)))</f>
        <v>PT Timah Tbk Kundur</v>
      </c>
      <c r="D495" s="170"/>
      <c r="E495" s="168" t="str">
        <f ca="1">IF(ISERROR($V495),"",OFFSET('Smelter Look-up'!$D$4,$V495-4,0)&amp;"")</f>
        <v>INDONESIA</v>
      </c>
      <c r="F495" s="168" t="str">
        <f ca="1">IF(ISERROR($V495),"",OFFSET('Smelter Look-up'!$E$4,$V495-4,0))</f>
        <v>CID001477</v>
      </c>
      <c r="G495" s="168" t="str">
        <f ca="1">IF(C495=$X$4,IF(ISERROR($V495),"Enter smelter details","RMI"),IF(ISERROR($V495),"",OFFSET('Smelter Look-up'!$F$4,$V495-4,0)))</f>
        <v>RMI</v>
      </c>
      <c r="H495" s="171">
        <f ca="1">IF(ISERROR($V495),"",OFFSET('Smelter Look-up'!$G$4,$V495-4,0))</f>
        <v>0</v>
      </c>
      <c r="I495" s="172" t="str">
        <f ca="1">IF(ISERROR($V495),"",OFFSET('Smelter Look-up'!$H$4,$V495-4,0))</f>
        <v>Kundur</v>
      </c>
      <c r="J495" s="172" t="str">
        <f ca="1">IF(ISERROR($V495),"",OFFSET('Smelter Look-up'!$I$4,$V495-4,0))</f>
        <v>Riau</v>
      </c>
      <c r="K495" s="173" t="s">
        <v>2486</v>
      </c>
      <c r="L495" s="173" t="s">
        <v>2487</v>
      </c>
      <c r="M495" s="173" t="s">
        <v>2488</v>
      </c>
      <c r="N495" s="173" t="s">
        <v>2489</v>
      </c>
      <c r="O495" s="173" t="s">
        <v>2490</v>
      </c>
      <c r="P495" s="174" t="s">
        <v>151</v>
      </c>
      <c r="Q495" s="175" t="s">
        <v>2491</v>
      </c>
      <c r="R495" s="168" t="str">
        <f ca="1">IF(ISERROR($V495),"",OFFSET('Smelter Look-up'!$C$4,$V495-4,0)&amp;"")</f>
        <v>PT Timah Tbk Kundur</v>
      </c>
      <c r="S495" s="167" t="str">
        <f t="shared" ca="1" si="69"/>
        <v>ID</v>
      </c>
      <c r="T495" s="167" t="str">
        <f ca="1">IF(B495="","",IF(ISERROR(MATCH($J495,SorP!$B$1:$B$6230,0)),"",INDIRECT("'SorP'!$A$"&amp;MATCH($J495,SorP!$B$1:$B$6230,0))))</f>
        <v>ID-RI</v>
      </c>
      <c r="U495" s="176"/>
      <c r="V495" s="177">
        <f ca="1">IF(C495="",NA(),IF(OR(C495="Smelter not listed",C495="Smelter not yet identified"),MATCH($B495&amp;$D495,'Smelter Look-up'!$J:$J,0),MATCH($B495&amp;$C495,'Smelter Look-up'!$J:$J,0)))</f>
        <v>508</v>
      </c>
      <c r="X495" s="140">
        <f t="shared" ca="1" si="70"/>
        <v>0</v>
      </c>
      <c r="AB495" s="178" t="str">
        <f t="shared" ca="1" si="71"/>
        <v>TinPT Timah Tbk Kundur</v>
      </c>
    </row>
    <row r="496" spans="1:28" s="140" customFormat="1" ht="102">
      <c r="A496" s="167" t="s">
        <v>3217</v>
      </c>
      <c r="B496" s="168" t="str">
        <f ca="1">IF(LEN(A496)=0,"",INDEX('Smelter Look-up'!$A:$A,MATCH($A496,'Smelter Look-up'!$E:$E,0)))</f>
        <v>Tin</v>
      </c>
      <c r="C496" s="169" t="str">
        <f ca="1">IF(LEN(A496)=0,"",INDEX('Smelter Look-up'!$C:$C,MATCH($A496,'Smelter Look-up'!$E:$E,0)))</f>
        <v>Chenzhou Yunxiang Mining and Metallurgy Co., Ltd.</v>
      </c>
      <c r="D496" s="170"/>
      <c r="E496" s="168" t="str">
        <f ca="1">IF(ISERROR($V496),"",OFFSET('Smelter Look-up'!$D$4,$V496-4,0)&amp;"")</f>
        <v>CHINA</v>
      </c>
      <c r="F496" s="168" t="str">
        <f ca="1">IF(ISERROR($V496),"",OFFSET('Smelter Look-up'!$E$4,$V496-4,0))</f>
        <v>CID000228</v>
      </c>
      <c r="G496" s="168" t="str">
        <f ca="1">IF(C496=$X$4,IF(ISERROR($V496),"Enter smelter details","RMI"),IF(ISERROR($V496),"",OFFSET('Smelter Look-up'!$F$4,$V496-4,0)))</f>
        <v>RMI</v>
      </c>
      <c r="H496" s="171">
        <f ca="1">IF(ISERROR($V496),"",OFFSET('Smelter Look-up'!$G$4,$V496-4,0))</f>
        <v>0</v>
      </c>
      <c r="I496" s="172" t="str">
        <f ca="1">IF(ISERROR($V496),"",OFFSET('Smelter Look-up'!$H$4,$V496-4,0))</f>
        <v>Chenzhou</v>
      </c>
      <c r="J496" s="172" t="str">
        <f ca="1">IF(ISERROR($V496),"",OFFSET('Smelter Look-up'!$I$4,$V496-4,0))</f>
        <v>Hunan Sheng</v>
      </c>
      <c r="K496" s="173"/>
      <c r="L496" s="173"/>
      <c r="M496" s="173"/>
      <c r="N496" s="173"/>
      <c r="O496" s="173"/>
      <c r="P496" s="174"/>
      <c r="Q496" s="175"/>
      <c r="R496" s="168" t="str">
        <f ca="1">IF(ISERROR($V496),"",OFFSET('Smelter Look-up'!$C$4,$V496-4,0)&amp;"")</f>
        <v>Chenzhou Yunxiang Mining and Metallurgy Co., Ltd.</v>
      </c>
      <c r="S496" s="167" t="str">
        <f t="shared" ca="1" si="69"/>
        <v>CN</v>
      </c>
      <c r="T496" s="167" t="str">
        <f ca="1">IF(B496="","",IF(ISERROR(MATCH($J496,SorP!$B$1:$B$6230,0)),"",INDIRECT("'SorP'!$A$"&amp;MATCH($J496,SorP!$B$1:$B$6230,0))))</f>
        <v>CN-HN</v>
      </c>
      <c r="U496" s="176"/>
      <c r="V496" s="177">
        <f ca="1">IF(C496="",NA(),IF(OR(C496="Smelter not listed",C496="Smelter not yet identified"),MATCH($B496&amp;$D496,'Smelter Look-up'!$J:$J,0),MATCH($B496&amp;$C496,'Smelter Look-up'!$J:$J,0)))</f>
        <v>399</v>
      </c>
      <c r="X496" s="140">
        <f t="shared" ca="1" si="70"/>
        <v>0</v>
      </c>
      <c r="AB496" s="178" t="str">
        <f t="shared" ca="1" si="71"/>
        <v>TinChenzhou Yunxiang Mining and Metallurgy Co., Ltd.</v>
      </c>
    </row>
    <row r="497" spans="1:28" s="140" customFormat="1" ht="114.75">
      <c r="A497" s="167" t="s">
        <v>2804</v>
      </c>
      <c r="B497" s="168" t="str">
        <f ca="1">IF(LEN(A497)=0,"",INDEX('Smelter Look-up'!$A:$A,MATCH($A497,'Smelter Look-up'!$E:$E,0)))</f>
        <v>Tungsten</v>
      </c>
      <c r="C497" s="169" t="str">
        <f ca="1">IF(LEN(A497)=0,"",INDEX('Smelter Look-up'!$C:$C,MATCH($A497,'Smelter Look-up'!$E:$E,0)))</f>
        <v>Ganzhou Huaxing Tungsten Products Co., Ltd.</v>
      </c>
      <c r="D497" s="170"/>
      <c r="E497" s="168" t="str">
        <f ca="1">IF(ISERROR($V497),"",OFFSET('Smelter Look-up'!$D$4,$V497-4,0)&amp;"")</f>
        <v>CHINA</v>
      </c>
      <c r="F497" s="168" t="str">
        <f ca="1">IF(ISERROR($V497),"",OFFSET('Smelter Look-up'!$E$4,$V497-4,0))</f>
        <v>CID000875</v>
      </c>
      <c r="G497" s="168" t="str">
        <f ca="1">IF(C497=$X$4,IF(ISERROR($V497),"Enter smelter details","RMI"),IF(ISERROR($V497),"",OFFSET('Smelter Look-up'!$F$4,$V497-4,0)))</f>
        <v>RMI</v>
      </c>
      <c r="H497" s="171">
        <f ca="1">IF(ISERROR($V497),"",OFFSET('Smelter Look-up'!$G$4,$V497-4,0))</f>
        <v>0</v>
      </c>
      <c r="I497" s="172" t="str">
        <f ca="1">IF(ISERROR($V497),"",OFFSET('Smelter Look-up'!$H$4,$V497-4,0))</f>
        <v>Ganzhou</v>
      </c>
      <c r="J497" s="172" t="str">
        <f ca="1">IF(ISERROR($V497),"",OFFSET('Smelter Look-up'!$I$4,$V497-4,0))</f>
        <v>Jiangxi Sheng</v>
      </c>
      <c r="K497" s="173"/>
      <c r="L497" s="173"/>
      <c r="M497" s="173"/>
      <c r="N497" s="173"/>
      <c r="O497" s="173"/>
      <c r="P497" s="174"/>
      <c r="Q497" s="175"/>
      <c r="R497" s="168" t="str">
        <f ca="1">IF(ISERROR($V497),"",OFFSET('Smelter Look-up'!$C$4,$V497-4,0)&amp;"")</f>
        <v>Ganzhou Huaxing Tungsten Products Co., Ltd.</v>
      </c>
      <c r="S497" s="167" t="str">
        <f t="shared" ca="1" si="69"/>
        <v>CN</v>
      </c>
      <c r="T497" s="167" t="str">
        <f ca="1">IF(B497="","",IF(ISERROR(MATCH($J497,SorP!$B$1:$B$6230,0)),"",INDIRECT("'SorP'!$A$"&amp;MATCH($J497,SorP!$B$1:$B$6230,0))))</f>
        <v>CN-JX</v>
      </c>
      <c r="U497" s="176"/>
      <c r="V497" s="177">
        <f ca="1">IF(C497="",NA(),IF(OR(C497="Smelter not listed",C497="Smelter not yet identified"),MATCH($B497&amp;$D497,'Smelter Look-up'!$J:$J,0),MATCH($B497&amp;$C497,'Smelter Look-up'!$J:$J,0)))</f>
        <v>576</v>
      </c>
      <c r="X497" s="140">
        <f t="shared" ca="1" si="70"/>
        <v>0</v>
      </c>
      <c r="AB497" s="178" t="str">
        <f t="shared" ca="1" si="71"/>
        <v>TungstenGanzhou Huaxing Tungsten Products Co., Ltd.</v>
      </c>
    </row>
    <row r="498" spans="1:28" s="140" customFormat="1" ht="114.75">
      <c r="A498" s="167" t="s">
        <v>988</v>
      </c>
      <c r="B498" s="168" t="str">
        <f ca="1">IF(LEN(A498)=0,"",INDEX('Smelter Look-up'!$A:$A,MATCH($A498,'Smelter Look-up'!$E:$E,0)))</f>
        <v>Tungsten</v>
      </c>
      <c r="C498" s="169" t="str">
        <f ca="1">IF(LEN(A498)=0,"",INDEX('Smelter Look-up'!$C:$C,MATCH($A498,'Smelter Look-up'!$E:$E,0)))</f>
        <v>Jiangxi Xinsheng Tungsten Industry Co., Ltd.</v>
      </c>
      <c r="D498" s="170"/>
      <c r="E498" s="168" t="str">
        <f ca="1">IF(ISERROR($V498),"",OFFSET('Smelter Look-up'!$D$4,$V498-4,0)&amp;"")</f>
        <v>CHINA</v>
      </c>
      <c r="F498" s="168" t="str">
        <f ca="1">IF(ISERROR($V498),"",OFFSET('Smelter Look-up'!$E$4,$V498-4,0))</f>
        <v>CID002317</v>
      </c>
      <c r="G498" s="168" t="str">
        <f ca="1">IF(C498=$X$4,IF(ISERROR($V498),"Enter smelter details","RMI"),IF(ISERROR($V498),"",OFFSET('Smelter Look-up'!$F$4,$V498-4,0)))</f>
        <v>RMI</v>
      </c>
      <c r="H498" s="171">
        <f ca="1">IF(ISERROR($V498),"",OFFSET('Smelter Look-up'!$G$4,$V498-4,0))</f>
        <v>0</v>
      </c>
      <c r="I498" s="172" t="str">
        <f ca="1">IF(ISERROR($V498),"",OFFSET('Smelter Look-up'!$H$4,$V498-4,0))</f>
        <v>Ganzhou</v>
      </c>
      <c r="J498" s="172" t="str">
        <f ca="1">IF(ISERROR($V498),"",OFFSET('Smelter Look-up'!$I$4,$V498-4,0))</f>
        <v>Jiangxi Sheng</v>
      </c>
      <c r="K498" s="173"/>
      <c r="L498" s="173"/>
      <c r="M498" s="173"/>
      <c r="N498" s="173"/>
      <c r="O498" s="173"/>
      <c r="P498" s="174"/>
      <c r="Q498" s="175"/>
      <c r="R498" s="168" t="str">
        <f ca="1">IF(ISERROR($V498),"",OFFSET('Smelter Look-up'!$C$4,$V498-4,0)&amp;"")</f>
        <v>Jiangxi Xinsheng Tungsten Industry Co., Ltd.</v>
      </c>
      <c r="S498" s="167" t="str">
        <f t="shared" ca="1" si="69"/>
        <v>CN</v>
      </c>
      <c r="T498" s="167" t="str">
        <f ca="1">IF(B498="","",IF(ISERROR(MATCH($J498,SorP!$B$1:$B$6230,0)),"",INDIRECT("'SorP'!$A$"&amp;MATCH($J498,SorP!$B$1:$B$6230,0))))</f>
        <v>CN-JX</v>
      </c>
      <c r="U498" s="176"/>
      <c r="V498" s="177">
        <f ca="1">IF(C498="",NA(),IF(OR(C498="Smelter not listed",C498="Smelter not yet identified"),MATCH($B498&amp;$D498,'Smelter Look-up'!$J:$J,0),MATCH($B498&amp;$C498,'Smelter Look-up'!$J:$J,0)))</f>
        <v>599</v>
      </c>
      <c r="X498" s="140">
        <f t="shared" ca="1" si="70"/>
        <v>0</v>
      </c>
      <c r="AB498" s="178" t="str">
        <f t="shared" ca="1" si="71"/>
        <v>TungstenJiangxi Xinsheng Tungsten Industry Co., Ltd.</v>
      </c>
    </row>
    <row r="499" spans="1:28" s="140" customFormat="1" ht="76.5">
      <c r="A499" s="167" t="s">
        <v>1418</v>
      </c>
      <c r="B499" s="168" t="str">
        <f ca="1">IF(LEN(A499)=0,"",INDEX('Smelter Look-up'!$A:$A,MATCH($A499,'Smelter Look-up'!$E:$E,0)))</f>
        <v>Tungsten</v>
      </c>
      <c r="C499" s="169" t="str">
        <f ca="1">IF(LEN(A499)=0,"",INDEX('Smelter Look-up'!$C:$C,MATCH($A499,'Smelter Look-up'!$E:$E,0)))</f>
        <v>Masan High-Tech Materials</v>
      </c>
      <c r="D499" s="170"/>
      <c r="E499" s="168" t="str">
        <f ca="1">IF(ISERROR($V499),"",OFFSET('Smelter Look-up'!$D$4,$V499-4,0)&amp;"")</f>
        <v>VIET NAM</v>
      </c>
      <c r="F499" s="168" t="str">
        <f ca="1">IF(ISERROR($V499),"",OFFSET('Smelter Look-up'!$E$4,$V499-4,0))</f>
        <v>CID002543</v>
      </c>
      <c r="G499" s="168" t="str">
        <f ca="1">IF(C499=$X$4,IF(ISERROR($V499),"Enter smelter details","RMI"),IF(ISERROR($V499),"",OFFSET('Smelter Look-up'!$F$4,$V499-4,0)))</f>
        <v>RMI</v>
      </c>
      <c r="H499" s="171">
        <f ca="1">IF(ISERROR($V499),"",OFFSET('Smelter Look-up'!$G$4,$V499-4,0))</f>
        <v>0</v>
      </c>
      <c r="I499" s="172" t="str">
        <f ca="1">IF(ISERROR($V499),"",OFFSET('Smelter Look-up'!$H$4,$V499-4,0))</f>
        <v>Dai Tu</v>
      </c>
      <c r="J499" s="172" t="str">
        <f ca="1">IF(ISERROR($V499),"",OFFSET('Smelter Look-up'!$I$4,$V499-4,0))</f>
        <v>Thái Nguyên</v>
      </c>
      <c r="K499" s="173"/>
      <c r="L499" s="173"/>
      <c r="M499" s="173"/>
      <c r="N499" s="173"/>
      <c r="O499" s="173"/>
      <c r="P499" s="174"/>
      <c r="Q499" s="175"/>
      <c r="R499" s="168" t="str">
        <f ca="1">IF(ISERROR($V499),"",OFFSET('Smelter Look-up'!$C$4,$V499-4,0)&amp;"")</f>
        <v>Masan High-Tech Materials</v>
      </c>
      <c r="S499" s="167" t="str">
        <f t="shared" ca="1" si="69"/>
        <v>VN</v>
      </c>
      <c r="T499" s="167" t="str">
        <f ca="1">IF(B499="","",IF(ISERROR(MATCH($J499,SorP!$B$1:$B$6230,0)),"",INDIRECT("'SorP'!$A$"&amp;MATCH($J499,SorP!$B$1:$B$6230,0))))</f>
        <v>VN-69</v>
      </c>
      <c r="U499" s="176"/>
      <c r="V499" s="177">
        <f ca="1">IF(C499="",NA(),IF(OR(C499="Smelter not listed",C499="Smelter not yet identified"),MATCH($B499&amp;$D499,'Smelter Look-up'!$J:$J,0),MATCH($B499&amp;$C499,'Smelter Look-up'!$J:$J,0)))</f>
        <v>609</v>
      </c>
      <c r="X499" s="140">
        <f t="shared" ca="1" si="70"/>
        <v>0</v>
      </c>
      <c r="AB499" s="178" t="str">
        <f t="shared" ca="1" si="71"/>
        <v>TungstenMasan High-Tech Materials</v>
      </c>
    </row>
    <row r="500" spans="1:28" s="140" customFormat="1" ht="76.5">
      <c r="A500" s="167" t="s">
        <v>1702</v>
      </c>
      <c r="B500" s="168" t="str">
        <f ca="1">IF(LEN(A500)=0,"",INDEX('Smelter Look-up'!$A:$A,MATCH($A500,'Smelter Look-up'!$E:$E,0)))</f>
        <v>Tungsten</v>
      </c>
      <c r="C500" s="169" t="str">
        <f ca="1">IF(LEN(A500)=0,"",INDEX('Smelter Look-up'!$C:$C,MATCH($A500,'Smelter Look-up'!$E:$E,0)))</f>
        <v>TANIOBIS Smelting GmbH &amp; Co. KG</v>
      </c>
      <c r="D500" s="170"/>
      <c r="E500" s="168" t="str">
        <f ca="1">IF(ISERROR($V500),"",OFFSET('Smelter Look-up'!$D$4,$V500-4,0)&amp;"")</f>
        <v>GERMANY</v>
      </c>
      <c r="F500" s="168" t="str">
        <f ca="1">IF(ISERROR($V500),"",OFFSET('Smelter Look-up'!$E$4,$V500-4,0))</f>
        <v>CID002542</v>
      </c>
      <c r="G500" s="168" t="str">
        <f ca="1">IF(C500=$X$4,IF(ISERROR($V500),"Enter smelter details","RMI"),IF(ISERROR($V500),"",OFFSET('Smelter Look-up'!$F$4,$V500-4,0)))</f>
        <v>RMI</v>
      </c>
      <c r="H500" s="171">
        <f ca="1">IF(ISERROR($V500),"",OFFSET('Smelter Look-up'!$G$4,$V500-4,0))</f>
        <v>0</v>
      </c>
      <c r="I500" s="172" t="str">
        <f ca="1">IF(ISERROR($V500),"",OFFSET('Smelter Look-up'!$H$4,$V500-4,0))</f>
        <v>Laufenburg</v>
      </c>
      <c r="J500" s="172" t="str">
        <f ca="1">IF(ISERROR($V500),"",OFFSET('Smelter Look-up'!$I$4,$V500-4,0))</f>
        <v>Baden-Württemberg</v>
      </c>
      <c r="K500" s="173"/>
      <c r="L500" s="173"/>
      <c r="M500" s="173"/>
      <c r="N500" s="173"/>
      <c r="O500" s="173"/>
      <c r="P500" s="174"/>
      <c r="Q500" s="175"/>
      <c r="R500" s="168" t="str">
        <f ca="1">IF(ISERROR($V500),"",OFFSET('Smelter Look-up'!$C$4,$V500-4,0)&amp;"")</f>
        <v>TANIOBIS Smelting GmbH &amp; Co. KG</v>
      </c>
      <c r="S500" s="167" t="str">
        <f t="shared" ca="1" si="69"/>
        <v>DE</v>
      </c>
      <c r="T500" s="167" t="str">
        <f ca="1">IF(B500="","",IF(ISERROR(MATCH($J500,SorP!$B$1:$B$6230,0)),"",INDIRECT("'SorP'!$A$"&amp;MATCH($J500,SorP!$B$1:$B$6230,0))))</f>
        <v>DE-BW</v>
      </c>
      <c r="U500" s="176"/>
      <c r="V500" s="177">
        <f ca="1">IF(C500="",NA(),IF(OR(C500="Smelter not listed",C500="Smelter not yet identified"),MATCH($B500&amp;$D500,'Smelter Look-up'!$J:$J,0),MATCH($B500&amp;$C500,'Smelter Look-up'!$J:$J,0)))</f>
        <v>618</v>
      </c>
      <c r="X500" s="140">
        <f t="shared" ca="1" si="70"/>
        <v>0</v>
      </c>
      <c r="AB500" s="178" t="str">
        <f t="shared" ca="1" si="71"/>
        <v>TungstenTANIOBIS Smelting GmbH &amp; Co. KG</v>
      </c>
    </row>
    <row r="501" spans="1:28" s="140" customFormat="1" ht="89.25">
      <c r="A501" s="167" t="s">
        <v>1700</v>
      </c>
      <c r="B501" s="168" t="str">
        <f ca="1">IF(LEN(A501)=0,"",INDEX('Smelter Look-up'!$A:$A,MATCH($A501,'Smelter Look-up'!$E:$E,0)))</f>
        <v>Tungsten</v>
      </c>
      <c r="C501" s="169" t="str">
        <f ca="1">IF(LEN(A501)=0,"",INDEX('Smelter Look-up'!$C:$C,MATCH($A501,'Smelter Look-up'!$E:$E,0)))</f>
        <v>Guangdong Xianglu Tungsten Co., Ltd.</v>
      </c>
      <c r="D501" s="170"/>
      <c r="E501" s="168" t="str">
        <f ca="1">IF(ISERROR($V501),"",OFFSET('Smelter Look-up'!$D$4,$V501-4,0)&amp;"")</f>
        <v>CHINA</v>
      </c>
      <c r="F501" s="168" t="str">
        <f ca="1">IF(ISERROR($V501),"",OFFSET('Smelter Look-up'!$E$4,$V501-4,0))</f>
        <v>CID000218</v>
      </c>
      <c r="G501" s="168" t="str">
        <f ca="1">IF(C501=$X$4,IF(ISERROR($V501),"Enter smelter details","RMI"),IF(ISERROR($V501),"",OFFSET('Smelter Look-up'!$F$4,$V501-4,0)))</f>
        <v>RMI</v>
      </c>
      <c r="H501" s="171">
        <f ca="1">IF(ISERROR($V501),"",OFFSET('Smelter Look-up'!$G$4,$V501-4,0))</f>
        <v>0</v>
      </c>
      <c r="I501" s="172" t="str">
        <f ca="1">IF(ISERROR($V501),"",OFFSET('Smelter Look-up'!$H$4,$V501-4,0))</f>
        <v>Chaozhou</v>
      </c>
      <c r="J501" s="172" t="str">
        <f ca="1">IF(ISERROR($V501),"",OFFSET('Smelter Look-up'!$I$4,$V501-4,0))</f>
        <v>Guangdong Sheng</v>
      </c>
      <c r="K501" s="173"/>
      <c r="L501" s="173"/>
      <c r="M501" s="173"/>
      <c r="N501" s="173"/>
      <c r="O501" s="173"/>
      <c r="P501" s="174"/>
      <c r="Q501" s="175"/>
      <c r="R501" s="168" t="str">
        <f ca="1">IF(ISERROR($V501),"",OFFSET('Smelter Look-up'!$C$4,$V501-4,0)&amp;"")</f>
        <v>Guangdong Xianglu Tungsten Co., Ltd.</v>
      </c>
      <c r="S501" s="167" t="str">
        <f t="shared" ca="1" si="69"/>
        <v>CN</v>
      </c>
      <c r="T501" s="167" t="str">
        <f ca="1">IF(B501="","",IF(ISERROR(MATCH($J501,SorP!$B$1:$B$6230,0)),"",INDIRECT("'SorP'!$A$"&amp;MATCH($J501,SorP!$B$1:$B$6230,0))))</f>
        <v>CN-GD</v>
      </c>
      <c r="U501" s="176"/>
      <c r="V501" s="177">
        <f ca="1">IF(C501="",NA(),IF(OR(C501="Smelter not listed",C501="Smelter not yet identified"),MATCH($B501&amp;$D501,'Smelter Look-up'!$J:$J,0),MATCH($B501&amp;$C501,'Smelter Look-up'!$J:$J,0)))</f>
        <v>582</v>
      </c>
      <c r="X501" s="140">
        <f t="shared" ca="1" si="70"/>
        <v>0</v>
      </c>
      <c r="AB501" s="178" t="str">
        <f t="shared" ca="1" si="71"/>
        <v>TungstenGuangdong Xianglu Tungsten Co., Ltd.</v>
      </c>
    </row>
    <row r="502" spans="1:28" s="140" customFormat="1" ht="102">
      <c r="A502" s="167" t="s">
        <v>982</v>
      </c>
      <c r="B502" s="168" t="str">
        <f ca="1">IF(LEN(A502)=0,"",INDEX('Smelter Look-up'!$A:$A,MATCH($A502,'Smelter Look-up'!$E:$E,0)))</f>
        <v>Tungsten</v>
      </c>
      <c r="C502" s="169" t="str">
        <f ca="1">IF(LEN(A502)=0,"",INDEX('Smelter Look-up'!$C:$C,MATCH($A502,'Smelter Look-up'!$E:$E,0)))</f>
        <v>Chongyi Zhangyuan Tungsten Co., Ltd.</v>
      </c>
      <c r="D502" s="170"/>
      <c r="E502" s="168" t="str">
        <f ca="1">IF(ISERROR($V502),"",OFFSET('Smelter Look-up'!$D$4,$V502-4,0)&amp;"")</f>
        <v>CHINA</v>
      </c>
      <c r="F502" s="168" t="str">
        <f ca="1">IF(ISERROR($V502),"",OFFSET('Smelter Look-up'!$E$4,$V502-4,0))</f>
        <v>CID000258</v>
      </c>
      <c r="G502" s="168" t="str">
        <f ca="1">IF(C502=$X$4,IF(ISERROR($V502),"Enter smelter details","RMI"),IF(ISERROR($V502),"",OFFSET('Smelter Look-up'!$F$4,$V502-4,0)))</f>
        <v>RMI</v>
      </c>
      <c r="H502" s="171">
        <f ca="1">IF(ISERROR($V502),"",OFFSET('Smelter Look-up'!$G$4,$V502-4,0))</f>
        <v>0</v>
      </c>
      <c r="I502" s="172" t="str">
        <f ca="1">IF(ISERROR($V502),"",OFFSET('Smelter Look-up'!$H$4,$V502-4,0))</f>
        <v>Ganzhou</v>
      </c>
      <c r="J502" s="172" t="str">
        <f ca="1">IF(ISERROR($V502),"",OFFSET('Smelter Look-up'!$I$4,$V502-4,0))</f>
        <v>Jiangxi Sheng</v>
      </c>
      <c r="K502" s="173"/>
      <c r="L502" s="173"/>
      <c r="M502" s="173"/>
      <c r="N502" s="173"/>
      <c r="O502" s="173"/>
      <c r="P502" s="174"/>
      <c r="Q502" s="175"/>
      <c r="R502" s="168" t="str">
        <f ca="1">IF(ISERROR($V502),"",OFFSET('Smelter Look-up'!$C$4,$V502-4,0)&amp;"")</f>
        <v>Chongyi Zhangyuan Tungsten Co., Ltd.</v>
      </c>
      <c r="S502" s="167" t="str">
        <f t="shared" ca="1" si="69"/>
        <v>CN</v>
      </c>
      <c r="T502" s="167" t="str">
        <f ca="1">IF(B502="","",IF(ISERROR(MATCH($J502,SorP!$B$1:$B$6230,0)),"",INDIRECT("'SorP'!$A$"&amp;MATCH($J502,SorP!$B$1:$B$6230,0))))</f>
        <v>CN-JX</v>
      </c>
      <c r="U502" s="176"/>
      <c r="V502" s="177">
        <f ca="1">IF(C502="",NA(),IF(OR(C502="Smelter not listed",C502="Smelter not yet identified"),MATCH($B502&amp;$D502,'Smelter Look-up'!$J:$J,0),MATCH($B502&amp;$C502,'Smelter Look-up'!$J:$J,0)))</f>
        <v>570</v>
      </c>
      <c r="X502" s="140">
        <f t="shared" ca="1" si="70"/>
        <v>0</v>
      </c>
      <c r="AB502" s="178" t="str">
        <f t="shared" ca="1" si="71"/>
        <v>TungstenChongyi Zhangyuan Tungsten Co., Ltd.</v>
      </c>
    </row>
    <row r="503" spans="1:28" s="140" customFormat="1" ht="38.25">
      <c r="A503" s="167"/>
      <c r="B503" s="168" t="s">
        <v>133</v>
      </c>
      <c r="C503" s="169" t="s">
        <v>209</v>
      </c>
      <c r="D503" s="170" t="s">
        <v>17688</v>
      </c>
      <c r="E503" s="168" t="s">
        <v>199</v>
      </c>
      <c r="F503" s="168" t="s">
        <v>17544</v>
      </c>
      <c r="G503" s="168" t="s">
        <v>142</v>
      </c>
      <c r="H503" s="171" t="s">
        <v>114</v>
      </c>
      <c r="I503" s="172" t="s">
        <v>196</v>
      </c>
      <c r="J503" s="172" t="s">
        <v>196</v>
      </c>
      <c r="K503" s="173"/>
      <c r="L503" s="173"/>
      <c r="M503" s="173"/>
      <c r="N503" s="173" t="s">
        <v>121</v>
      </c>
      <c r="O503" s="173" t="s">
        <v>121</v>
      </c>
      <c r="P503" s="174" t="s">
        <v>121</v>
      </c>
      <c r="Q503" s="175"/>
      <c r="R503" s="168" t="str">
        <f ca="1">IF(ISERROR($V503),"",OFFSET('Smelter Look-up'!$C$4,$V503-4,0)&amp;"")</f>
        <v/>
      </c>
      <c r="S503" s="167" t="str">
        <f t="shared" ref="S503:S508" ca="1" si="72">IF(B503="","",IF(ISERROR(MATCH($E503,CL,0)),"Unknown",INDIRECT("'C'!$A$"&amp;MATCH($E503,CL,0)+1)))</f>
        <v>AE</v>
      </c>
      <c r="T503" s="167" t="str">
        <f ca="1">IF(B503="","",IF(ISERROR(MATCH($J503,SorP!$B$1:$B$6230,0)),"",INDIRECT("'SorP'!$A$"&amp;MATCH($J503,SorP!$B$1:$B$6230,0))))</f>
        <v/>
      </c>
      <c r="U503" s="176"/>
      <c r="V503" s="177" t="e">
        <f>IF(C503="",NA(),IF(OR(C503="Smelter not listed",C503="Smelter not yet identified"),MATCH($B503&amp;$D503,'Smelter Look-up'!$J:$J,0),MATCH($B503&amp;$C503,'Smelter Look-up'!$J:$J,0)))</f>
        <v>#N/A</v>
      </c>
      <c r="X503" s="140">
        <f t="shared" ref="X503:X508" si="73">IF(AND(C503="Smelter not listed",OR(LEN(D503)=0,LEN(E503)=0)),1,0)</f>
        <v>0</v>
      </c>
      <c r="AB503" s="178" t="str">
        <f t="shared" ref="AB503:AB508" si="74">B503&amp;C503</f>
        <v>GoldSmelter not listed</v>
      </c>
    </row>
    <row r="504" spans="1:28" s="140" customFormat="1" ht="51">
      <c r="A504" s="167"/>
      <c r="B504" s="168" t="s">
        <v>130</v>
      </c>
      <c r="C504" s="169" t="s">
        <v>209</v>
      </c>
      <c r="D504" s="170" t="s">
        <v>17689</v>
      </c>
      <c r="E504" s="168" t="s">
        <v>433</v>
      </c>
      <c r="F504" s="168" t="s">
        <v>17545</v>
      </c>
      <c r="G504" s="168" t="s">
        <v>142</v>
      </c>
      <c r="H504" s="171" t="s">
        <v>114</v>
      </c>
      <c r="I504" s="172" t="s">
        <v>196</v>
      </c>
      <c r="J504" s="172" t="s">
        <v>196</v>
      </c>
      <c r="K504" s="173"/>
      <c r="L504" s="173"/>
      <c r="M504" s="173"/>
      <c r="N504" s="173" t="s">
        <v>121</v>
      </c>
      <c r="O504" s="173" t="s">
        <v>121</v>
      </c>
      <c r="P504" s="174" t="s">
        <v>121</v>
      </c>
      <c r="Q504" s="175"/>
      <c r="R504" s="168" t="str">
        <f ca="1">IF(ISERROR($V504),"",OFFSET('Smelter Look-up'!$C$4,$V504-4,0)&amp;"")</f>
        <v/>
      </c>
      <c r="S504" s="167" t="str">
        <f t="shared" ca="1" si="72"/>
        <v>BR</v>
      </c>
      <c r="T504" s="167" t="str">
        <f ca="1">IF(B504="","",IF(ISERROR(MATCH($J504,SorP!$B$1:$B$6230,0)),"",INDIRECT("'SorP'!$A$"&amp;MATCH($J504,SorP!$B$1:$B$6230,0))))</f>
        <v/>
      </c>
      <c r="U504" s="176"/>
      <c r="V504" s="177" t="e">
        <f>IF(C504="",NA(),IF(OR(C504="Smelter not listed",C504="Smelter not yet identified"),MATCH($B504&amp;$D504,'Smelter Look-up'!$J:$J,0),MATCH($B504&amp;$C504,'Smelter Look-up'!$J:$J,0)))</f>
        <v>#N/A</v>
      </c>
      <c r="X504" s="140">
        <f t="shared" si="73"/>
        <v>0</v>
      </c>
      <c r="AB504" s="178" t="str">
        <f t="shared" si="74"/>
        <v>TantalumSmelter not listed</v>
      </c>
    </row>
    <row r="505" spans="1:28" s="140" customFormat="1" ht="38.25">
      <c r="A505" s="167"/>
      <c r="B505" s="168" t="s">
        <v>131</v>
      </c>
      <c r="C505" s="169" t="s">
        <v>209</v>
      </c>
      <c r="D505" s="170" t="s">
        <v>17690</v>
      </c>
      <c r="E505" s="168" t="s">
        <v>1125</v>
      </c>
      <c r="F505" s="168" t="s">
        <v>17546</v>
      </c>
      <c r="G505" s="168" t="s">
        <v>169</v>
      </c>
      <c r="H505" s="171" t="s">
        <v>114</v>
      </c>
      <c r="I505" s="172" t="s">
        <v>1126</v>
      </c>
      <c r="J505" s="172" t="s">
        <v>1127</v>
      </c>
      <c r="K505" s="173"/>
      <c r="L505" s="173"/>
      <c r="M505" s="173"/>
      <c r="N505" s="173" t="s">
        <v>121</v>
      </c>
      <c r="O505" s="173" t="s">
        <v>121</v>
      </c>
      <c r="P505" s="174" t="s">
        <v>121</v>
      </c>
      <c r="Q505" s="175"/>
      <c r="R505" s="168" t="str">
        <f ca="1">IF(ISERROR($V505),"",OFFSET('Smelter Look-up'!$C$4,$V505-4,0)&amp;"")</f>
        <v/>
      </c>
      <c r="S505" s="167" t="str">
        <f t="shared" ca="1" si="72"/>
        <v>VN</v>
      </c>
      <c r="T505" s="167" t="str">
        <f ca="1">IF(B505="","",IF(ISERROR(MATCH($J505,SorP!$B$1:$B$6230,0)),"",INDIRECT("'SorP'!$A$"&amp;MATCH($J505,SorP!$B$1:$B$6230,0))))</f>
        <v>VN-22</v>
      </c>
      <c r="U505" s="176"/>
      <c r="V505" s="177" t="e">
        <f>IF(C505="",NA(),IF(OR(C505="Smelter not listed",C505="Smelter not yet identified"),MATCH($B505&amp;$D505,'Smelter Look-up'!$J:$J,0),MATCH($B505&amp;$C505,'Smelter Look-up'!$J:$J,0)))</f>
        <v>#N/A</v>
      </c>
      <c r="X505" s="140">
        <f t="shared" si="73"/>
        <v>0</v>
      </c>
      <c r="AB505" s="178" t="str">
        <f t="shared" si="74"/>
        <v>TinSmelter not listed</v>
      </c>
    </row>
    <row r="506" spans="1:28" s="140" customFormat="1" ht="51">
      <c r="A506" s="167"/>
      <c r="B506" s="168" t="s">
        <v>130</v>
      </c>
      <c r="C506" s="169" t="s">
        <v>209</v>
      </c>
      <c r="D506" s="170" t="s">
        <v>17691</v>
      </c>
      <c r="E506" s="168" t="s">
        <v>192</v>
      </c>
      <c r="F506" s="168" t="s">
        <v>17547</v>
      </c>
      <c r="G506" s="168" t="s">
        <v>142</v>
      </c>
      <c r="H506" s="171" t="s">
        <v>114</v>
      </c>
      <c r="I506" s="172" t="s">
        <v>196</v>
      </c>
      <c r="J506" s="172" t="s">
        <v>196</v>
      </c>
      <c r="K506" s="173"/>
      <c r="L506" s="173"/>
      <c r="M506" s="173"/>
      <c r="N506" s="173" t="s">
        <v>121</v>
      </c>
      <c r="O506" s="173" t="s">
        <v>121</v>
      </c>
      <c r="P506" s="174" t="s">
        <v>121</v>
      </c>
      <c r="Q506" s="175"/>
      <c r="R506" s="168" t="str">
        <f ca="1">IF(ISERROR($V506),"",OFFSET('Smelter Look-up'!$C$4,$V506-4,0)&amp;"")</f>
        <v/>
      </c>
      <c r="S506" s="167" t="str">
        <f t="shared" ca="1" si="72"/>
        <v>CN</v>
      </c>
      <c r="T506" s="167" t="str">
        <f ca="1">IF(B506="","",IF(ISERROR(MATCH($J506,SorP!$B$1:$B$6230,0)),"",INDIRECT("'SorP'!$A$"&amp;MATCH($J506,SorP!$B$1:$B$6230,0))))</f>
        <v/>
      </c>
      <c r="U506" s="176"/>
      <c r="V506" s="177" t="e">
        <f>IF(C506="",NA(),IF(OR(C506="Smelter not listed",C506="Smelter not yet identified"),MATCH($B506&amp;$D506,'Smelter Look-up'!$J:$J,0),MATCH($B506&amp;$C506,'Smelter Look-up'!$J:$J,0)))</f>
        <v>#N/A</v>
      </c>
      <c r="X506" s="140">
        <f t="shared" si="73"/>
        <v>0</v>
      </c>
      <c r="AB506" s="178" t="str">
        <f t="shared" si="74"/>
        <v>TantalumSmelter not listed</v>
      </c>
    </row>
    <row r="507" spans="1:28" s="140" customFormat="1" ht="38.25">
      <c r="A507" s="167"/>
      <c r="B507" s="168" t="s">
        <v>131</v>
      </c>
      <c r="C507" s="169" t="s">
        <v>209</v>
      </c>
      <c r="D507" s="170" t="s">
        <v>17692</v>
      </c>
      <c r="E507" s="168" t="s">
        <v>141</v>
      </c>
      <c r="F507" s="168" t="s">
        <v>17548</v>
      </c>
      <c r="G507" s="168" t="s">
        <v>142</v>
      </c>
      <c r="H507" s="171" t="s">
        <v>114</v>
      </c>
      <c r="I507" s="172" t="s">
        <v>196</v>
      </c>
      <c r="J507" s="172" t="s">
        <v>196</v>
      </c>
      <c r="K507" s="173"/>
      <c r="L507" s="173"/>
      <c r="M507" s="173"/>
      <c r="N507" s="173" t="s">
        <v>121</v>
      </c>
      <c r="O507" s="173" t="s">
        <v>121</v>
      </c>
      <c r="P507" s="174" t="s">
        <v>121</v>
      </c>
      <c r="Q507" s="175"/>
      <c r="R507" s="168" t="str">
        <f ca="1">IF(ISERROR($V507),"",OFFSET('Smelter Look-up'!$C$4,$V507-4,0)&amp;"")</f>
        <v/>
      </c>
      <c r="S507" s="167" t="str">
        <f t="shared" ca="1" si="72"/>
        <v>US</v>
      </c>
      <c r="T507" s="167" t="str">
        <f ca="1">IF(B507="","",IF(ISERROR(MATCH($J507,SorP!$B$1:$B$6230,0)),"",INDIRECT("'SorP'!$A$"&amp;MATCH($J507,SorP!$B$1:$B$6230,0))))</f>
        <v/>
      </c>
      <c r="U507" s="176"/>
      <c r="V507" s="177" t="e">
        <f>IF(C507="",NA(),IF(OR(C507="Smelter not listed",C507="Smelter not yet identified"),MATCH($B507&amp;$D507,'Smelter Look-up'!$J:$J,0),MATCH($B507&amp;$C507,'Smelter Look-up'!$J:$J,0)))</f>
        <v>#N/A</v>
      </c>
      <c r="X507" s="140">
        <f t="shared" si="73"/>
        <v>0</v>
      </c>
      <c r="AB507" s="178" t="str">
        <f t="shared" si="74"/>
        <v>TinSmelter not listed</v>
      </c>
    </row>
    <row r="508" spans="1:28" s="140" customFormat="1" ht="38.25">
      <c r="A508" s="167"/>
      <c r="B508" s="168" t="s">
        <v>133</v>
      </c>
      <c r="C508" s="169" t="s">
        <v>209</v>
      </c>
      <c r="D508" s="170" t="s">
        <v>17693</v>
      </c>
      <c r="E508" s="168" t="s">
        <v>199</v>
      </c>
      <c r="F508" s="168" t="s">
        <v>17549</v>
      </c>
      <c r="G508" s="168" t="s">
        <v>142</v>
      </c>
      <c r="H508" s="171" t="s">
        <v>114</v>
      </c>
      <c r="I508" s="172" t="s">
        <v>196</v>
      </c>
      <c r="J508" s="172" t="s">
        <v>196</v>
      </c>
      <c r="K508" s="173"/>
      <c r="L508" s="173"/>
      <c r="M508" s="173"/>
      <c r="N508" s="173" t="s">
        <v>121</v>
      </c>
      <c r="O508" s="173" t="s">
        <v>121</v>
      </c>
      <c r="P508" s="174" t="s">
        <v>121</v>
      </c>
      <c r="Q508" s="175"/>
      <c r="R508" s="168" t="str">
        <f ca="1">IF(ISERROR($V508),"",OFFSET('Smelter Look-up'!$C$4,$V508-4,0)&amp;"")</f>
        <v/>
      </c>
      <c r="S508" s="167" t="str">
        <f t="shared" ca="1" si="72"/>
        <v>AE</v>
      </c>
      <c r="T508" s="167" t="str">
        <f ca="1">IF(B508="","",IF(ISERROR(MATCH($J508,SorP!$B$1:$B$6230,0)),"",INDIRECT("'SorP'!$A$"&amp;MATCH($J508,SorP!$B$1:$B$6230,0))))</f>
        <v/>
      </c>
      <c r="U508" s="176"/>
      <c r="V508" s="177" t="e">
        <f>IF(C508="",NA(),IF(OR(C508="Smelter not listed",C508="Smelter not yet identified"),MATCH($B508&amp;$D508,'Smelter Look-up'!$J:$J,0),MATCH($B508&amp;$C508,'Smelter Look-up'!$J:$J,0)))</f>
        <v>#N/A</v>
      </c>
      <c r="X508" s="140">
        <f t="shared" si="73"/>
        <v>0</v>
      </c>
      <c r="AB508" s="178" t="str">
        <f t="shared" si="74"/>
        <v>GoldSmelter not listed</v>
      </c>
    </row>
    <row r="509" spans="1:28" s="140" customFormat="1" ht="242.25">
      <c r="A509" s="167"/>
      <c r="B509" s="168" t="s">
        <v>130</v>
      </c>
      <c r="C509" s="169" t="s">
        <v>209</v>
      </c>
      <c r="D509" s="170" t="s">
        <v>154</v>
      </c>
      <c r="E509" s="168" t="s">
        <v>155</v>
      </c>
      <c r="F509" s="168" t="s">
        <v>17550</v>
      </c>
      <c r="G509" s="168" t="s">
        <v>142</v>
      </c>
      <c r="H509" s="171" t="s">
        <v>114</v>
      </c>
      <c r="I509" s="172" t="s">
        <v>157</v>
      </c>
      <c r="J509" s="172" t="s">
        <v>158</v>
      </c>
      <c r="K509" s="173" t="s">
        <v>17843</v>
      </c>
      <c r="L509" s="173" t="s">
        <v>17844</v>
      </c>
      <c r="M509" s="173"/>
      <c r="N509" s="173" t="s">
        <v>17845</v>
      </c>
      <c r="O509" s="173" t="s">
        <v>17846</v>
      </c>
      <c r="P509" s="174" t="s">
        <v>17847</v>
      </c>
      <c r="Q509" s="175" t="s">
        <v>17848</v>
      </c>
      <c r="R509" s="168" t="str">
        <f ca="1">IF(ISERROR($V509),"",OFFSET('Smelter Look-up'!$C$4,$V509-4,0)&amp;"")</f>
        <v/>
      </c>
      <c r="S509" s="167" t="str">
        <f t="shared" ref="S509:S563" ca="1" si="75">IF(B509="","",IF(ISERROR(MATCH($E509,CL,0)),"Unknown",INDIRECT("'C'!$A$"&amp;MATCH($E509,CL,0)+1)))</f>
        <v>JP</v>
      </c>
      <c r="T509" s="167" t="str">
        <f ca="1">IF(B509="","",IF(ISERROR(MATCH($J509,SorP!$B$1:$B$6230,0)),"",INDIRECT("'SorP'!$A$"&amp;MATCH($J509,SorP!$B$1:$B$6230,0))))</f>
        <v>JP-07</v>
      </c>
      <c r="U509" s="176"/>
      <c r="V509" s="177" t="e">
        <f>IF(C509="",NA(),IF(OR(C509="Smelter not listed",C509="Smelter not yet identified"),MATCH($B509&amp;$D509,'Smelter Look-up'!$J:$J,0),MATCH($B509&amp;$C509,'Smelter Look-up'!$J:$J,0)))</f>
        <v>#N/A</v>
      </c>
      <c r="X509" s="140">
        <f t="shared" ref="X509:X563" si="76">IF(AND(C509="Smelter not listed",OR(LEN(D509)=0,LEN(E509)=0)),1,0)</f>
        <v>0</v>
      </c>
      <c r="AB509" s="178" t="str">
        <f t="shared" ref="AB509:AB563" si="77">B509&amp;C509</f>
        <v>TantalumSmelter not listed</v>
      </c>
    </row>
    <row r="510" spans="1:28" s="140" customFormat="1" ht="38.25">
      <c r="A510" s="167"/>
      <c r="B510" s="168" t="s">
        <v>133</v>
      </c>
      <c r="C510" s="169" t="s">
        <v>209</v>
      </c>
      <c r="D510" s="170" t="s">
        <v>17694</v>
      </c>
      <c r="E510" s="168" t="s">
        <v>141</v>
      </c>
      <c r="F510" s="168" t="s">
        <v>17551</v>
      </c>
      <c r="G510" s="168" t="s">
        <v>169</v>
      </c>
      <c r="H510" s="171" t="s">
        <v>17849</v>
      </c>
      <c r="I510" s="172" t="s">
        <v>17850</v>
      </c>
      <c r="J510" s="172" t="s">
        <v>1840</v>
      </c>
      <c r="K510" s="173"/>
      <c r="L510" s="173" t="s">
        <v>17851</v>
      </c>
      <c r="M510" s="173"/>
      <c r="N510" s="173"/>
      <c r="O510" s="173" t="s">
        <v>17852</v>
      </c>
      <c r="P510" s="174"/>
      <c r="Q510" s="175"/>
      <c r="R510" s="168" t="str">
        <f ca="1">IF(ISERROR($V510),"",OFFSET('Smelter Look-up'!$C$4,$V510-4,0)&amp;"")</f>
        <v/>
      </c>
      <c r="S510" s="167" t="str">
        <f t="shared" ca="1" si="75"/>
        <v>US</v>
      </c>
      <c r="T510" s="167" t="str">
        <f ca="1">IF(B510="","",IF(ISERROR(MATCH($J510,SorP!$B$1:$B$6230,0)),"",INDIRECT("'SorP'!$A$"&amp;MATCH($J510,SorP!$B$1:$B$6230,0))))</f>
        <v>US-WI</v>
      </c>
      <c r="U510" s="176"/>
      <c r="V510" s="177" t="e">
        <f>IF(C510="",NA(),IF(OR(C510="Smelter not listed",C510="Smelter not yet identified"),MATCH($B510&amp;$D510,'Smelter Look-up'!$J:$J,0),MATCH($B510&amp;$C510,'Smelter Look-up'!$J:$J,0)))</f>
        <v>#N/A</v>
      </c>
      <c r="X510" s="140">
        <f t="shared" si="76"/>
        <v>0</v>
      </c>
      <c r="AB510" s="178" t="str">
        <f t="shared" si="77"/>
        <v>GoldSmelter not listed</v>
      </c>
    </row>
    <row r="511" spans="1:28" s="140" customFormat="1" ht="38.25">
      <c r="A511" s="167"/>
      <c r="B511" s="168" t="s">
        <v>131</v>
      </c>
      <c r="C511" s="169" t="s">
        <v>209</v>
      </c>
      <c r="D511" s="170" t="s">
        <v>17694</v>
      </c>
      <c r="E511" s="168" t="s">
        <v>141</v>
      </c>
      <c r="F511" s="168" t="s">
        <v>17521</v>
      </c>
      <c r="G511" s="168" t="s">
        <v>114</v>
      </c>
      <c r="H511" s="171" t="s">
        <v>114</v>
      </c>
      <c r="I511" s="172" t="s">
        <v>17850</v>
      </c>
      <c r="J511" s="172" t="s">
        <v>1840</v>
      </c>
      <c r="K511" s="173"/>
      <c r="L511" s="173"/>
      <c r="M511" s="173"/>
      <c r="N511" s="173"/>
      <c r="O511" s="173"/>
      <c r="P511" s="174"/>
      <c r="Q511" s="175"/>
      <c r="R511" s="168" t="str">
        <f ca="1">IF(ISERROR($V511),"",OFFSET('Smelter Look-up'!$C$4,$V511-4,0)&amp;"")</f>
        <v/>
      </c>
      <c r="S511" s="167" t="str">
        <f t="shared" ca="1" si="75"/>
        <v>US</v>
      </c>
      <c r="T511" s="167" t="str">
        <f ca="1">IF(B511="","",IF(ISERROR(MATCH($J511,SorP!$B$1:$B$6230,0)),"",INDIRECT("'SorP'!$A$"&amp;MATCH($J511,SorP!$B$1:$B$6230,0))))</f>
        <v>US-WI</v>
      </c>
      <c r="U511" s="176"/>
      <c r="V511" s="177" t="e">
        <f>IF(C511="",NA(),IF(OR(C511="Smelter not listed",C511="Smelter not yet identified"),MATCH($B511&amp;$D511,'Smelter Look-up'!$J:$J,0),MATCH($B511&amp;$C511,'Smelter Look-up'!$J:$J,0)))</f>
        <v>#N/A</v>
      </c>
      <c r="X511" s="140">
        <f t="shared" si="76"/>
        <v>0</v>
      </c>
      <c r="AB511" s="178" t="str">
        <f t="shared" si="77"/>
        <v>TinSmelter not listed</v>
      </c>
    </row>
    <row r="512" spans="1:28" s="140" customFormat="1" ht="38.25">
      <c r="A512" s="167"/>
      <c r="B512" s="168" t="s">
        <v>133</v>
      </c>
      <c r="C512" s="169" t="s">
        <v>209</v>
      </c>
      <c r="D512" s="170" t="s">
        <v>17695</v>
      </c>
      <c r="E512" s="168" t="s">
        <v>141</v>
      </c>
      <c r="F512" s="168" t="s">
        <v>17552</v>
      </c>
      <c r="G512" s="168" t="s">
        <v>114</v>
      </c>
      <c r="H512" s="171" t="s">
        <v>114</v>
      </c>
      <c r="I512" s="172"/>
      <c r="J512" s="172" t="s">
        <v>114</v>
      </c>
      <c r="K512" s="173"/>
      <c r="L512" s="173"/>
      <c r="M512" s="173"/>
      <c r="N512" s="173"/>
      <c r="O512" s="173"/>
      <c r="P512" s="174"/>
      <c r="Q512" s="175"/>
      <c r="R512" s="168" t="str">
        <f ca="1">IF(ISERROR($V512),"",OFFSET('Smelter Look-up'!$C$4,$V512-4,0)&amp;"")</f>
        <v/>
      </c>
      <c r="S512" s="167" t="str">
        <f t="shared" ca="1" si="75"/>
        <v>US</v>
      </c>
      <c r="T512" s="167" t="str">
        <f ca="1">IF(B512="","",IF(ISERROR(MATCH($J512,SorP!$B$1:$B$6230,0)),"",INDIRECT("'SorP'!$A$"&amp;MATCH($J512,SorP!$B$1:$B$6230,0))))</f>
        <v/>
      </c>
      <c r="U512" s="176"/>
      <c r="V512" s="177" t="e">
        <f>IF(C512="",NA(),IF(OR(C512="Smelter not listed",C512="Smelter not yet identified"),MATCH($B512&amp;$D512,'Smelter Look-up'!$J:$J,0),MATCH($B512&amp;$C512,'Smelter Look-up'!$J:$J,0)))</f>
        <v>#N/A</v>
      </c>
      <c r="X512" s="140">
        <f t="shared" si="76"/>
        <v>0</v>
      </c>
      <c r="AB512" s="178" t="str">
        <f t="shared" si="77"/>
        <v>GoldSmelter not listed</v>
      </c>
    </row>
    <row r="513" spans="1:28" s="140" customFormat="1" ht="38.25">
      <c r="A513" s="167"/>
      <c r="B513" s="168" t="s">
        <v>133</v>
      </c>
      <c r="C513" s="169" t="s">
        <v>209</v>
      </c>
      <c r="D513" s="170" t="s">
        <v>17696</v>
      </c>
      <c r="E513" s="168" t="s">
        <v>179</v>
      </c>
      <c r="F513" s="168" t="s">
        <v>17553</v>
      </c>
      <c r="G513" s="168" t="s">
        <v>142</v>
      </c>
      <c r="H513" s="171" t="s">
        <v>114</v>
      </c>
      <c r="I513" s="172" t="s">
        <v>114</v>
      </c>
      <c r="J513" s="172" t="s">
        <v>114</v>
      </c>
      <c r="K513" s="173"/>
      <c r="L513" s="173"/>
      <c r="M513" s="173"/>
      <c r="N513" s="173" t="s">
        <v>121</v>
      </c>
      <c r="O513" s="173" t="s">
        <v>121</v>
      </c>
      <c r="P513" s="174" t="s">
        <v>121</v>
      </c>
      <c r="Q513" s="175"/>
      <c r="R513" s="168" t="str">
        <f ca="1">IF(ISERROR($V513),"",OFFSET('Smelter Look-up'!$C$4,$V513-4,0)&amp;"")</f>
        <v/>
      </c>
      <c r="S513" s="167" t="str">
        <f t="shared" ca="1" si="75"/>
        <v>DE</v>
      </c>
      <c r="T513" s="167" t="str">
        <f ca="1">IF(B513="","",IF(ISERROR(MATCH($J513,SorP!$B$1:$B$6230,0)),"",INDIRECT("'SorP'!$A$"&amp;MATCH($J513,SorP!$B$1:$B$6230,0))))</f>
        <v/>
      </c>
      <c r="U513" s="176"/>
      <c r="V513" s="177" t="e">
        <f>IF(C513="",NA(),IF(OR(C513="Smelter not listed",C513="Smelter not yet identified"),MATCH($B513&amp;$D513,'Smelter Look-up'!$J:$J,0),MATCH($B513&amp;$C513,'Smelter Look-up'!$J:$J,0)))</f>
        <v>#N/A</v>
      </c>
      <c r="X513" s="140">
        <f t="shared" si="76"/>
        <v>0</v>
      </c>
      <c r="AB513" s="178" t="str">
        <f t="shared" si="77"/>
        <v>GoldSmelter not listed</v>
      </c>
    </row>
    <row r="514" spans="1:28" s="140" customFormat="1" ht="51">
      <c r="A514" s="167"/>
      <c r="B514" s="168" t="s">
        <v>132</v>
      </c>
      <c r="C514" s="169" t="s">
        <v>209</v>
      </c>
      <c r="D514" s="170" t="s">
        <v>17697</v>
      </c>
      <c r="E514" s="168" t="s">
        <v>192</v>
      </c>
      <c r="F514" s="168" t="s">
        <v>17539</v>
      </c>
      <c r="G514" s="168" t="s">
        <v>114</v>
      </c>
      <c r="H514" s="171" t="s">
        <v>114</v>
      </c>
      <c r="I514" s="172"/>
      <c r="J514" s="172" t="s">
        <v>114</v>
      </c>
      <c r="K514" s="173"/>
      <c r="L514" s="173"/>
      <c r="M514" s="173"/>
      <c r="N514" s="173"/>
      <c r="O514" s="173"/>
      <c r="P514" s="174"/>
      <c r="Q514" s="175"/>
      <c r="R514" s="168" t="str">
        <f ca="1">IF(ISERROR($V514),"",OFFSET('Smelter Look-up'!$C$4,$V514-4,0)&amp;"")</f>
        <v/>
      </c>
      <c r="S514" s="167" t="str">
        <f t="shared" ca="1" si="75"/>
        <v>CN</v>
      </c>
      <c r="T514" s="167" t="str">
        <f ca="1">IF(B514="","",IF(ISERROR(MATCH($J514,SorP!$B$1:$B$6230,0)),"",INDIRECT("'SorP'!$A$"&amp;MATCH($J514,SorP!$B$1:$B$6230,0))))</f>
        <v/>
      </c>
      <c r="U514" s="176"/>
      <c r="V514" s="177" t="e">
        <f>IF(C514="",NA(),IF(OR(C514="Smelter not listed",C514="Smelter not yet identified"),MATCH($B514&amp;$D514,'Smelter Look-up'!$J:$J,0),MATCH($B514&amp;$C514,'Smelter Look-up'!$J:$J,0)))</f>
        <v>#N/A</v>
      </c>
      <c r="X514" s="140">
        <f t="shared" si="76"/>
        <v>0</v>
      </c>
      <c r="AB514" s="178" t="str">
        <f t="shared" si="77"/>
        <v>TungstenSmelter not listed</v>
      </c>
    </row>
    <row r="515" spans="1:28" s="140" customFormat="1" ht="38.25">
      <c r="A515" s="167"/>
      <c r="B515" s="168" t="s">
        <v>131</v>
      </c>
      <c r="C515" s="169" t="s">
        <v>209</v>
      </c>
      <c r="D515" s="170" t="s">
        <v>17698</v>
      </c>
      <c r="E515" s="168" t="s">
        <v>179</v>
      </c>
      <c r="F515" s="168" t="s">
        <v>17522</v>
      </c>
      <c r="G515" s="168"/>
      <c r="H515" s="171" t="s">
        <v>114</v>
      </c>
      <c r="I515" s="172" t="s">
        <v>196</v>
      </c>
      <c r="J515" s="172" t="s">
        <v>196</v>
      </c>
      <c r="K515" s="173"/>
      <c r="L515" s="173"/>
      <c r="M515" s="173"/>
      <c r="N515" s="173"/>
      <c r="O515" s="173"/>
      <c r="P515" s="174"/>
      <c r="Q515" s="175"/>
      <c r="R515" s="168" t="str">
        <f ca="1">IF(ISERROR($V515),"",OFFSET('Smelter Look-up'!$C$4,$V515-4,0)&amp;"")</f>
        <v/>
      </c>
      <c r="S515" s="167" t="str">
        <f t="shared" ca="1" si="75"/>
        <v>DE</v>
      </c>
      <c r="T515" s="167" t="str">
        <f ca="1">IF(B515="","",IF(ISERROR(MATCH($J515,SorP!$B$1:$B$6230,0)),"",INDIRECT("'SorP'!$A$"&amp;MATCH($J515,SorP!$B$1:$B$6230,0))))</f>
        <v/>
      </c>
      <c r="U515" s="176"/>
      <c r="V515" s="177" t="e">
        <f>IF(C515="",NA(),IF(OR(C515="Smelter not listed",C515="Smelter not yet identified"),MATCH($B515&amp;$D515,'Smelter Look-up'!$J:$J,0),MATCH($B515&amp;$C515,'Smelter Look-up'!$J:$J,0)))</f>
        <v>#N/A</v>
      </c>
      <c r="X515" s="140">
        <f t="shared" si="76"/>
        <v>0</v>
      </c>
      <c r="AB515" s="178" t="str">
        <f t="shared" si="77"/>
        <v>TinSmelter not listed</v>
      </c>
    </row>
    <row r="516" spans="1:28" s="140" customFormat="1" ht="38.25">
      <c r="A516" s="167"/>
      <c r="B516" s="168" t="s">
        <v>133</v>
      </c>
      <c r="C516" s="169" t="s">
        <v>209</v>
      </c>
      <c r="D516" s="170" t="s">
        <v>17699</v>
      </c>
      <c r="E516" s="168" t="s">
        <v>256</v>
      </c>
      <c r="F516" s="168" t="s">
        <v>17554</v>
      </c>
      <c r="G516" s="168" t="s">
        <v>169</v>
      </c>
      <c r="H516" s="171" t="s">
        <v>114</v>
      </c>
      <c r="I516" s="172" t="s">
        <v>196</v>
      </c>
      <c r="J516" s="172" t="s">
        <v>196</v>
      </c>
      <c r="K516" s="173"/>
      <c r="L516" s="173"/>
      <c r="M516" s="173"/>
      <c r="N516" s="173"/>
      <c r="O516" s="173"/>
      <c r="P516" s="174"/>
      <c r="Q516" s="175"/>
      <c r="R516" s="168" t="str">
        <f ca="1">IF(ISERROR($V516),"",OFFSET('Smelter Look-up'!$C$4,$V516-4,0)&amp;"")</f>
        <v/>
      </c>
      <c r="S516" s="167" t="str">
        <f t="shared" ca="1" si="75"/>
        <v>KR</v>
      </c>
      <c r="T516" s="167" t="str">
        <f ca="1">IF(B516="","",IF(ISERROR(MATCH($J516,SorP!$B$1:$B$6230,0)),"",INDIRECT("'SorP'!$A$"&amp;MATCH($J516,SorP!$B$1:$B$6230,0))))</f>
        <v/>
      </c>
      <c r="U516" s="176"/>
      <c r="V516" s="177" t="e">
        <f>IF(C516="",NA(),IF(OR(C516="Smelter not listed",C516="Smelter not yet identified"),MATCH($B516&amp;$D516,'Smelter Look-up'!$J:$J,0),MATCH($B516&amp;$C516,'Smelter Look-up'!$J:$J,0)))</f>
        <v>#N/A</v>
      </c>
      <c r="X516" s="140">
        <f t="shared" si="76"/>
        <v>0</v>
      </c>
      <c r="AB516" s="178" t="str">
        <f t="shared" si="77"/>
        <v>GoldSmelter not listed</v>
      </c>
    </row>
    <row r="517" spans="1:28" s="140" customFormat="1" ht="38.25">
      <c r="A517" s="167"/>
      <c r="B517" s="168" t="s">
        <v>133</v>
      </c>
      <c r="C517" s="169" t="s">
        <v>209</v>
      </c>
      <c r="D517" s="170" t="s">
        <v>17700</v>
      </c>
      <c r="E517" s="168" t="s">
        <v>192</v>
      </c>
      <c r="F517" s="168" t="s">
        <v>17555</v>
      </c>
      <c r="G517" s="168" t="s">
        <v>114</v>
      </c>
      <c r="H517" s="171" t="s">
        <v>114</v>
      </c>
      <c r="I517" s="172"/>
      <c r="J517" s="172" t="s">
        <v>114</v>
      </c>
      <c r="K517" s="173"/>
      <c r="L517" s="173"/>
      <c r="M517" s="173"/>
      <c r="N517" s="173"/>
      <c r="O517" s="173"/>
      <c r="P517" s="174"/>
      <c r="Q517" s="175"/>
      <c r="R517" s="168" t="str">
        <f ca="1">IF(ISERROR($V517),"",OFFSET('Smelter Look-up'!$C$4,$V517-4,0)&amp;"")</f>
        <v/>
      </c>
      <c r="S517" s="167" t="str">
        <f t="shared" ca="1" si="75"/>
        <v>CN</v>
      </c>
      <c r="T517" s="167" t="str">
        <f ca="1">IF(B517="","",IF(ISERROR(MATCH($J517,SorP!$B$1:$B$6230,0)),"",INDIRECT("'SorP'!$A$"&amp;MATCH($J517,SorP!$B$1:$B$6230,0))))</f>
        <v/>
      </c>
      <c r="U517" s="176"/>
      <c r="V517" s="177" t="e">
        <f>IF(C517="",NA(),IF(OR(C517="Smelter not listed",C517="Smelter not yet identified"),MATCH($B517&amp;$D517,'Smelter Look-up'!$J:$J,0),MATCH($B517&amp;$C517,'Smelter Look-up'!$J:$J,0)))</f>
        <v>#N/A</v>
      </c>
      <c r="X517" s="140">
        <f t="shared" si="76"/>
        <v>0</v>
      </c>
      <c r="AB517" s="178" t="str">
        <f t="shared" si="77"/>
        <v>GoldSmelter not listed</v>
      </c>
    </row>
    <row r="518" spans="1:28" s="140" customFormat="1" ht="38.25">
      <c r="A518" s="167"/>
      <c r="B518" s="168" t="s">
        <v>133</v>
      </c>
      <c r="C518" s="169" t="s">
        <v>209</v>
      </c>
      <c r="D518" s="170" t="s">
        <v>17701</v>
      </c>
      <c r="E518" s="168" t="s">
        <v>192</v>
      </c>
      <c r="F518" s="168" t="s">
        <v>17556</v>
      </c>
      <c r="G518" s="168" t="s">
        <v>114</v>
      </c>
      <c r="H518" s="171" t="s">
        <v>114</v>
      </c>
      <c r="I518" s="172"/>
      <c r="J518" s="172" t="s">
        <v>114</v>
      </c>
      <c r="K518" s="173"/>
      <c r="L518" s="173"/>
      <c r="M518" s="173"/>
      <c r="N518" s="173"/>
      <c r="O518" s="173"/>
      <c r="P518" s="174"/>
      <c r="Q518" s="175"/>
      <c r="R518" s="168" t="str">
        <f ca="1">IF(ISERROR($V518),"",OFFSET('Smelter Look-up'!$C$4,$V518-4,0)&amp;"")</f>
        <v/>
      </c>
      <c r="S518" s="167" t="str">
        <f t="shared" ca="1" si="75"/>
        <v>CN</v>
      </c>
      <c r="T518" s="167" t="str">
        <f ca="1">IF(B518="","",IF(ISERROR(MATCH($J518,SorP!$B$1:$B$6230,0)),"",INDIRECT("'SorP'!$A$"&amp;MATCH($J518,SorP!$B$1:$B$6230,0))))</f>
        <v/>
      </c>
      <c r="U518" s="176"/>
      <c r="V518" s="177" t="e">
        <f>IF(C518="",NA(),IF(OR(C518="Smelter not listed",C518="Smelter not yet identified"),MATCH($B518&amp;$D518,'Smelter Look-up'!$J:$J,0),MATCH($B518&amp;$C518,'Smelter Look-up'!$J:$J,0)))</f>
        <v>#N/A</v>
      </c>
      <c r="X518" s="140">
        <f t="shared" si="76"/>
        <v>0</v>
      </c>
      <c r="AB518" s="178" t="str">
        <f t="shared" si="77"/>
        <v>GoldSmelter not listed</v>
      </c>
    </row>
    <row r="519" spans="1:28" s="140" customFormat="1" ht="51">
      <c r="A519" s="167"/>
      <c r="B519" s="168" t="s">
        <v>133</v>
      </c>
      <c r="C519" s="169" t="s">
        <v>209</v>
      </c>
      <c r="D519" s="170" t="s">
        <v>17703</v>
      </c>
      <c r="E519" s="168" t="s">
        <v>192</v>
      </c>
      <c r="F519" s="168" t="s">
        <v>17557</v>
      </c>
      <c r="G519" s="168" t="s">
        <v>114</v>
      </c>
      <c r="H519" s="171" t="s">
        <v>17853</v>
      </c>
      <c r="I519" s="172" t="s">
        <v>17854</v>
      </c>
      <c r="J519" s="172" t="s">
        <v>114</v>
      </c>
      <c r="K519" s="173"/>
      <c r="L519" s="173"/>
      <c r="M519" s="173"/>
      <c r="N519" s="173"/>
      <c r="O519" s="173"/>
      <c r="P519" s="174"/>
      <c r="Q519" s="175" t="s">
        <v>17557</v>
      </c>
      <c r="R519" s="168" t="str">
        <f ca="1">IF(ISERROR($V519),"",OFFSET('Smelter Look-up'!$C$4,$V519-4,0)&amp;"")</f>
        <v/>
      </c>
      <c r="S519" s="167" t="str">
        <f t="shared" ca="1" si="75"/>
        <v>CN</v>
      </c>
      <c r="T519" s="167" t="str">
        <f ca="1">IF(B519="","",IF(ISERROR(MATCH($J519,SorP!$B$1:$B$6230,0)),"",INDIRECT("'SorP'!$A$"&amp;MATCH($J519,SorP!$B$1:$B$6230,0))))</f>
        <v/>
      </c>
      <c r="U519" s="176"/>
      <c r="V519" s="177" t="e">
        <f>IF(C519="",NA(),IF(OR(C519="Smelter not listed",C519="Smelter not yet identified"),MATCH($B519&amp;$D519,'Smelter Look-up'!$J:$J,0),MATCH($B519&amp;$C519,'Smelter Look-up'!$J:$J,0)))</f>
        <v>#N/A</v>
      </c>
      <c r="X519" s="140">
        <f t="shared" si="76"/>
        <v>0</v>
      </c>
      <c r="AB519" s="178" t="str">
        <f t="shared" si="77"/>
        <v>GoldSmelter not listed</v>
      </c>
    </row>
    <row r="520" spans="1:28" s="140" customFormat="1" ht="51">
      <c r="A520" s="167"/>
      <c r="B520" s="168" t="s">
        <v>132</v>
      </c>
      <c r="C520" s="169" t="s">
        <v>209</v>
      </c>
      <c r="D520" s="170" t="s">
        <v>17704</v>
      </c>
      <c r="E520" s="168" t="s">
        <v>192</v>
      </c>
      <c r="F520" s="168" t="s">
        <v>17558</v>
      </c>
      <c r="G520" s="168" t="s">
        <v>142</v>
      </c>
      <c r="H520" s="171" t="s">
        <v>114</v>
      </c>
      <c r="I520" s="172" t="s">
        <v>114</v>
      </c>
      <c r="J520" s="172" t="s">
        <v>114</v>
      </c>
      <c r="K520" s="173"/>
      <c r="L520" s="173"/>
      <c r="M520" s="173"/>
      <c r="N520" s="173" t="s">
        <v>121</v>
      </c>
      <c r="O520" s="173" t="s">
        <v>121</v>
      </c>
      <c r="P520" s="174" t="s">
        <v>121</v>
      </c>
      <c r="Q520" s="175"/>
      <c r="R520" s="168" t="str">
        <f ca="1">IF(ISERROR($V520),"",OFFSET('Smelter Look-up'!$C$4,$V520-4,0)&amp;"")</f>
        <v/>
      </c>
      <c r="S520" s="167" t="str">
        <f t="shared" ca="1" si="75"/>
        <v>CN</v>
      </c>
      <c r="T520" s="167" t="str">
        <f ca="1">IF(B520="","",IF(ISERROR(MATCH($J520,SorP!$B$1:$B$6230,0)),"",INDIRECT("'SorP'!$A$"&amp;MATCH($J520,SorP!$B$1:$B$6230,0))))</f>
        <v/>
      </c>
      <c r="U520" s="176"/>
      <c r="V520" s="177" t="e">
        <f>IF(C520="",NA(),IF(OR(C520="Smelter not listed",C520="Smelter not yet identified"),MATCH($B520&amp;$D520,'Smelter Look-up'!$J:$J,0),MATCH($B520&amp;$C520,'Smelter Look-up'!$J:$J,0)))</f>
        <v>#N/A</v>
      </c>
      <c r="X520" s="140">
        <f t="shared" si="76"/>
        <v>0</v>
      </c>
      <c r="AB520" s="178" t="str">
        <f t="shared" si="77"/>
        <v>TungstenSmelter not listed</v>
      </c>
    </row>
    <row r="521" spans="1:28" s="140" customFormat="1" ht="51">
      <c r="A521" s="167"/>
      <c r="B521" s="168" t="s">
        <v>132</v>
      </c>
      <c r="C521" s="169" t="s">
        <v>209</v>
      </c>
      <c r="D521" s="170" t="s">
        <v>17705</v>
      </c>
      <c r="E521" s="168" t="s">
        <v>192</v>
      </c>
      <c r="F521" s="168" t="s">
        <v>17540</v>
      </c>
      <c r="G521" s="168" t="s">
        <v>114</v>
      </c>
      <c r="H521" s="171" t="s">
        <v>114</v>
      </c>
      <c r="I521" s="172"/>
      <c r="J521" s="172" t="s">
        <v>114</v>
      </c>
      <c r="K521" s="173"/>
      <c r="L521" s="173"/>
      <c r="M521" s="173"/>
      <c r="N521" s="173" t="s">
        <v>121</v>
      </c>
      <c r="O521" s="173" t="s">
        <v>121</v>
      </c>
      <c r="P521" s="174" t="s">
        <v>121</v>
      </c>
      <c r="Q521" s="175"/>
      <c r="R521" s="168" t="str">
        <f ca="1">IF(ISERROR($V521),"",OFFSET('Smelter Look-up'!$C$4,$V521-4,0)&amp;"")</f>
        <v/>
      </c>
      <c r="S521" s="167" t="str">
        <f t="shared" ca="1" si="75"/>
        <v>CN</v>
      </c>
      <c r="T521" s="167" t="str">
        <f ca="1">IF(B521="","",IF(ISERROR(MATCH($J521,SorP!$B$1:$B$6230,0)),"",INDIRECT("'SorP'!$A$"&amp;MATCH($J521,SorP!$B$1:$B$6230,0))))</f>
        <v/>
      </c>
      <c r="U521" s="176"/>
      <c r="V521" s="177" t="e">
        <f>IF(C521="",NA(),IF(OR(C521="Smelter not listed",C521="Smelter not yet identified"),MATCH($B521&amp;$D521,'Smelter Look-up'!$J:$J,0),MATCH($B521&amp;$C521,'Smelter Look-up'!$J:$J,0)))</f>
        <v>#N/A</v>
      </c>
      <c r="X521" s="140">
        <f t="shared" si="76"/>
        <v>0</v>
      </c>
      <c r="AB521" s="178" t="str">
        <f t="shared" si="77"/>
        <v>TungstenSmelter not listed</v>
      </c>
    </row>
    <row r="522" spans="1:28" s="140" customFormat="1" ht="38.25">
      <c r="A522" s="167"/>
      <c r="B522" s="168" t="s">
        <v>131</v>
      </c>
      <c r="C522" s="169" t="s">
        <v>209</v>
      </c>
      <c r="D522" s="170" t="s">
        <v>17706</v>
      </c>
      <c r="E522" s="168" t="s">
        <v>155</v>
      </c>
      <c r="F522" s="168" t="s">
        <v>17559</v>
      </c>
      <c r="G522" s="168" t="s">
        <v>142</v>
      </c>
      <c r="H522" s="171" t="s">
        <v>114</v>
      </c>
      <c r="I522" s="172" t="s">
        <v>196</v>
      </c>
      <c r="J522" s="172" t="s">
        <v>196</v>
      </c>
      <c r="K522" s="173"/>
      <c r="L522" s="173"/>
      <c r="M522" s="173"/>
      <c r="N522" s="173" t="s">
        <v>121</v>
      </c>
      <c r="O522" s="173" t="s">
        <v>121</v>
      </c>
      <c r="P522" s="174" t="s">
        <v>121</v>
      </c>
      <c r="Q522" s="175"/>
      <c r="R522" s="168" t="str">
        <f ca="1">IF(ISERROR($V522),"",OFFSET('Smelter Look-up'!$C$4,$V522-4,0)&amp;"")</f>
        <v/>
      </c>
      <c r="S522" s="167" t="str">
        <f t="shared" ca="1" si="75"/>
        <v>JP</v>
      </c>
      <c r="T522" s="167" t="str">
        <f ca="1">IF(B522="","",IF(ISERROR(MATCH($J522,SorP!$B$1:$B$6230,0)),"",INDIRECT("'SorP'!$A$"&amp;MATCH($J522,SorP!$B$1:$B$6230,0))))</f>
        <v/>
      </c>
      <c r="U522" s="176"/>
      <c r="V522" s="177" t="e">
        <f>IF(C522="",NA(),IF(OR(C522="Smelter not listed",C522="Smelter not yet identified"),MATCH($B522&amp;$D522,'Smelter Look-up'!$J:$J,0),MATCH($B522&amp;$C522,'Smelter Look-up'!$J:$J,0)))</f>
        <v>#N/A</v>
      </c>
      <c r="X522" s="140">
        <f t="shared" si="76"/>
        <v>0</v>
      </c>
      <c r="AB522" s="178" t="str">
        <f t="shared" si="77"/>
        <v>TinSmelter not listed</v>
      </c>
    </row>
    <row r="523" spans="1:28" s="140" customFormat="1" ht="38.25">
      <c r="A523" s="167"/>
      <c r="B523" s="168" t="s">
        <v>131</v>
      </c>
      <c r="C523" s="169" t="s">
        <v>209</v>
      </c>
      <c r="D523" s="170" t="s">
        <v>993</v>
      </c>
      <c r="E523" s="168" t="s">
        <v>192</v>
      </c>
      <c r="F523" s="168" t="s">
        <v>17560</v>
      </c>
      <c r="G523" s="168" t="s">
        <v>142</v>
      </c>
      <c r="H523" s="171" t="s">
        <v>114</v>
      </c>
      <c r="I523" s="172" t="s">
        <v>994</v>
      </c>
      <c r="J523" s="172" t="s">
        <v>995</v>
      </c>
      <c r="K523" s="173"/>
      <c r="L523" s="173" t="s">
        <v>17855</v>
      </c>
      <c r="M523" s="173"/>
      <c r="N523" s="173" t="s">
        <v>121</v>
      </c>
      <c r="O523" s="173" t="s">
        <v>121</v>
      </c>
      <c r="P523" s="174" t="s">
        <v>121</v>
      </c>
      <c r="Q523" s="175"/>
      <c r="R523" s="168" t="str">
        <f ca="1">IF(ISERROR($V523),"",OFFSET('Smelter Look-up'!$C$4,$V523-4,0)&amp;"")</f>
        <v/>
      </c>
      <c r="S523" s="167" t="str">
        <f t="shared" ca="1" si="75"/>
        <v>CN</v>
      </c>
      <c r="T523" s="167" t="str">
        <f ca="1">IF(B523="","",IF(ISERROR(MATCH($J523,SorP!$B$1:$B$6230,0)),"",INDIRECT("'SorP'!$A$"&amp;MATCH($J523,SorP!$B$1:$B$6230,0))))</f>
        <v>CN-GX</v>
      </c>
      <c r="U523" s="176"/>
      <c r="V523" s="177" t="e">
        <f>IF(C523="",NA(),IF(OR(C523="Smelter not listed",C523="Smelter not yet identified"),MATCH($B523&amp;$D523,'Smelter Look-up'!$J:$J,0),MATCH($B523&amp;$C523,'Smelter Look-up'!$J:$J,0)))</f>
        <v>#N/A</v>
      </c>
      <c r="X523" s="140">
        <f t="shared" si="76"/>
        <v>0</v>
      </c>
      <c r="AB523" s="178" t="str">
        <f t="shared" si="77"/>
        <v>TinSmelter not listed</v>
      </c>
    </row>
    <row r="524" spans="1:28" s="140" customFormat="1" ht="38.25">
      <c r="A524" s="167"/>
      <c r="B524" s="168" t="s">
        <v>133</v>
      </c>
      <c r="C524" s="169" t="s">
        <v>209</v>
      </c>
      <c r="D524" s="170" t="s">
        <v>17707</v>
      </c>
      <c r="E524" s="168" t="s">
        <v>511</v>
      </c>
      <c r="F524" s="168" t="s">
        <v>17561</v>
      </c>
      <c r="G524" s="168" t="s">
        <v>169</v>
      </c>
      <c r="H524" s="171" t="s">
        <v>114</v>
      </c>
      <c r="I524" s="172" t="s">
        <v>196</v>
      </c>
      <c r="J524" s="172" t="s">
        <v>196</v>
      </c>
      <c r="K524" s="173"/>
      <c r="L524" s="173"/>
      <c r="M524" s="173"/>
      <c r="N524" s="173"/>
      <c r="O524" s="173"/>
      <c r="P524" s="174"/>
      <c r="Q524" s="175"/>
      <c r="R524" s="168" t="str">
        <f ca="1">IF(ISERROR($V524),"",OFFSET('Smelter Look-up'!$C$4,$V524-4,0)&amp;"")</f>
        <v/>
      </c>
      <c r="S524" s="167" t="str">
        <f t="shared" ca="1" si="75"/>
        <v>CL</v>
      </c>
      <c r="T524" s="167" t="str">
        <f ca="1">IF(B524="","",IF(ISERROR(MATCH($J524,SorP!$B$1:$B$6230,0)),"",INDIRECT("'SorP'!$A$"&amp;MATCH($J524,SorP!$B$1:$B$6230,0))))</f>
        <v/>
      </c>
      <c r="U524" s="176"/>
      <c r="V524" s="177" t="e">
        <f>IF(C524="",NA(),IF(OR(C524="Smelter not listed",C524="Smelter not yet identified"),MATCH($B524&amp;$D524,'Smelter Look-up'!$J:$J,0),MATCH($B524&amp;$C524,'Smelter Look-up'!$J:$J,0)))</f>
        <v>#N/A</v>
      </c>
      <c r="X524" s="140">
        <f t="shared" si="76"/>
        <v>0</v>
      </c>
      <c r="AB524" s="178" t="str">
        <f t="shared" si="77"/>
        <v>GoldSmelter not listed</v>
      </c>
    </row>
    <row r="525" spans="1:28" s="140" customFormat="1" ht="38.25">
      <c r="A525" s="167"/>
      <c r="B525" s="168" t="s">
        <v>133</v>
      </c>
      <c r="C525" s="169" t="s">
        <v>209</v>
      </c>
      <c r="D525" s="170" t="s">
        <v>17708</v>
      </c>
      <c r="E525" s="168" t="s">
        <v>141</v>
      </c>
      <c r="F525" s="168" t="s">
        <v>17562</v>
      </c>
      <c r="G525" s="168" t="s">
        <v>169</v>
      </c>
      <c r="H525" s="171" t="s">
        <v>114</v>
      </c>
      <c r="I525" s="172" t="s">
        <v>196</v>
      </c>
      <c r="J525" s="172" t="s">
        <v>196</v>
      </c>
      <c r="K525" s="173"/>
      <c r="L525" s="173"/>
      <c r="M525" s="173"/>
      <c r="N525" s="173"/>
      <c r="O525" s="173"/>
      <c r="P525" s="174"/>
      <c r="Q525" s="175"/>
      <c r="R525" s="168" t="str">
        <f ca="1">IF(ISERROR($V525),"",OFFSET('Smelter Look-up'!$C$4,$V525-4,0)&amp;"")</f>
        <v/>
      </c>
      <c r="S525" s="167" t="str">
        <f t="shared" ca="1" si="75"/>
        <v>US</v>
      </c>
      <c r="T525" s="167" t="str">
        <f ca="1">IF(B525="","",IF(ISERROR(MATCH($J525,SorP!$B$1:$B$6230,0)),"",INDIRECT("'SorP'!$A$"&amp;MATCH($J525,SorP!$B$1:$B$6230,0))))</f>
        <v/>
      </c>
      <c r="U525" s="176"/>
      <c r="V525" s="177" t="e">
        <f>IF(C525="",NA(),IF(OR(C525="Smelter not listed",C525="Smelter not yet identified"),MATCH($B525&amp;$D525,'Smelter Look-up'!$J:$J,0),MATCH($B525&amp;$C525,'Smelter Look-up'!$J:$J,0)))</f>
        <v>#N/A</v>
      </c>
      <c r="X525" s="140">
        <f t="shared" si="76"/>
        <v>0</v>
      </c>
      <c r="AB525" s="178" t="str">
        <f t="shared" si="77"/>
        <v>GoldSmelter not listed</v>
      </c>
    </row>
    <row r="526" spans="1:28" s="140" customFormat="1" ht="38.25">
      <c r="A526" s="167"/>
      <c r="B526" s="168" t="s">
        <v>133</v>
      </c>
      <c r="C526" s="169" t="s">
        <v>209</v>
      </c>
      <c r="D526" s="170" t="s">
        <v>17709</v>
      </c>
      <c r="E526" s="168" t="s">
        <v>433</v>
      </c>
      <c r="F526" s="168" t="s">
        <v>17564</v>
      </c>
      <c r="G526" s="168" t="s">
        <v>114</v>
      </c>
      <c r="H526" s="171" t="s">
        <v>114</v>
      </c>
      <c r="I526" s="172" t="s">
        <v>512</v>
      </c>
      <c r="J526" s="172" t="s">
        <v>17856</v>
      </c>
      <c r="K526" s="173"/>
      <c r="L526" s="173"/>
      <c r="M526" s="173"/>
      <c r="N526" s="173"/>
      <c r="O526" s="173"/>
      <c r="P526" s="174"/>
      <c r="Q526" s="175"/>
      <c r="R526" s="168" t="str">
        <f ca="1">IF(ISERROR($V526),"",OFFSET('Smelter Look-up'!$C$4,$V526-4,0)&amp;"")</f>
        <v/>
      </c>
      <c r="S526" s="167" t="str">
        <f t="shared" ca="1" si="75"/>
        <v>BR</v>
      </c>
      <c r="T526" s="167" t="str">
        <f ca="1">IF(B526="","",IF(ISERROR(MATCH($J526,SorP!$B$1:$B$6230,0)),"",INDIRECT("'SorP'!$A$"&amp;MATCH($J526,SorP!$B$1:$B$6230,0))))</f>
        <v/>
      </c>
      <c r="U526" s="176"/>
      <c r="V526" s="177" t="e">
        <f>IF(C526="",NA(),IF(OR(C526="Smelter not listed",C526="Smelter not yet identified"),MATCH($B526&amp;$D526,'Smelter Look-up'!$J:$J,0),MATCH($B526&amp;$C526,'Smelter Look-up'!$J:$J,0)))</f>
        <v>#N/A</v>
      </c>
      <c r="X526" s="140">
        <f t="shared" si="76"/>
        <v>0</v>
      </c>
      <c r="AB526" s="178" t="str">
        <f t="shared" si="77"/>
        <v>GoldSmelter not listed</v>
      </c>
    </row>
    <row r="527" spans="1:28" s="140" customFormat="1" ht="38.25">
      <c r="A527" s="167"/>
      <c r="B527" s="168" t="s">
        <v>131</v>
      </c>
      <c r="C527" s="169" t="s">
        <v>209</v>
      </c>
      <c r="D527" s="170" t="s">
        <v>17710</v>
      </c>
      <c r="E527" s="168" t="s">
        <v>433</v>
      </c>
      <c r="F527" s="168" t="s">
        <v>17523</v>
      </c>
      <c r="G527" s="168" t="s">
        <v>114</v>
      </c>
      <c r="H527" s="171" t="s">
        <v>114</v>
      </c>
      <c r="I527" s="172" t="s">
        <v>114</v>
      </c>
      <c r="J527" s="172" t="s">
        <v>114</v>
      </c>
      <c r="K527" s="173" t="s">
        <v>17857</v>
      </c>
      <c r="L527" s="173" t="s">
        <v>17858</v>
      </c>
      <c r="M527" s="173"/>
      <c r="N527" s="173" t="s">
        <v>121</v>
      </c>
      <c r="O527" s="173" t="s">
        <v>121</v>
      </c>
      <c r="P527" s="174" t="s">
        <v>121</v>
      </c>
      <c r="Q527" s="175" t="s">
        <v>1067</v>
      </c>
      <c r="R527" s="168" t="str">
        <f ca="1">IF(ISERROR($V527),"",OFFSET('Smelter Look-up'!$C$4,$V527-4,0)&amp;"")</f>
        <v/>
      </c>
      <c r="S527" s="167" t="str">
        <f t="shared" ca="1" si="75"/>
        <v>BR</v>
      </c>
      <c r="T527" s="167" t="str">
        <f ca="1">IF(B527="","",IF(ISERROR(MATCH($J527,SorP!$B$1:$B$6230,0)),"",INDIRECT("'SorP'!$A$"&amp;MATCH($J527,SorP!$B$1:$B$6230,0))))</f>
        <v/>
      </c>
      <c r="U527" s="176"/>
      <c r="V527" s="177" t="e">
        <f>IF(C527="",NA(),IF(OR(C527="Smelter not listed",C527="Smelter not yet identified"),MATCH($B527&amp;$D527,'Smelter Look-up'!$J:$J,0),MATCH($B527&amp;$C527,'Smelter Look-up'!$J:$J,0)))</f>
        <v>#N/A</v>
      </c>
      <c r="X527" s="140">
        <f t="shared" si="76"/>
        <v>0</v>
      </c>
      <c r="AB527" s="178" t="str">
        <f t="shared" si="77"/>
        <v>TinSmelter not listed</v>
      </c>
    </row>
    <row r="528" spans="1:28" s="140" customFormat="1" ht="51">
      <c r="A528" s="167"/>
      <c r="B528" s="168" t="s">
        <v>132</v>
      </c>
      <c r="C528" s="169" t="s">
        <v>209</v>
      </c>
      <c r="D528" s="170" t="s">
        <v>17711</v>
      </c>
      <c r="E528" s="168" t="s">
        <v>141</v>
      </c>
      <c r="F528" s="168" t="s">
        <v>17565</v>
      </c>
      <c r="G528" s="168" t="s">
        <v>142</v>
      </c>
      <c r="H528" s="171" t="s">
        <v>114</v>
      </c>
      <c r="I528" s="172" t="s">
        <v>17859</v>
      </c>
      <c r="J528" s="172" t="s">
        <v>218</v>
      </c>
      <c r="K528" s="173"/>
      <c r="L528" s="173"/>
      <c r="M528" s="173"/>
      <c r="N528" s="173" t="s">
        <v>121</v>
      </c>
      <c r="O528" s="173" t="s">
        <v>121</v>
      </c>
      <c r="P528" s="174" t="s">
        <v>121</v>
      </c>
      <c r="Q528" s="175" t="s">
        <v>17860</v>
      </c>
      <c r="R528" s="168" t="str">
        <f ca="1">IF(ISERROR($V528),"",OFFSET('Smelter Look-up'!$C$4,$V528-4,0)&amp;"")</f>
        <v/>
      </c>
      <c r="S528" s="167" t="str">
        <f t="shared" ca="1" si="75"/>
        <v>US</v>
      </c>
      <c r="T528" s="167" t="str">
        <f ca="1">IF(B528="","",IF(ISERROR(MATCH($J528,SorP!$B$1:$B$6230,0)),"",INDIRECT("'SorP'!$A$"&amp;MATCH($J528,SorP!$B$1:$B$6230,0))))</f>
        <v>US-OH</v>
      </c>
      <c r="U528" s="176"/>
      <c r="V528" s="177" t="e">
        <f>IF(C528="",NA(),IF(OR(C528="Smelter not listed",C528="Smelter not yet identified"),MATCH($B528&amp;$D528,'Smelter Look-up'!$J:$J,0),MATCH($B528&amp;$C528,'Smelter Look-up'!$J:$J,0)))</f>
        <v>#N/A</v>
      </c>
      <c r="X528" s="140">
        <f t="shared" si="76"/>
        <v>0</v>
      </c>
      <c r="AB528" s="178" t="str">
        <f t="shared" si="77"/>
        <v>TungstenSmelter not listed</v>
      </c>
    </row>
    <row r="529" spans="1:28" s="140" customFormat="1" ht="51">
      <c r="A529" s="167"/>
      <c r="B529" s="168" t="s">
        <v>130</v>
      </c>
      <c r="C529" s="169" t="s">
        <v>209</v>
      </c>
      <c r="D529" s="170" t="s">
        <v>17711</v>
      </c>
      <c r="E529" s="168" t="s">
        <v>141</v>
      </c>
      <c r="F529" s="168" t="s">
        <v>17566</v>
      </c>
      <c r="G529" s="168" t="s">
        <v>142</v>
      </c>
      <c r="H529" s="171" t="s">
        <v>114</v>
      </c>
      <c r="I529" s="172" t="s">
        <v>17859</v>
      </c>
      <c r="J529" s="172" t="s">
        <v>218</v>
      </c>
      <c r="K529" s="173"/>
      <c r="L529" s="173"/>
      <c r="M529" s="173"/>
      <c r="N529" s="173" t="s">
        <v>121</v>
      </c>
      <c r="O529" s="173" t="s">
        <v>121</v>
      </c>
      <c r="P529" s="174" t="s">
        <v>1279</v>
      </c>
      <c r="Q529" s="175" t="s">
        <v>17861</v>
      </c>
      <c r="R529" s="168" t="str">
        <f ca="1">IF(ISERROR($V529),"",OFFSET('Smelter Look-up'!$C$4,$V529-4,0)&amp;"")</f>
        <v/>
      </c>
      <c r="S529" s="167" t="str">
        <f t="shared" ca="1" si="75"/>
        <v>US</v>
      </c>
      <c r="T529" s="167" t="str">
        <f ca="1">IF(B529="","",IF(ISERROR(MATCH($J529,SorP!$B$1:$B$6230,0)),"",INDIRECT("'SorP'!$A$"&amp;MATCH($J529,SorP!$B$1:$B$6230,0))))</f>
        <v>US-OH</v>
      </c>
      <c r="U529" s="176"/>
      <c r="V529" s="177" t="e">
        <f>IF(C529="",NA(),IF(OR(C529="Smelter not listed",C529="Smelter not yet identified"),MATCH($B529&amp;$D529,'Smelter Look-up'!$J:$J,0),MATCH($B529&amp;$C529,'Smelter Look-up'!$J:$J,0)))</f>
        <v>#N/A</v>
      </c>
      <c r="X529" s="140">
        <f t="shared" si="76"/>
        <v>0</v>
      </c>
      <c r="AB529" s="178" t="str">
        <f t="shared" si="77"/>
        <v>TantalumSmelter not listed</v>
      </c>
    </row>
    <row r="530" spans="1:28" s="140" customFormat="1" ht="409.5">
      <c r="A530" s="167"/>
      <c r="B530" s="168" t="s">
        <v>131</v>
      </c>
      <c r="C530" s="169" t="s">
        <v>209</v>
      </c>
      <c r="D530" s="170" t="s">
        <v>17712</v>
      </c>
      <c r="E530" s="168" t="s">
        <v>253</v>
      </c>
      <c r="F530" s="168" t="s">
        <v>17567</v>
      </c>
      <c r="G530" s="168" t="s">
        <v>142</v>
      </c>
      <c r="H530" s="171" t="s">
        <v>114</v>
      </c>
      <c r="I530" s="172" t="s">
        <v>1056</v>
      </c>
      <c r="J530" s="172" t="s">
        <v>833</v>
      </c>
      <c r="K530" s="173" t="s">
        <v>17862</v>
      </c>
      <c r="L530" s="173" t="s">
        <v>17863</v>
      </c>
      <c r="M530" s="173"/>
      <c r="N530" s="173" t="s">
        <v>17864</v>
      </c>
      <c r="O530" s="173" t="s">
        <v>17865</v>
      </c>
      <c r="P530" s="174" t="s">
        <v>117</v>
      </c>
      <c r="Q530" s="175" t="s">
        <v>17866</v>
      </c>
      <c r="R530" s="168" t="str">
        <f ca="1">IF(ISERROR($V530),"",OFFSET('Smelter Look-up'!$C$4,$V530-4,0)&amp;"")</f>
        <v/>
      </c>
      <c r="S530" s="167" t="str">
        <f t="shared" ca="1" si="75"/>
        <v>ID</v>
      </c>
      <c r="T530" s="167" t="str">
        <f ca="1">IF(B530="","",IF(ISERROR(MATCH($J530,SorP!$B$1:$B$6230,0)),"",INDIRECT("'SorP'!$A$"&amp;MATCH($J530,SorP!$B$1:$B$6230,0))))</f>
        <v>ID-BB</v>
      </c>
      <c r="U530" s="176"/>
      <c r="V530" s="177" t="e">
        <f>IF(C530="",NA(),IF(OR(C530="Smelter not listed",C530="Smelter not yet identified"),MATCH($B530&amp;$D530,'Smelter Look-up'!$J:$J,0),MATCH($B530&amp;$C530,'Smelter Look-up'!$J:$J,0)))</f>
        <v>#N/A</v>
      </c>
      <c r="X530" s="140">
        <f t="shared" si="76"/>
        <v>0</v>
      </c>
      <c r="AB530" s="178" t="str">
        <f t="shared" si="77"/>
        <v>TinSmelter not listed</v>
      </c>
    </row>
    <row r="531" spans="1:28" s="140" customFormat="1" ht="38.25">
      <c r="A531" s="167"/>
      <c r="B531" s="168" t="s">
        <v>131</v>
      </c>
      <c r="C531" s="169" t="s">
        <v>209</v>
      </c>
      <c r="D531" s="170" t="s">
        <v>17713</v>
      </c>
      <c r="E531" s="168" t="s">
        <v>253</v>
      </c>
      <c r="F531" s="168" t="s">
        <v>17568</v>
      </c>
      <c r="G531" s="168" t="s">
        <v>142</v>
      </c>
      <c r="H531" s="171" t="s">
        <v>114</v>
      </c>
      <c r="I531" s="172" t="s">
        <v>1071</v>
      </c>
      <c r="J531" s="172" t="s">
        <v>833</v>
      </c>
      <c r="K531" s="173" t="s">
        <v>17867</v>
      </c>
      <c r="L531" s="173" t="s">
        <v>17868</v>
      </c>
      <c r="M531" s="173"/>
      <c r="N531" s="173" t="s">
        <v>17869</v>
      </c>
      <c r="O531" s="173" t="s">
        <v>17870</v>
      </c>
      <c r="P531" s="174" t="s">
        <v>121</v>
      </c>
      <c r="Q531" s="175"/>
      <c r="R531" s="168" t="str">
        <f ca="1">IF(ISERROR($V531),"",OFFSET('Smelter Look-up'!$C$4,$V531-4,0)&amp;"")</f>
        <v/>
      </c>
      <c r="S531" s="167" t="str">
        <f t="shared" ca="1" si="75"/>
        <v>ID</v>
      </c>
      <c r="T531" s="167" t="str">
        <f ca="1">IF(B531="","",IF(ISERROR(MATCH($J531,SorP!$B$1:$B$6230,0)),"",INDIRECT("'SorP'!$A$"&amp;MATCH($J531,SorP!$B$1:$B$6230,0))))</f>
        <v>ID-BB</v>
      </c>
      <c r="U531" s="176"/>
      <c r="V531" s="177" t="e">
        <f>IF(C531="",NA(),IF(OR(C531="Smelter not listed",C531="Smelter not yet identified"),MATCH($B531&amp;$D531,'Smelter Look-up'!$J:$J,0),MATCH($B531&amp;$C531,'Smelter Look-up'!$J:$J,0)))</f>
        <v>#N/A</v>
      </c>
      <c r="X531" s="140">
        <f t="shared" si="76"/>
        <v>0</v>
      </c>
      <c r="AB531" s="178" t="str">
        <f t="shared" si="77"/>
        <v>TinSmelter not listed</v>
      </c>
    </row>
    <row r="532" spans="1:28" s="140" customFormat="1" ht="38.25">
      <c r="A532" s="167"/>
      <c r="B532" s="168" t="s">
        <v>131</v>
      </c>
      <c r="C532" s="169" t="s">
        <v>209</v>
      </c>
      <c r="D532" s="170" t="s">
        <v>17714</v>
      </c>
      <c r="E532" s="168" t="s">
        <v>253</v>
      </c>
      <c r="F532" s="168" t="s">
        <v>17525</v>
      </c>
      <c r="G532" s="168" t="s">
        <v>169</v>
      </c>
      <c r="H532" s="171" t="s">
        <v>114</v>
      </c>
      <c r="I532" s="172" t="s">
        <v>196</v>
      </c>
      <c r="J532" s="172" t="s">
        <v>196</v>
      </c>
      <c r="K532" s="173"/>
      <c r="L532" s="173"/>
      <c r="M532" s="173"/>
      <c r="N532" s="173"/>
      <c r="O532" s="173"/>
      <c r="P532" s="174"/>
      <c r="Q532" s="175"/>
      <c r="R532" s="168" t="str">
        <f ca="1">IF(ISERROR($V532),"",OFFSET('Smelter Look-up'!$C$4,$V532-4,0)&amp;"")</f>
        <v/>
      </c>
      <c r="S532" s="167" t="str">
        <f t="shared" ca="1" si="75"/>
        <v>ID</v>
      </c>
      <c r="T532" s="167" t="str">
        <f ca="1">IF(B532="","",IF(ISERROR(MATCH($J532,SorP!$B$1:$B$6230,0)),"",INDIRECT("'SorP'!$A$"&amp;MATCH($J532,SorP!$B$1:$B$6230,0))))</f>
        <v/>
      </c>
      <c r="U532" s="176"/>
      <c r="V532" s="177" t="e">
        <f>IF(C532="",NA(),IF(OR(C532="Smelter not listed",C532="Smelter not yet identified"),MATCH($B532&amp;$D532,'Smelter Look-up'!$J:$J,0),MATCH($B532&amp;$C532,'Smelter Look-up'!$J:$J,0)))</f>
        <v>#N/A</v>
      </c>
      <c r="X532" s="140">
        <f t="shared" si="76"/>
        <v>0</v>
      </c>
      <c r="AB532" s="178" t="str">
        <f t="shared" si="77"/>
        <v>TinSmelter not listed</v>
      </c>
    </row>
    <row r="533" spans="1:28" s="140" customFormat="1" ht="102">
      <c r="A533" s="167"/>
      <c r="B533" s="168" t="s">
        <v>131</v>
      </c>
      <c r="C533" s="169" t="s">
        <v>209</v>
      </c>
      <c r="D533" s="170" t="s">
        <v>17715</v>
      </c>
      <c r="E533" s="168" t="s">
        <v>253</v>
      </c>
      <c r="F533" s="168" t="s">
        <v>17569</v>
      </c>
      <c r="G533" s="168" t="s">
        <v>142</v>
      </c>
      <c r="H533" s="171" t="s">
        <v>114</v>
      </c>
      <c r="I533" s="172" t="s">
        <v>1056</v>
      </c>
      <c r="J533" s="172" t="s">
        <v>833</v>
      </c>
      <c r="K533" s="173" t="s">
        <v>17871</v>
      </c>
      <c r="L533" s="173" t="s">
        <v>17872</v>
      </c>
      <c r="M533" s="173"/>
      <c r="N533" s="173" t="s">
        <v>17869</v>
      </c>
      <c r="O533" s="173" t="s">
        <v>17873</v>
      </c>
      <c r="P533" s="174" t="s">
        <v>121</v>
      </c>
      <c r="Q533" s="175" t="s">
        <v>17874</v>
      </c>
      <c r="R533" s="168" t="str">
        <f ca="1">IF(ISERROR($V533),"",OFFSET('Smelter Look-up'!$C$4,$V533-4,0)&amp;"")</f>
        <v/>
      </c>
      <c r="S533" s="167" t="str">
        <f t="shared" ca="1" si="75"/>
        <v>ID</v>
      </c>
      <c r="T533" s="167" t="str">
        <f ca="1">IF(B533="","",IF(ISERROR(MATCH($J533,SorP!$B$1:$B$6230,0)),"",INDIRECT("'SorP'!$A$"&amp;MATCH($J533,SorP!$B$1:$B$6230,0))))</f>
        <v>ID-BB</v>
      </c>
      <c r="U533" s="176"/>
      <c r="V533" s="177" t="e">
        <f>IF(C533="",NA(),IF(OR(C533="Smelter not listed",C533="Smelter not yet identified"),MATCH($B533&amp;$D533,'Smelter Look-up'!$J:$J,0),MATCH($B533&amp;$C533,'Smelter Look-up'!$J:$J,0)))</f>
        <v>#N/A</v>
      </c>
      <c r="X533" s="140">
        <f t="shared" si="76"/>
        <v>0</v>
      </c>
      <c r="AB533" s="178" t="str">
        <f t="shared" si="77"/>
        <v>TinSmelter not listed</v>
      </c>
    </row>
    <row r="534" spans="1:28" s="140" customFormat="1" ht="38.25">
      <c r="A534" s="167"/>
      <c r="B534" s="168" t="s">
        <v>131</v>
      </c>
      <c r="C534" s="169" t="s">
        <v>209</v>
      </c>
      <c r="D534" s="170" t="s">
        <v>17716</v>
      </c>
      <c r="E534" s="168" t="s">
        <v>253</v>
      </c>
      <c r="F534" s="168" t="s">
        <v>17526</v>
      </c>
      <c r="G534" s="168" t="s">
        <v>169</v>
      </c>
      <c r="H534" s="171" t="s">
        <v>114</v>
      </c>
      <c r="I534" s="172" t="s">
        <v>196</v>
      </c>
      <c r="J534" s="172" t="s">
        <v>196</v>
      </c>
      <c r="K534" s="173"/>
      <c r="L534" s="173"/>
      <c r="M534" s="173"/>
      <c r="N534" s="173"/>
      <c r="O534" s="173"/>
      <c r="P534" s="174"/>
      <c r="Q534" s="175"/>
      <c r="R534" s="168" t="str">
        <f ca="1">IF(ISERROR($V534),"",OFFSET('Smelter Look-up'!$C$4,$V534-4,0)&amp;"")</f>
        <v/>
      </c>
      <c r="S534" s="167" t="str">
        <f t="shared" ca="1" si="75"/>
        <v>ID</v>
      </c>
      <c r="T534" s="167" t="str">
        <f ca="1">IF(B534="","",IF(ISERROR(MATCH($J534,SorP!$B$1:$B$6230,0)),"",INDIRECT("'SorP'!$A$"&amp;MATCH($J534,SorP!$B$1:$B$6230,0))))</f>
        <v/>
      </c>
      <c r="U534" s="176"/>
      <c r="V534" s="177" t="e">
        <f>IF(C534="",NA(),IF(OR(C534="Smelter not listed",C534="Smelter not yet identified"),MATCH($B534&amp;$D534,'Smelter Look-up'!$J:$J,0),MATCH($B534&amp;$C534,'Smelter Look-up'!$J:$J,0)))</f>
        <v>#N/A</v>
      </c>
      <c r="X534" s="140">
        <f t="shared" si="76"/>
        <v>0</v>
      </c>
      <c r="AB534" s="178" t="str">
        <f t="shared" si="77"/>
        <v>TinSmelter not listed</v>
      </c>
    </row>
    <row r="535" spans="1:28" s="140" customFormat="1" ht="76.5">
      <c r="A535" s="167"/>
      <c r="B535" s="168" t="s">
        <v>131</v>
      </c>
      <c r="C535" s="169" t="s">
        <v>209</v>
      </c>
      <c r="D535" s="170" t="s">
        <v>17717</v>
      </c>
      <c r="E535" s="168" t="s">
        <v>253</v>
      </c>
      <c r="F535" s="168" t="s">
        <v>17570</v>
      </c>
      <c r="G535" s="168" t="s">
        <v>169</v>
      </c>
      <c r="H535" s="171" t="s">
        <v>114</v>
      </c>
      <c r="I535" s="172" t="s">
        <v>1071</v>
      </c>
      <c r="J535" s="172" t="s">
        <v>833</v>
      </c>
      <c r="K535" s="173" t="s">
        <v>17876</v>
      </c>
      <c r="L535" s="173" t="s">
        <v>17877</v>
      </c>
      <c r="M535" s="173"/>
      <c r="N535" s="173" t="s">
        <v>17878</v>
      </c>
      <c r="O535" s="173" t="s">
        <v>17879</v>
      </c>
      <c r="P535" s="174" t="s">
        <v>117</v>
      </c>
      <c r="Q535" s="175" t="s">
        <v>17880</v>
      </c>
      <c r="R535" s="168" t="str">
        <f ca="1">IF(ISERROR($V535),"",OFFSET('Smelter Look-up'!$C$4,$V535-4,0)&amp;"")</f>
        <v/>
      </c>
      <c r="S535" s="167" t="str">
        <f t="shared" ca="1" si="75"/>
        <v>ID</v>
      </c>
      <c r="T535" s="167" t="str">
        <f ca="1">IF(B535="","",IF(ISERROR(MATCH($J535,SorP!$B$1:$B$6230,0)),"",INDIRECT("'SorP'!$A$"&amp;MATCH($J535,SorP!$B$1:$B$6230,0))))</f>
        <v>ID-BB</v>
      </c>
      <c r="U535" s="176"/>
      <c r="V535" s="177" t="e">
        <f>IF(C535="",NA(),IF(OR(C535="Smelter not listed",C535="Smelter not yet identified"),MATCH($B535&amp;$D535,'Smelter Look-up'!$J:$J,0),MATCH($B535&amp;$C535,'Smelter Look-up'!$J:$J,0)))</f>
        <v>#N/A</v>
      </c>
      <c r="X535" s="140">
        <f t="shared" si="76"/>
        <v>0</v>
      </c>
      <c r="AB535" s="178" t="str">
        <f t="shared" si="77"/>
        <v>TinSmelter not listed</v>
      </c>
    </row>
    <row r="536" spans="1:28" s="140" customFormat="1" ht="38.25">
      <c r="A536" s="167"/>
      <c r="B536" s="168" t="s">
        <v>133</v>
      </c>
      <c r="C536" s="169" t="s">
        <v>209</v>
      </c>
      <c r="D536" s="170" t="s">
        <v>17718</v>
      </c>
      <c r="E536" s="168" t="s">
        <v>256</v>
      </c>
      <c r="F536" s="168" t="s">
        <v>17571</v>
      </c>
      <c r="G536" s="168" t="s">
        <v>142</v>
      </c>
      <c r="H536" s="171" t="s">
        <v>114</v>
      </c>
      <c r="I536" s="172" t="s">
        <v>196</v>
      </c>
      <c r="J536" s="172" t="s">
        <v>196</v>
      </c>
      <c r="K536" s="173" t="s">
        <v>17881</v>
      </c>
      <c r="L536" s="173" t="s">
        <v>17882</v>
      </c>
      <c r="M536" s="173"/>
      <c r="N536" s="173" t="s">
        <v>17883</v>
      </c>
      <c r="O536" s="173" t="s">
        <v>17884</v>
      </c>
      <c r="P536" s="174" t="s">
        <v>116</v>
      </c>
      <c r="Q536" s="175" t="s">
        <v>17885</v>
      </c>
      <c r="R536" s="168" t="str">
        <f ca="1">IF(ISERROR($V536),"",OFFSET('Smelter Look-up'!$C$4,$V536-4,0)&amp;"")</f>
        <v/>
      </c>
      <c r="S536" s="167" t="str">
        <f t="shared" ca="1" si="75"/>
        <v>KR</v>
      </c>
      <c r="T536" s="167" t="str">
        <f ca="1">IF(B536="","",IF(ISERROR(MATCH($J536,SorP!$B$1:$B$6230,0)),"",INDIRECT("'SorP'!$A$"&amp;MATCH($J536,SorP!$B$1:$B$6230,0))))</f>
        <v/>
      </c>
      <c r="U536" s="176"/>
      <c r="V536" s="177" t="e">
        <f>IF(C536="",NA(),IF(OR(C536="Smelter not listed",C536="Smelter not yet identified"),MATCH($B536&amp;$D536,'Smelter Look-up'!$J:$J,0),MATCH($B536&amp;$C536,'Smelter Look-up'!$J:$J,0)))</f>
        <v>#N/A</v>
      </c>
      <c r="X536" s="140">
        <f t="shared" si="76"/>
        <v>0</v>
      </c>
      <c r="AB536" s="178" t="str">
        <f t="shared" si="77"/>
        <v>GoldSmelter not listed</v>
      </c>
    </row>
    <row r="537" spans="1:28" s="140" customFormat="1" ht="38.25">
      <c r="A537" s="167"/>
      <c r="B537" s="168" t="s">
        <v>133</v>
      </c>
      <c r="C537" s="169" t="s">
        <v>209</v>
      </c>
      <c r="D537" s="170" t="s">
        <v>17719</v>
      </c>
      <c r="E537" s="168" t="s">
        <v>256</v>
      </c>
      <c r="F537" s="168" t="s">
        <v>17572</v>
      </c>
      <c r="G537" s="168" t="s">
        <v>114</v>
      </c>
      <c r="H537" s="171" t="s">
        <v>114</v>
      </c>
      <c r="I537" s="172" t="s">
        <v>196</v>
      </c>
      <c r="J537" s="172" t="s">
        <v>196</v>
      </c>
      <c r="K537" s="173"/>
      <c r="L537" s="173"/>
      <c r="M537" s="173"/>
      <c r="N537" s="173"/>
      <c r="O537" s="173"/>
      <c r="P537" s="174"/>
      <c r="Q537" s="175"/>
      <c r="R537" s="168" t="str">
        <f ca="1">IF(ISERROR($V537),"",OFFSET('Smelter Look-up'!$C$4,$V537-4,0)&amp;"")</f>
        <v/>
      </c>
      <c r="S537" s="167" t="str">
        <f t="shared" ca="1" si="75"/>
        <v>KR</v>
      </c>
      <c r="T537" s="167" t="str">
        <f ca="1">IF(B537="","",IF(ISERROR(MATCH($J537,SorP!$B$1:$B$6230,0)),"",INDIRECT("'SorP'!$A$"&amp;MATCH($J537,SorP!$B$1:$B$6230,0))))</f>
        <v/>
      </c>
      <c r="U537" s="176"/>
      <c r="V537" s="177" t="e">
        <f>IF(C537="",NA(),IF(OR(C537="Smelter not listed",C537="Smelter not yet identified"),MATCH($B537&amp;$D537,'Smelter Look-up'!$J:$J,0),MATCH($B537&amp;$C537,'Smelter Look-up'!$J:$J,0)))</f>
        <v>#N/A</v>
      </c>
      <c r="X537" s="140">
        <f t="shared" si="76"/>
        <v>0</v>
      </c>
      <c r="AB537" s="178" t="str">
        <f t="shared" si="77"/>
        <v>GoldSmelter not listed</v>
      </c>
    </row>
    <row r="538" spans="1:28" s="140" customFormat="1" ht="51">
      <c r="A538" s="167"/>
      <c r="B538" s="168" t="s">
        <v>132</v>
      </c>
      <c r="C538" s="169" t="s">
        <v>209</v>
      </c>
      <c r="D538" s="170" t="s">
        <v>17720</v>
      </c>
      <c r="E538" s="168" t="s">
        <v>155</v>
      </c>
      <c r="F538" s="168" t="s">
        <v>17573</v>
      </c>
      <c r="G538" s="168" t="s">
        <v>142</v>
      </c>
      <c r="H538" s="171" t="s">
        <v>114</v>
      </c>
      <c r="I538" s="172" t="s">
        <v>196</v>
      </c>
      <c r="J538" s="172" t="s">
        <v>196</v>
      </c>
      <c r="K538" s="173"/>
      <c r="L538" s="173"/>
      <c r="M538" s="173"/>
      <c r="N538" s="173" t="s">
        <v>121</v>
      </c>
      <c r="O538" s="173" t="s">
        <v>121</v>
      </c>
      <c r="P538" s="174" t="s">
        <v>121</v>
      </c>
      <c r="Q538" s="175"/>
      <c r="R538" s="168" t="str">
        <f ca="1">IF(ISERROR($V538),"",OFFSET('Smelter Look-up'!$C$4,$V538-4,0)&amp;"")</f>
        <v/>
      </c>
      <c r="S538" s="167" t="str">
        <f t="shared" ca="1" si="75"/>
        <v>JP</v>
      </c>
      <c r="T538" s="167" t="str">
        <f ca="1">IF(B538="","",IF(ISERROR(MATCH($J538,SorP!$B$1:$B$6230,0)),"",INDIRECT("'SorP'!$A$"&amp;MATCH($J538,SorP!$B$1:$B$6230,0))))</f>
        <v/>
      </c>
      <c r="U538" s="176"/>
      <c r="V538" s="177" t="e">
        <f>IF(C538="",NA(),IF(OR(C538="Smelter not listed",C538="Smelter not yet identified"),MATCH($B538&amp;$D538,'Smelter Look-up'!$J:$J,0),MATCH($B538&amp;$C538,'Smelter Look-up'!$J:$J,0)))</f>
        <v>#N/A</v>
      </c>
      <c r="X538" s="140">
        <f t="shared" si="76"/>
        <v>0</v>
      </c>
      <c r="AB538" s="178" t="str">
        <f t="shared" si="77"/>
        <v>TungstenSmelter not listed</v>
      </c>
    </row>
    <row r="539" spans="1:28" s="140" customFormat="1" ht="51">
      <c r="A539" s="167"/>
      <c r="B539" s="168" t="s">
        <v>132</v>
      </c>
      <c r="C539" s="169" t="s">
        <v>209</v>
      </c>
      <c r="D539" s="170" t="s">
        <v>17721</v>
      </c>
      <c r="E539" s="168" t="s">
        <v>192</v>
      </c>
      <c r="F539" s="168" t="s">
        <v>17574</v>
      </c>
      <c r="G539" s="168" t="s">
        <v>169</v>
      </c>
      <c r="H539" s="171" t="s">
        <v>114</v>
      </c>
      <c r="I539" s="172" t="s">
        <v>17886</v>
      </c>
      <c r="J539" s="172" t="s">
        <v>260</v>
      </c>
      <c r="K539" s="173"/>
      <c r="L539" s="173"/>
      <c r="M539" s="173"/>
      <c r="N539" s="173"/>
      <c r="O539" s="173"/>
      <c r="P539" s="174"/>
      <c r="Q539" s="175"/>
      <c r="R539" s="168" t="str">
        <f ca="1">IF(ISERROR($V539),"",OFFSET('Smelter Look-up'!$C$4,$V539-4,0)&amp;"")</f>
        <v/>
      </c>
      <c r="S539" s="167" t="str">
        <f t="shared" ca="1" si="75"/>
        <v>CN</v>
      </c>
      <c r="T539" s="167" t="str">
        <f ca="1">IF(B539="","",IF(ISERROR(MATCH($J539,SorP!$B$1:$B$6230,0)),"",INDIRECT("'SorP'!$A$"&amp;MATCH($J539,SorP!$B$1:$B$6230,0))))</f>
        <v/>
      </c>
      <c r="U539" s="176"/>
      <c r="V539" s="177" t="e">
        <f>IF(C539="",NA(),IF(OR(C539="Smelter not listed",C539="Smelter not yet identified"),MATCH($B539&amp;$D539,'Smelter Look-up'!$J:$J,0),MATCH($B539&amp;$C539,'Smelter Look-up'!$J:$J,0)))</f>
        <v>#N/A</v>
      </c>
      <c r="X539" s="140">
        <f t="shared" si="76"/>
        <v>0</v>
      </c>
      <c r="AB539" s="178" t="str">
        <f t="shared" si="77"/>
        <v>TungstenSmelter not listed</v>
      </c>
    </row>
    <row r="540" spans="1:28" s="140" customFormat="1" ht="51">
      <c r="A540" s="167"/>
      <c r="B540" s="168" t="s">
        <v>132</v>
      </c>
      <c r="C540" s="169" t="s">
        <v>209</v>
      </c>
      <c r="D540" s="170" t="s">
        <v>17722</v>
      </c>
      <c r="E540" s="168" t="s">
        <v>192</v>
      </c>
      <c r="F540" s="168" t="s">
        <v>17575</v>
      </c>
      <c r="G540" s="168" t="s">
        <v>169</v>
      </c>
      <c r="H540" s="171" t="s">
        <v>17887</v>
      </c>
      <c r="I540" s="172" t="s">
        <v>985</v>
      </c>
      <c r="J540" s="172" t="s">
        <v>260</v>
      </c>
      <c r="K540" s="173"/>
      <c r="L540" s="173"/>
      <c r="M540" s="173"/>
      <c r="N540" s="173"/>
      <c r="O540" s="173"/>
      <c r="P540" s="174"/>
      <c r="Q540" s="175"/>
      <c r="R540" s="168" t="str">
        <f ca="1">IF(ISERROR($V540),"",OFFSET('Smelter Look-up'!$C$4,$V540-4,0)&amp;"")</f>
        <v/>
      </c>
      <c r="S540" s="167" t="str">
        <f t="shared" ca="1" si="75"/>
        <v>CN</v>
      </c>
      <c r="T540" s="167" t="str">
        <f ca="1">IF(B540="","",IF(ISERROR(MATCH($J540,SorP!$B$1:$B$6230,0)),"",INDIRECT("'SorP'!$A$"&amp;MATCH($J540,SorP!$B$1:$B$6230,0))))</f>
        <v/>
      </c>
      <c r="U540" s="176"/>
      <c r="V540" s="177" t="e">
        <f>IF(C540="",NA(),IF(OR(C540="Smelter not listed",C540="Smelter not yet identified"),MATCH($B540&amp;$D540,'Smelter Look-up'!$J:$J,0),MATCH($B540&amp;$C540,'Smelter Look-up'!$J:$J,0)))</f>
        <v>#N/A</v>
      </c>
      <c r="X540" s="140">
        <f t="shared" si="76"/>
        <v>0</v>
      </c>
      <c r="AB540" s="178" t="str">
        <f t="shared" si="77"/>
        <v>TungstenSmelter not listed</v>
      </c>
    </row>
    <row r="541" spans="1:28" s="140" customFormat="1" ht="38.25">
      <c r="A541" s="167"/>
      <c r="B541" s="168" t="s">
        <v>131</v>
      </c>
      <c r="C541" s="169" t="s">
        <v>209</v>
      </c>
      <c r="D541" s="170" t="s">
        <v>17723</v>
      </c>
      <c r="E541" s="168" t="s">
        <v>192</v>
      </c>
      <c r="F541" s="168" t="s">
        <v>17529</v>
      </c>
      <c r="G541" s="168" t="s">
        <v>114</v>
      </c>
      <c r="H541" s="171" t="s">
        <v>114</v>
      </c>
      <c r="I541" s="172"/>
      <c r="J541" s="172" t="s">
        <v>114</v>
      </c>
      <c r="K541" s="173"/>
      <c r="L541" s="173"/>
      <c r="M541" s="173"/>
      <c r="N541" s="173"/>
      <c r="O541" s="173"/>
      <c r="P541" s="174"/>
      <c r="Q541" s="175"/>
      <c r="R541" s="168" t="str">
        <f ca="1">IF(ISERROR($V541),"",OFFSET('Smelter Look-up'!$C$4,$V541-4,0)&amp;"")</f>
        <v/>
      </c>
      <c r="S541" s="167" t="str">
        <f t="shared" ca="1" si="75"/>
        <v>CN</v>
      </c>
      <c r="T541" s="167" t="str">
        <f ca="1">IF(B541="","",IF(ISERROR(MATCH($J541,SorP!$B$1:$B$6230,0)),"",INDIRECT("'SorP'!$A$"&amp;MATCH($J541,SorP!$B$1:$B$6230,0))))</f>
        <v/>
      </c>
      <c r="U541" s="176"/>
      <c r="V541" s="177" t="e">
        <f>IF(C541="",NA(),IF(OR(C541="Smelter not listed",C541="Smelter not yet identified"),MATCH($B541&amp;$D541,'Smelter Look-up'!$J:$J,0),MATCH($B541&amp;$C541,'Smelter Look-up'!$J:$J,0)))</f>
        <v>#N/A</v>
      </c>
      <c r="X541" s="140">
        <f t="shared" si="76"/>
        <v>0</v>
      </c>
      <c r="AB541" s="178" t="str">
        <f t="shared" si="77"/>
        <v>TinSmelter not listed</v>
      </c>
    </row>
    <row r="542" spans="1:28" s="140" customFormat="1" ht="38.25">
      <c r="A542" s="167"/>
      <c r="B542" s="168" t="s">
        <v>131</v>
      </c>
      <c r="C542" s="169" t="s">
        <v>209</v>
      </c>
      <c r="D542" s="170" t="s">
        <v>17724</v>
      </c>
      <c r="E542" s="168" t="s">
        <v>192</v>
      </c>
      <c r="F542" s="168" t="s">
        <v>17576</v>
      </c>
      <c r="G542" s="168" t="s">
        <v>142</v>
      </c>
      <c r="H542" s="171" t="s">
        <v>114</v>
      </c>
      <c r="I542" s="172" t="s">
        <v>196</v>
      </c>
      <c r="J542" s="172" t="s">
        <v>196</v>
      </c>
      <c r="K542" s="173"/>
      <c r="L542" s="173"/>
      <c r="M542" s="173"/>
      <c r="N542" s="173" t="s">
        <v>121</v>
      </c>
      <c r="O542" s="173" t="s">
        <v>121</v>
      </c>
      <c r="P542" s="174" t="s">
        <v>121</v>
      </c>
      <c r="Q542" s="175"/>
      <c r="R542" s="168" t="str">
        <f ca="1">IF(ISERROR($V542),"",OFFSET('Smelter Look-up'!$C$4,$V542-4,0)&amp;"")</f>
        <v/>
      </c>
      <c r="S542" s="167" t="str">
        <f t="shared" ca="1" si="75"/>
        <v>CN</v>
      </c>
      <c r="T542" s="167" t="str">
        <f ca="1">IF(B542="","",IF(ISERROR(MATCH($J542,SorP!$B$1:$B$6230,0)),"",INDIRECT("'SorP'!$A$"&amp;MATCH($J542,SorP!$B$1:$B$6230,0))))</f>
        <v/>
      </c>
      <c r="U542" s="176"/>
      <c r="V542" s="177" t="e">
        <f>IF(C542="",NA(),IF(OR(C542="Smelter not listed",C542="Smelter not yet identified"),MATCH($B542&amp;$D542,'Smelter Look-up'!$J:$J,0),MATCH($B542&amp;$C542,'Smelter Look-up'!$J:$J,0)))</f>
        <v>#N/A</v>
      </c>
      <c r="X542" s="140">
        <f t="shared" si="76"/>
        <v>0</v>
      </c>
      <c r="AB542" s="178" t="str">
        <f t="shared" si="77"/>
        <v>TinSmelter not listed</v>
      </c>
    </row>
    <row r="543" spans="1:28" s="140" customFormat="1" ht="51">
      <c r="A543" s="167"/>
      <c r="B543" s="168" t="s">
        <v>132</v>
      </c>
      <c r="C543" s="169" t="s">
        <v>209</v>
      </c>
      <c r="D543" s="170" t="s">
        <v>17725</v>
      </c>
      <c r="E543" s="168" t="s">
        <v>256</v>
      </c>
      <c r="F543" s="168" t="s">
        <v>17577</v>
      </c>
      <c r="G543" s="168" t="s">
        <v>142</v>
      </c>
      <c r="H543" s="171" t="s">
        <v>114</v>
      </c>
      <c r="I543" s="172" t="s">
        <v>114</v>
      </c>
      <c r="J543" s="172" t="s">
        <v>114</v>
      </c>
      <c r="K543" s="173"/>
      <c r="L543" s="173"/>
      <c r="M543" s="173"/>
      <c r="N543" s="173"/>
      <c r="O543" s="173" t="s">
        <v>375</v>
      </c>
      <c r="P543" s="174"/>
      <c r="Q543" s="175"/>
      <c r="R543" s="168" t="str">
        <f ca="1">IF(ISERROR($V543),"",OFFSET('Smelter Look-up'!$C$4,$V543-4,0)&amp;"")</f>
        <v/>
      </c>
      <c r="S543" s="167" t="str">
        <f t="shared" ca="1" si="75"/>
        <v>KR</v>
      </c>
      <c r="T543" s="167" t="str">
        <f ca="1">IF(B543="","",IF(ISERROR(MATCH($J543,SorP!$B$1:$B$6230,0)),"",INDIRECT("'SorP'!$A$"&amp;MATCH($J543,SorP!$B$1:$B$6230,0))))</f>
        <v/>
      </c>
      <c r="U543" s="176"/>
      <c r="V543" s="177" t="e">
        <f>IF(C543="",NA(),IF(OR(C543="Smelter not listed",C543="Smelter not yet identified"),MATCH($B543&amp;$D543,'Smelter Look-up'!$J:$J,0),MATCH($B543&amp;$C543,'Smelter Look-up'!$J:$J,0)))</f>
        <v>#N/A</v>
      </c>
      <c r="X543" s="140">
        <f t="shared" si="76"/>
        <v>0</v>
      </c>
      <c r="AB543" s="178" t="str">
        <f t="shared" si="77"/>
        <v>TungstenSmelter not listed</v>
      </c>
    </row>
    <row r="544" spans="1:28" s="140" customFormat="1" ht="51">
      <c r="A544" s="167"/>
      <c r="B544" s="168" t="s">
        <v>132</v>
      </c>
      <c r="C544" s="169" t="s">
        <v>209</v>
      </c>
      <c r="D544" s="170" t="s">
        <v>17726</v>
      </c>
      <c r="E544" s="168" t="s">
        <v>192</v>
      </c>
      <c r="F544" s="168" t="s">
        <v>17578</v>
      </c>
      <c r="G544" s="168" t="s">
        <v>142</v>
      </c>
      <c r="H544" s="171" t="s">
        <v>114</v>
      </c>
      <c r="I544" s="172" t="s">
        <v>196</v>
      </c>
      <c r="J544" s="172" t="s">
        <v>196</v>
      </c>
      <c r="K544" s="173"/>
      <c r="L544" s="173"/>
      <c r="M544" s="173"/>
      <c r="N544" s="173" t="s">
        <v>121</v>
      </c>
      <c r="O544" s="173" t="s">
        <v>121</v>
      </c>
      <c r="P544" s="174" t="s">
        <v>121</v>
      </c>
      <c r="Q544" s="175"/>
      <c r="R544" s="168" t="str">
        <f ca="1">IF(ISERROR($V544),"",OFFSET('Smelter Look-up'!$C$4,$V544-4,0)&amp;"")</f>
        <v/>
      </c>
      <c r="S544" s="167" t="str">
        <f t="shared" ca="1" si="75"/>
        <v>CN</v>
      </c>
      <c r="T544" s="167" t="str">
        <f ca="1">IF(B544="","",IF(ISERROR(MATCH($J544,SorP!$B$1:$B$6230,0)),"",INDIRECT("'SorP'!$A$"&amp;MATCH($J544,SorP!$B$1:$B$6230,0))))</f>
        <v/>
      </c>
      <c r="U544" s="176"/>
      <c r="V544" s="177" t="e">
        <f>IF(C544="",NA(),IF(OR(C544="Smelter not listed",C544="Smelter not yet identified"),MATCH($B544&amp;$D544,'Smelter Look-up'!$J:$J,0),MATCH($B544&amp;$C544,'Smelter Look-up'!$J:$J,0)))</f>
        <v>#N/A</v>
      </c>
      <c r="X544" s="140">
        <f t="shared" si="76"/>
        <v>0</v>
      </c>
      <c r="AB544" s="178" t="str">
        <f t="shared" si="77"/>
        <v>TungstenSmelter not listed</v>
      </c>
    </row>
    <row r="545" spans="1:28" s="140" customFormat="1" ht="51">
      <c r="A545" s="167"/>
      <c r="B545" s="168" t="s">
        <v>130</v>
      </c>
      <c r="C545" s="169" t="s">
        <v>209</v>
      </c>
      <c r="D545" s="170" t="s">
        <v>17726</v>
      </c>
      <c r="E545" s="168" t="s">
        <v>192</v>
      </c>
      <c r="F545" s="168" t="s">
        <v>17579</v>
      </c>
      <c r="G545" s="168" t="s">
        <v>169</v>
      </c>
      <c r="H545" s="171" t="s">
        <v>17888</v>
      </c>
      <c r="I545" s="172" t="s">
        <v>1169</v>
      </c>
      <c r="J545" s="172" t="s">
        <v>114</v>
      </c>
      <c r="K545" s="173" t="s">
        <v>17889</v>
      </c>
      <c r="L545" s="173" t="s">
        <v>17890</v>
      </c>
      <c r="M545" s="173"/>
      <c r="N545" s="173" t="s">
        <v>121</v>
      </c>
      <c r="O545" s="173" t="s">
        <v>121</v>
      </c>
      <c r="P545" s="174" t="s">
        <v>175</v>
      </c>
      <c r="Q545" s="175" t="s">
        <v>17891</v>
      </c>
      <c r="R545" s="168" t="str">
        <f ca="1">IF(ISERROR($V545),"",OFFSET('Smelter Look-up'!$C$4,$V545-4,0)&amp;"")</f>
        <v/>
      </c>
      <c r="S545" s="167" t="str">
        <f t="shared" ca="1" si="75"/>
        <v>CN</v>
      </c>
      <c r="T545" s="167" t="str">
        <f ca="1">IF(B545="","",IF(ISERROR(MATCH($J545,SorP!$B$1:$B$6230,0)),"",INDIRECT("'SorP'!$A$"&amp;MATCH($J545,SorP!$B$1:$B$6230,0))))</f>
        <v/>
      </c>
      <c r="U545" s="176"/>
      <c r="V545" s="177" t="e">
        <f>IF(C545="",NA(),IF(OR(C545="Smelter not listed",C545="Smelter not yet identified"),MATCH($B545&amp;$D545,'Smelter Look-up'!$J:$J,0),MATCH($B545&amp;$C545,'Smelter Look-up'!$J:$J,0)))</f>
        <v>#N/A</v>
      </c>
      <c r="X545" s="140">
        <f t="shared" si="76"/>
        <v>0</v>
      </c>
      <c r="AB545" s="178" t="str">
        <f t="shared" si="77"/>
        <v>TantalumSmelter not listed</v>
      </c>
    </row>
    <row r="546" spans="1:28" s="140" customFormat="1" ht="51">
      <c r="A546" s="167"/>
      <c r="B546" s="168" t="s">
        <v>130</v>
      </c>
      <c r="C546" s="169" t="s">
        <v>209</v>
      </c>
      <c r="D546" s="170" t="s">
        <v>17727</v>
      </c>
      <c r="E546" s="168" t="s">
        <v>141</v>
      </c>
      <c r="F546" s="168" t="s">
        <v>17580</v>
      </c>
      <c r="G546" s="168" t="s">
        <v>169</v>
      </c>
      <c r="H546" s="171" t="s">
        <v>17892</v>
      </c>
      <c r="I546" s="172" t="s">
        <v>17893</v>
      </c>
      <c r="J546" s="172" t="s">
        <v>1001</v>
      </c>
      <c r="K546" s="173"/>
      <c r="L546" s="173" t="s">
        <v>17894</v>
      </c>
      <c r="M546" s="173"/>
      <c r="N546" s="173" t="s">
        <v>17895</v>
      </c>
      <c r="O546" s="173" t="s">
        <v>17896</v>
      </c>
      <c r="P546" s="174" t="s">
        <v>116</v>
      </c>
      <c r="Q546" s="175"/>
      <c r="R546" s="168" t="str">
        <f ca="1">IF(ISERROR($V546),"",OFFSET('Smelter Look-up'!$C$4,$V546-4,0)&amp;"")</f>
        <v/>
      </c>
      <c r="S546" s="167" t="str">
        <f t="shared" ca="1" si="75"/>
        <v>US</v>
      </c>
      <c r="T546" s="167" t="str">
        <f ca="1">IF(B546="","",IF(ISERROR(MATCH($J546,SorP!$B$1:$B$6230,0)),"",INDIRECT("'SorP'!$A$"&amp;MATCH($J546,SorP!$B$1:$B$6230,0))))</f>
        <v>US-TX</v>
      </c>
      <c r="U546" s="176"/>
      <c r="V546" s="177" t="e">
        <f>IF(C546="",NA(),IF(OR(C546="Smelter not listed",C546="Smelter not yet identified"),MATCH($B546&amp;$D546,'Smelter Look-up'!$J:$J,0),MATCH($B546&amp;$C546,'Smelter Look-up'!$J:$J,0)))</f>
        <v>#N/A</v>
      </c>
      <c r="X546" s="140">
        <f t="shared" si="76"/>
        <v>0</v>
      </c>
      <c r="AB546" s="178" t="str">
        <f t="shared" si="77"/>
        <v>TantalumSmelter not listed</v>
      </c>
    </row>
    <row r="547" spans="1:28" s="140" customFormat="1" ht="38.25">
      <c r="A547" s="167"/>
      <c r="B547" s="168" t="s">
        <v>133</v>
      </c>
      <c r="C547" s="169" t="s">
        <v>209</v>
      </c>
      <c r="D547" s="170" t="s">
        <v>252</v>
      </c>
      <c r="E547" s="168" t="s">
        <v>141</v>
      </c>
      <c r="F547" s="168" t="s">
        <v>17581</v>
      </c>
      <c r="G547" s="168" t="s">
        <v>169</v>
      </c>
      <c r="H547" s="171" t="s">
        <v>114</v>
      </c>
      <c r="I547" s="172" t="s">
        <v>17897</v>
      </c>
      <c r="J547" s="172" t="s">
        <v>218</v>
      </c>
      <c r="K547" s="173"/>
      <c r="L547" s="173"/>
      <c r="M547" s="173"/>
      <c r="N547" s="173" t="s">
        <v>121</v>
      </c>
      <c r="O547" s="173" t="s">
        <v>121</v>
      </c>
      <c r="P547" s="174" t="s">
        <v>121</v>
      </c>
      <c r="Q547" s="175" t="s">
        <v>17898</v>
      </c>
      <c r="R547" s="168" t="str">
        <f ca="1">IF(ISERROR($V547),"",OFFSET('Smelter Look-up'!$C$4,$V547-4,0)&amp;"")</f>
        <v/>
      </c>
      <c r="S547" s="167" t="str">
        <f t="shared" ca="1" si="75"/>
        <v>US</v>
      </c>
      <c r="T547" s="167" t="str">
        <f ca="1">IF(B547="","",IF(ISERROR(MATCH($J547,SorP!$B$1:$B$6230,0)),"",INDIRECT("'SorP'!$A$"&amp;MATCH($J547,SorP!$B$1:$B$6230,0))))</f>
        <v>US-OH</v>
      </c>
      <c r="U547" s="176"/>
      <c r="V547" s="177" t="e">
        <f>IF(C547="",NA(),IF(OR(C547="Smelter not listed",C547="Smelter not yet identified"),MATCH($B547&amp;$D547,'Smelter Look-up'!$J:$J,0),MATCH($B547&amp;$C547,'Smelter Look-up'!$J:$J,0)))</f>
        <v>#N/A</v>
      </c>
      <c r="X547" s="140">
        <f t="shared" si="76"/>
        <v>0</v>
      </c>
      <c r="AB547" s="178" t="str">
        <f t="shared" si="77"/>
        <v>GoldSmelter not listed</v>
      </c>
    </row>
    <row r="548" spans="1:28" s="140" customFormat="1" ht="38.25">
      <c r="A548" s="167"/>
      <c r="B548" s="168" t="s">
        <v>131</v>
      </c>
      <c r="C548" s="169" t="s">
        <v>209</v>
      </c>
      <c r="D548" s="170" t="s">
        <v>17728</v>
      </c>
      <c r="E548" s="168" t="s">
        <v>179</v>
      </c>
      <c r="F548" s="168" t="s">
        <v>17582</v>
      </c>
      <c r="G548" s="168" t="s">
        <v>114</v>
      </c>
      <c r="H548" s="171" t="s">
        <v>114</v>
      </c>
      <c r="I548" s="172"/>
      <c r="J548" s="172" t="s">
        <v>114</v>
      </c>
      <c r="K548" s="173"/>
      <c r="L548" s="173"/>
      <c r="M548" s="173"/>
      <c r="N548" s="173"/>
      <c r="O548" s="173"/>
      <c r="P548" s="174"/>
      <c r="Q548" s="175"/>
      <c r="R548" s="168" t="str">
        <f ca="1">IF(ISERROR($V548),"",OFFSET('Smelter Look-up'!$C$4,$V548-4,0)&amp;"")</f>
        <v/>
      </c>
      <c r="S548" s="167" t="str">
        <f t="shared" ca="1" si="75"/>
        <v>DE</v>
      </c>
      <c r="T548" s="167" t="str">
        <f ca="1">IF(B548="","",IF(ISERROR(MATCH($J548,SorP!$B$1:$B$6230,0)),"",INDIRECT("'SorP'!$A$"&amp;MATCH($J548,SorP!$B$1:$B$6230,0))))</f>
        <v/>
      </c>
      <c r="U548" s="176"/>
      <c r="V548" s="177" t="e">
        <f>IF(C548="",NA(),IF(OR(C548="Smelter not listed",C548="Smelter not yet identified"),MATCH($B548&amp;$D548,'Smelter Look-up'!$J:$J,0),MATCH($B548&amp;$C548,'Smelter Look-up'!$J:$J,0)))</f>
        <v>#N/A</v>
      </c>
      <c r="X548" s="140">
        <f t="shared" si="76"/>
        <v>0</v>
      </c>
      <c r="AB548" s="178" t="str">
        <f t="shared" si="77"/>
        <v>TinSmelter not listed</v>
      </c>
    </row>
    <row r="549" spans="1:28" s="140" customFormat="1" ht="38.25">
      <c r="A549" s="167"/>
      <c r="B549" s="168" t="s">
        <v>133</v>
      </c>
      <c r="C549" s="169" t="s">
        <v>209</v>
      </c>
      <c r="D549" s="170" t="s">
        <v>17728</v>
      </c>
      <c r="E549" s="168" t="s">
        <v>179</v>
      </c>
      <c r="F549" s="168" t="s">
        <v>17583</v>
      </c>
      <c r="G549" s="168"/>
      <c r="H549" s="171" t="s">
        <v>114</v>
      </c>
      <c r="I549" s="172" t="s">
        <v>196</v>
      </c>
      <c r="J549" s="172" t="s">
        <v>196</v>
      </c>
      <c r="K549" s="173"/>
      <c r="L549" s="173"/>
      <c r="M549" s="173"/>
      <c r="N549" s="173"/>
      <c r="O549" s="173"/>
      <c r="P549" s="174"/>
      <c r="Q549" s="175"/>
      <c r="R549" s="168" t="str">
        <f ca="1">IF(ISERROR($V549),"",OFFSET('Smelter Look-up'!$C$4,$V549-4,0)&amp;"")</f>
        <v/>
      </c>
      <c r="S549" s="167" t="str">
        <f t="shared" ca="1" si="75"/>
        <v>DE</v>
      </c>
      <c r="T549" s="167" t="str">
        <f ca="1">IF(B549="","",IF(ISERROR(MATCH($J549,SorP!$B$1:$B$6230,0)),"",INDIRECT("'SorP'!$A$"&amp;MATCH($J549,SorP!$B$1:$B$6230,0))))</f>
        <v/>
      </c>
      <c r="U549" s="176"/>
      <c r="V549" s="177" t="e">
        <f>IF(C549="",NA(),IF(OR(C549="Smelter not listed",C549="Smelter not yet identified"),MATCH($B549&amp;$D549,'Smelter Look-up'!$J:$J,0),MATCH($B549&amp;$C549,'Smelter Look-up'!$J:$J,0)))</f>
        <v>#N/A</v>
      </c>
      <c r="X549" s="140">
        <f t="shared" si="76"/>
        <v>0</v>
      </c>
      <c r="AB549" s="178" t="str">
        <f t="shared" si="77"/>
        <v>GoldSmelter not listed</v>
      </c>
    </row>
    <row r="550" spans="1:28" s="140" customFormat="1" ht="38.25">
      <c r="A550" s="167"/>
      <c r="B550" s="168" t="s">
        <v>131</v>
      </c>
      <c r="C550" s="169" t="s">
        <v>209</v>
      </c>
      <c r="D550" s="170" t="s">
        <v>17729</v>
      </c>
      <c r="E550" s="168" t="s">
        <v>155</v>
      </c>
      <c r="F550" s="168" t="s">
        <v>17584</v>
      </c>
      <c r="G550" s="168" t="s">
        <v>142</v>
      </c>
      <c r="H550" s="171" t="s">
        <v>114</v>
      </c>
      <c r="I550" s="172" t="s">
        <v>196</v>
      </c>
      <c r="J550" s="172" t="s">
        <v>196</v>
      </c>
      <c r="K550" s="173"/>
      <c r="L550" s="173"/>
      <c r="M550" s="173"/>
      <c r="N550" s="173" t="s">
        <v>121</v>
      </c>
      <c r="O550" s="173" t="s">
        <v>121</v>
      </c>
      <c r="P550" s="174" t="s">
        <v>121</v>
      </c>
      <c r="Q550" s="175"/>
      <c r="R550" s="168" t="str">
        <f ca="1">IF(ISERROR($V550),"",OFFSET('Smelter Look-up'!$C$4,$V550-4,0)&amp;"")</f>
        <v/>
      </c>
      <c r="S550" s="167" t="str">
        <f t="shared" ca="1" si="75"/>
        <v>JP</v>
      </c>
      <c r="T550" s="167" t="str">
        <f ca="1">IF(B550="","",IF(ISERROR(MATCH($J550,SorP!$B$1:$B$6230,0)),"",INDIRECT("'SorP'!$A$"&amp;MATCH($J550,SorP!$B$1:$B$6230,0))))</f>
        <v/>
      </c>
      <c r="U550" s="176"/>
      <c r="V550" s="177" t="e">
        <f>IF(C550="",NA(),IF(OR(C550="Smelter not listed",C550="Smelter not yet identified"),MATCH($B550&amp;$D550,'Smelter Look-up'!$J:$J,0),MATCH($B550&amp;$C550,'Smelter Look-up'!$J:$J,0)))</f>
        <v>#N/A</v>
      </c>
      <c r="X550" s="140">
        <f t="shared" si="76"/>
        <v>0</v>
      </c>
      <c r="AB550" s="178" t="str">
        <f t="shared" si="77"/>
        <v>TinSmelter not listed</v>
      </c>
    </row>
    <row r="551" spans="1:28" s="140" customFormat="1" ht="409.5">
      <c r="A551" s="167"/>
      <c r="B551" s="168" t="s">
        <v>132</v>
      </c>
      <c r="C551" s="169" t="s">
        <v>209</v>
      </c>
      <c r="D551" s="170" t="s">
        <v>17730</v>
      </c>
      <c r="E551" s="168" t="s">
        <v>192</v>
      </c>
      <c r="F551" s="168" t="s">
        <v>17585</v>
      </c>
      <c r="G551" s="168" t="s">
        <v>142</v>
      </c>
      <c r="H551" s="171" t="s">
        <v>114</v>
      </c>
      <c r="I551" s="172" t="s">
        <v>17899</v>
      </c>
      <c r="J551" s="172" t="s">
        <v>958</v>
      </c>
      <c r="K551" s="173" t="s">
        <v>17900</v>
      </c>
      <c r="L551" s="173" t="s">
        <v>17901</v>
      </c>
      <c r="M551" s="173"/>
      <c r="N551" s="173" t="s">
        <v>17902</v>
      </c>
      <c r="O551" s="173" t="s">
        <v>17903</v>
      </c>
      <c r="P551" s="174" t="s">
        <v>117</v>
      </c>
      <c r="Q551" s="175" t="s">
        <v>17904</v>
      </c>
      <c r="R551" s="168" t="str">
        <f ca="1">IF(ISERROR($V551),"",OFFSET('Smelter Look-up'!$C$4,$V551-4,0)&amp;"")</f>
        <v/>
      </c>
      <c r="S551" s="167" t="str">
        <f t="shared" ca="1" si="75"/>
        <v>CN</v>
      </c>
      <c r="T551" s="167" t="str">
        <f ca="1">IF(B551="","",IF(ISERROR(MATCH($J551,SorP!$B$1:$B$6230,0)),"",INDIRECT("'SorP'!$A$"&amp;MATCH($J551,SorP!$B$1:$B$6230,0))))</f>
        <v>CN-FJ</v>
      </c>
      <c r="U551" s="176"/>
      <c r="V551" s="177" t="e">
        <f>IF(C551="",NA(),IF(OR(C551="Smelter not listed",C551="Smelter not yet identified"),MATCH($B551&amp;$D551,'Smelter Look-up'!$J:$J,0),MATCH($B551&amp;$C551,'Smelter Look-up'!$J:$J,0)))</f>
        <v>#N/A</v>
      </c>
      <c r="X551" s="140">
        <f t="shared" si="76"/>
        <v>0</v>
      </c>
      <c r="AB551" s="178" t="str">
        <f t="shared" si="77"/>
        <v>TungstenSmelter not listed</v>
      </c>
    </row>
    <row r="552" spans="1:28" s="140" customFormat="1" ht="51">
      <c r="A552" s="167"/>
      <c r="B552" s="168" t="s">
        <v>130</v>
      </c>
      <c r="C552" s="169" t="s">
        <v>209</v>
      </c>
      <c r="D552" s="170" t="s">
        <v>17731</v>
      </c>
      <c r="E552" s="168" t="s">
        <v>141</v>
      </c>
      <c r="F552" s="168" t="s">
        <v>17586</v>
      </c>
      <c r="G552" s="168" t="s">
        <v>169</v>
      </c>
      <c r="H552" s="171" t="s">
        <v>114</v>
      </c>
      <c r="I552" s="172" t="s">
        <v>196</v>
      </c>
      <c r="J552" s="172" t="s">
        <v>196</v>
      </c>
      <c r="K552" s="173"/>
      <c r="L552" s="173"/>
      <c r="M552" s="173"/>
      <c r="N552" s="173"/>
      <c r="O552" s="173"/>
      <c r="P552" s="174"/>
      <c r="Q552" s="175"/>
      <c r="R552" s="168" t="str">
        <f ca="1">IF(ISERROR($V552),"",OFFSET('Smelter Look-up'!$C$4,$V552-4,0)&amp;"")</f>
        <v/>
      </c>
      <c r="S552" s="167" t="str">
        <f t="shared" ca="1" si="75"/>
        <v>US</v>
      </c>
      <c r="T552" s="167" t="str">
        <f ca="1">IF(B552="","",IF(ISERROR(MATCH($J552,SorP!$B$1:$B$6230,0)),"",INDIRECT("'SorP'!$A$"&amp;MATCH($J552,SorP!$B$1:$B$6230,0))))</f>
        <v/>
      </c>
      <c r="U552" s="176"/>
      <c r="V552" s="177" t="e">
        <f>IF(C552="",NA(),IF(OR(C552="Smelter not listed",C552="Smelter not yet identified"),MATCH($B552&amp;$D552,'Smelter Look-up'!$J:$J,0),MATCH($B552&amp;$C552,'Smelter Look-up'!$J:$J,0)))</f>
        <v>#N/A</v>
      </c>
      <c r="X552" s="140">
        <f t="shared" si="76"/>
        <v>0</v>
      </c>
      <c r="AB552" s="178" t="str">
        <f t="shared" si="77"/>
        <v>TantalumSmelter not listed</v>
      </c>
    </row>
    <row r="553" spans="1:28" s="140" customFormat="1" ht="38.25">
      <c r="A553" s="167"/>
      <c r="B553" s="168" t="s">
        <v>133</v>
      </c>
      <c r="C553" s="169" t="s">
        <v>209</v>
      </c>
      <c r="D553" s="170" t="s">
        <v>17732</v>
      </c>
      <c r="E553" s="168" t="s">
        <v>192</v>
      </c>
      <c r="F553" s="168" t="s">
        <v>17587</v>
      </c>
      <c r="G553" s="168" t="s">
        <v>114</v>
      </c>
      <c r="H553" s="171" t="s">
        <v>114</v>
      </c>
      <c r="I553" s="172"/>
      <c r="J553" s="172" t="s">
        <v>114</v>
      </c>
      <c r="K553" s="173"/>
      <c r="L553" s="173"/>
      <c r="M553" s="173"/>
      <c r="N553" s="173"/>
      <c r="O553" s="173"/>
      <c r="P553" s="174"/>
      <c r="Q553" s="175"/>
      <c r="R553" s="168" t="str">
        <f ca="1">IF(ISERROR($V553),"",OFFSET('Smelter Look-up'!$C$4,$V553-4,0)&amp;"")</f>
        <v/>
      </c>
      <c r="S553" s="167" t="str">
        <f t="shared" ca="1" si="75"/>
        <v>CN</v>
      </c>
      <c r="T553" s="167" t="str">
        <f ca="1">IF(B553="","",IF(ISERROR(MATCH($J553,SorP!$B$1:$B$6230,0)),"",INDIRECT("'SorP'!$A$"&amp;MATCH($J553,SorP!$B$1:$B$6230,0))))</f>
        <v/>
      </c>
      <c r="U553" s="176"/>
      <c r="V553" s="177" t="e">
        <f>IF(C553="",NA(),IF(OR(C553="Smelter not listed",C553="Smelter not yet identified"),MATCH($B553&amp;$D553,'Smelter Look-up'!$J:$J,0),MATCH($B553&amp;$C553,'Smelter Look-up'!$J:$J,0)))</f>
        <v>#N/A</v>
      </c>
      <c r="X553" s="140">
        <f t="shared" si="76"/>
        <v>0</v>
      </c>
      <c r="AB553" s="178" t="str">
        <f t="shared" si="77"/>
        <v>GoldSmelter not listed</v>
      </c>
    </row>
    <row r="554" spans="1:28" s="140" customFormat="1" ht="51">
      <c r="A554" s="167"/>
      <c r="B554" s="168" t="s">
        <v>132</v>
      </c>
      <c r="C554" s="169" t="s">
        <v>209</v>
      </c>
      <c r="D554" s="170" t="s">
        <v>17733</v>
      </c>
      <c r="E554" s="168" t="s">
        <v>192</v>
      </c>
      <c r="F554" s="168" t="s">
        <v>17588</v>
      </c>
      <c r="G554" s="168" t="s">
        <v>169</v>
      </c>
      <c r="H554" s="171" t="s">
        <v>17905</v>
      </c>
      <c r="I554" s="172" t="s">
        <v>17906</v>
      </c>
      <c r="J554" s="172" t="s">
        <v>260</v>
      </c>
      <c r="K554" s="173"/>
      <c r="L554" s="173"/>
      <c r="M554" s="173"/>
      <c r="N554" s="173"/>
      <c r="O554" s="173"/>
      <c r="P554" s="174"/>
      <c r="Q554" s="175"/>
      <c r="R554" s="168" t="str">
        <f ca="1">IF(ISERROR($V554),"",OFFSET('Smelter Look-up'!$C$4,$V554-4,0)&amp;"")</f>
        <v/>
      </c>
      <c r="S554" s="167" t="str">
        <f t="shared" ca="1" si="75"/>
        <v>CN</v>
      </c>
      <c r="T554" s="167" t="str">
        <f ca="1">IF(B554="","",IF(ISERROR(MATCH($J554,SorP!$B$1:$B$6230,0)),"",INDIRECT("'SorP'!$A$"&amp;MATCH($J554,SorP!$B$1:$B$6230,0))))</f>
        <v/>
      </c>
      <c r="U554" s="176"/>
      <c r="V554" s="177" t="e">
        <f>IF(C554="",NA(),IF(OR(C554="Smelter not listed",C554="Smelter not yet identified"),MATCH($B554&amp;$D554,'Smelter Look-up'!$J:$J,0),MATCH($B554&amp;$C554,'Smelter Look-up'!$J:$J,0)))</f>
        <v>#N/A</v>
      </c>
      <c r="X554" s="140">
        <f t="shared" si="76"/>
        <v>0</v>
      </c>
      <c r="AB554" s="178" t="str">
        <f t="shared" si="77"/>
        <v>TungstenSmelter not listed</v>
      </c>
    </row>
    <row r="555" spans="1:28" s="140" customFormat="1" ht="51">
      <c r="A555" s="167"/>
      <c r="B555" s="168" t="s">
        <v>132</v>
      </c>
      <c r="C555" s="169" t="s">
        <v>209</v>
      </c>
      <c r="D555" s="170" t="s">
        <v>17734</v>
      </c>
      <c r="E555" s="168" t="s">
        <v>192</v>
      </c>
      <c r="F555" s="168" t="s">
        <v>17589</v>
      </c>
      <c r="G555" s="168" t="s">
        <v>169</v>
      </c>
      <c r="H555" s="171" t="s">
        <v>114</v>
      </c>
      <c r="I555" s="172"/>
      <c r="J555" s="172" t="s">
        <v>114</v>
      </c>
      <c r="K555" s="173"/>
      <c r="L555" s="173"/>
      <c r="M555" s="173"/>
      <c r="N555" s="173"/>
      <c r="O555" s="173"/>
      <c r="P555" s="174"/>
      <c r="Q555" s="175" t="s">
        <v>17907</v>
      </c>
      <c r="R555" s="168" t="str">
        <f ca="1">IF(ISERROR($V555),"",OFFSET('Smelter Look-up'!$C$4,$V555-4,0)&amp;"")</f>
        <v/>
      </c>
      <c r="S555" s="167" t="str">
        <f t="shared" ca="1" si="75"/>
        <v>CN</v>
      </c>
      <c r="T555" s="167" t="str">
        <f ca="1">IF(B555="","",IF(ISERROR(MATCH($J555,SorP!$B$1:$B$6230,0)),"",INDIRECT("'SorP'!$A$"&amp;MATCH($J555,SorP!$B$1:$B$6230,0))))</f>
        <v/>
      </c>
      <c r="U555" s="176"/>
      <c r="V555" s="177" t="e">
        <f>IF(C555="",NA(),IF(OR(C555="Smelter not listed",C555="Smelter not yet identified"),MATCH($B555&amp;$D555,'Smelter Look-up'!$J:$J,0),MATCH($B555&amp;$C555,'Smelter Look-up'!$J:$J,0)))</f>
        <v>#N/A</v>
      </c>
      <c r="X555" s="140">
        <f t="shared" si="76"/>
        <v>0</v>
      </c>
      <c r="AB555" s="178" t="str">
        <f t="shared" si="77"/>
        <v>TungstenSmelter not listed</v>
      </c>
    </row>
    <row r="556" spans="1:28" s="140" customFormat="1" ht="51">
      <c r="A556" s="167"/>
      <c r="B556" s="168" t="s">
        <v>132</v>
      </c>
      <c r="C556" s="169" t="s">
        <v>209</v>
      </c>
      <c r="D556" s="170" t="s">
        <v>17735</v>
      </c>
      <c r="E556" s="168" t="s">
        <v>192</v>
      </c>
      <c r="F556" s="168" t="s">
        <v>17590</v>
      </c>
      <c r="G556" s="168" t="s">
        <v>142</v>
      </c>
      <c r="H556" s="171" t="s">
        <v>114</v>
      </c>
      <c r="I556" s="172" t="s">
        <v>985</v>
      </c>
      <c r="J556" s="172" t="s">
        <v>260</v>
      </c>
      <c r="K556" s="173"/>
      <c r="L556" s="173"/>
      <c r="M556" s="173"/>
      <c r="N556" s="173" t="s">
        <v>121</v>
      </c>
      <c r="O556" s="173" t="s">
        <v>121</v>
      </c>
      <c r="P556" s="174" t="s">
        <v>121</v>
      </c>
      <c r="Q556" s="175"/>
      <c r="R556" s="168" t="str">
        <f ca="1">IF(ISERROR($V556),"",OFFSET('Smelter Look-up'!$C$4,$V556-4,0)&amp;"")</f>
        <v/>
      </c>
      <c r="S556" s="167" t="str">
        <f t="shared" ca="1" si="75"/>
        <v>CN</v>
      </c>
      <c r="T556" s="167" t="str">
        <f ca="1">IF(B556="","",IF(ISERROR(MATCH($J556,SorP!$B$1:$B$6230,0)),"",INDIRECT("'SorP'!$A$"&amp;MATCH($J556,SorP!$B$1:$B$6230,0))))</f>
        <v/>
      </c>
      <c r="U556" s="176"/>
      <c r="V556" s="177" t="e">
        <f>IF(C556="",NA(),IF(OR(C556="Smelter not listed",C556="Smelter not yet identified"),MATCH($B556&amp;$D556,'Smelter Look-up'!$J:$J,0),MATCH($B556&amp;$C556,'Smelter Look-up'!$J:$J,0)))</f>
        <v>#N/A</v>
      </c>
      <c r="X556" s="140">
        <f t="shared" si="76"/>
        <v>0</v>
      </c>
      <c r="AB556" s="178" t="str">
        <f t="shared" si="77"/>
        <v>TungstenSmelter not listed</v>
      </c>
    </row>
    <row r="557" spans="1:28" s="140" customFormat="1" ht="140.25">
      <c r="A557" s="167"/>
      <c r="B557" s="168" t="s">
        <v>131</v>
      </c>
      <c r="C557" s="169" t="s">
        <v>209</v>
      </c>
      <c r="D557" s="170" t="s">
        <v>17736</v>
      </c>
      <c r="E557" s="168" t="s">
        <v>192</v>
      </c>
      <c r="F557" s="168" t="s">
        <v>17591</v>
      </c>
      <c r="G557" s="168" t="s">
        <v>142</v>
      </c>
      <c r="H557" s="171" t="s">
        <v>114</v>
      </c>
      <c r="I557" s="172" t="s">
        <v>1147</v>
      </c>
      <c r="J557" s="172" t="s">
        <v>1148</v>
      </c>
      <c r="K557" s="173" t="s">
        <v>17908</v>
      </c>
      <c r="L557" s="173" t="s">
        <v>17909</v>
      </c>
      <c r="M557" s="173"/>
      <c r="N557" s="173" t="s">
        <v>17910</v>
      </c>
      <c r="O557" s="173" t="s">
        <v>17911</v>
      </c>
      <c r="P557" s="174" t="s">
        <v>117</v>
      </c>
      <c r="Q557" s="175" t="s">
        <v>17912</v>
      </c>
      <c r="R557" s="168" t="str">
        <f ca="1">IF(ISERROR($V557),"",OFFSET('Smelter Look-up'!$C$4,$V557-4,0)&amp;"")</f>
        <v/>
      </c>
      <c r="S557" s="167" t="str">
        <f t="shared" ca="1" si="75"/>
        <v>CN</v>
      </c>
      <c r="T557" s="167" t="str">
        <f ca="1">IF(B557="","",IF(ISERROR(MATCH($J557,SorP!$B$1:$B$6230,0)),"",INDIRECT("'SorP'!$A$"&amp;MATCH($J557,SorP!$B$1:$B$6230,0))))</f>
        <v>CN-YN</v>
      </c>
      <c r="U557" s="176"/>
      <c r="V557" s="177" t="e">
        <f>IF(C557="",NA(),IF(OR(C557="Smelter not listed",C557="Smelter not yet identified"),MATCH($B557&amp;$D557,'Smelter Look-up'!$J:$J,0),MATCH($B557&amp;$C557,'Smelter Look-up'!$J:$J,0)))</f>
        <v>#N/A</v>
      </c>
      <c r="X557" s="140">
        <f t="shared" si="76"/>
        <v>0</v>
      </c>
      <c r="AB557" s="178" t="str">
        <f t="shared" si="77"/>
        <v>TinSmelter not listed</v>
      </c>
    </row>
    <row r="558" spans="1:28" s="140" customFormat="1" ht="38.25">
      <c r="A558" s="167"/>
      <c r="B558" s="168" t="s">
        <v>131</v>
      </c>
      <c r="C558" s="169" t="s">
        <v>209</v>
      </c>
      <c r="D558" s="170" t="s">
        <v>17737</v>
      </c>
      <c r="E558" s="168" t="s">
        <v>192</v>
      </c>
      <c r="F558" s="168" t="s">
        <v>17592</v>
      </c>
      <c r="G558" s="168" t="s">
        <v>169</v>
      </c>
      <c r="H558" s="171" t="s">
        <v>114</v>
      </c>
      <c r="I558" s="172" t="s">
        <v>17913</v>
      </c>
      <c r="J558" s="172" t="s">
        <v>17914</v>
      </c>
      <c r="K558" s="173"/>
      <c r="L558" s="173"/>
      <c r="M558" s="173"/>
      <c r="N558" s="173" t="s">
        <v>121</v>
      </c>
      <c r="O558" s="173" t="s">
        <v>17915</v>
      </c>
      <c r="P558" s="174" t="s">
        <v>175</v>
      </c>
      <c r="Q558" s="175" t="s">
        <v>17916</v>
      </c>
      <c r="R558" s="168" t="str">
        <f ca="1">IF(ISERROR($V558),"",OFFSET('Smelter Look-up'!$C$4,$V558-4,0)&amp;"")</f>
        <v/>
      </c>
      <c r="S558" s="167" t="str">
        <f t="shared" ca="1" si="75"/>
        <v>CN</v>
      </c>
      <c r="T558" s="167" t="str">
        <f ca="1">IF(B558="","",IF(ISERROR(MATCH($J558,SorP!$B$1:$B$6230,0)),"",INDIRECT("'SorP'!$A$"&amp;MATCH($J558,SorP!$B$1:$B$6230,0))))</f>
        <v/>
      </c>
      <c r="U558" s="176"/>
      <c r="V558" s="177" t="e">
        <f>IF(C558="",NA(),IF(OR(C558="Smelter not listed",C558="Smelter not yet identified"),MATCH($B558&amp;$D558,'Smelter Look-up'!$J:$J,0),MATCH($B558&amp;$C558,'Smelter Look-up'!$J:$J,0)))</f>
        <v>#N/A</v>
      </c>
      <c r="X558" s="140">
        <f t="shared" si="76"/>
        <v>0</v>
      </c>
      <c r="AB558" s="178" t="str">
        <f t="shared" si="77"/>
        <v>TinSmelter not listed</v>
      </c>
    </row>
    <row r="559" spans="1:28" s="140" customFormat="1" ht="38.25">
      <c r="A559" s="167"/>
      <c r="B559" s="168" t="s">
        <v>131</v>
      </c>
      <c r="C559" s="169" t="s">
        <v>209</v>
      </c>
      <c r="D559" s="170" t="s">
        <v>17738</v>
      </c>
      <c r="E559" s="168" t="s">
        <v>192</v>
      </c>
      <c r="F559" s="168" t="s">
        <v>17593</v>
      </c>
      <c r="G559" s="168" t="s">
        <v>142</v>
      </c>
      <c r="H559" s="171" t="s">
        <v>114</v>
      </c>
      <c r="I559" s="172" t="s">
        <v>196</v>
      </c>
      <c r="J559" s="172" t="s">
        <v>196</v>
      </c>
      <c r="K559" s="173"/>
      <c r="L559" s="173"/>
      <c r="M559" s="173"/>
      <c r="N559" s="173" t="s">
        <v>121</v>
      </c>
      <c r="O559" s="173" t="s">
        <v>121</v>
      </c>
      <c r="P559" s="174" t="s">
        <v>121</v>
      </c>
      <c r="Q559" s="175"/>
      <c r="R559" s="168" t="str">
        <f ca="1">IF(ISERROR($V559),"",OFFSET('Smelter Look-up'!$C$4,$V559-4,0)&amp;"")</f>
        <v/>
      </c>
      <c r="S559" s="167" t="str">
        <f t="shared" ca="1" si="75"/>
        <v>CN</v>
      </c>
      <c r="T559" s="167" t="str">
        <f ca="1">IF(B559="","",IF(ISERROR(MATCH($J559,SorP!$B$1:$B$6230,0)),"",INDIRECT("'SorP'!$A$"&amp;MATCH($J559,SorP!$B$1:$B$6230,0))))</f>
        <v/>
      </c>
      <c r="U559" s="176"/>
      <c r="V559" s="177" t="e">
        <f>IF(C559="",NA(),IF(OR(C559="Smelter not listed",C559="Smelter not yet identified"),MATCH($B559&amp;$D559,'Smelter Look-up'!$J:$J,0),MATCH($B559&amp;$C559,'Smelter Look-up'!$J:$J,0)))</f>
        <v>#N/A</v>
      </c>
      <c r="X559" s="140">
        <f t="shared" si="76"/>
        <v>0</v>
      </c>
      <c r="AB559" s="178" t="str">
        <f t="shared" si="77"/>
        <v>TinSmelter not listed</v>
      </c>
    </row>
    <row r="560" spans="1:28" s="140" customFormat="1" ht="51">
      <c r="A560" s="167"/>
      <c r="B560" s="168" t="s">
        <v>130</v>
      </c>
      <c r="C560" s="169" t="s">
        <v>209</v>
      </c>
      <c r="D560" s="170" t="s">
        <v>17739</v>
      </c>
      <c r="E560" s="168" t="s">
        <v>141</v>
      </c>
      <c r="F560" s="168" t="s">
        <v>17594</v>
      </c>
      <c r="G560" s="168" t="s">
        <v>142</v>
      </c>
      <c r="H560" s="171" t="s">
        <v>114</v>
      </c>
      <c r="I560" s="172" t="s">
        <v>2588</v>
      </c>
      <c r="J560" s="172" t="s">
        <v>480</v>
      </c>
      <c r="K560" s="173" t="s">
        <v>18040</v>
      </c>
      <c r="L560" s="173" t="s">
        <v>762</v>
      </c>
      <c r="M560" s="173"/>
      <c r="N560" s="173" t="s">
        <v>121</v>
      </c>
      <c r="O560" s="173" t="s">
        <v>121</v>
      </c>
      <c r="P560" s="174" t="s">
        <v>121</v>
      </c>
      <c r="Q560" s="175"/>
      <c r="R560" s="168" t="str">
        <f ca="1">IF(ISERROR($V560),"",OFFSET('Smelter Look-up'!$C$4,$V560-4,0)&amp;"")</f>
        <v/>
      </c>
      <c r="S560" s="167" t="str">
        <f t="shared" ca="1" si="75"/>
        <v>US</v>
      </c>
      <c r="T560" s="167" t="str">
        <f ca="1">IF(B560="","",IF(ISERROR(MATCH($J560,SorP!$B$1:$B$6230,0)),"",INDIRECT("'SorP'!$A$"&amp;MATCH($J560,SorP!$B$1:$B$6230,0))))</f>
        <v>US-PA</v>
      </c>
      <c r="U560" s="176"/>
      <c r="V560" s="177" t="e">
        <f>IF(C560="",NA(),IF(OR(C560="Smelter not listed",C560="Smelter not yet identified"),MATCH($B560&amp;$D560,'Smelter Look-up'!$J:$J,0),MATCH($B560&amp;$C560,'Smelter Look-up'!$J:$J,0)))</f>
        <v>#N/A</v>
      </c>
      <c r="X560" s="140">
        <f t="shared" si="76"/>
        <v>0</v>
      </c>
      <c r="AB560" s="178" t="str">
        <f t="shared" si="77"/>
        <v>TantalumSmelter not listed</v>
      </c>
    </row>
    <row r="561" spans="1:28" s="140" customFormat="1" ht="38.25">
      <c r="A561" s="167"/>
      <c r="B561" s="168" t="s">
        <v>131</v>
      </c>
      <c r="C561" s="169" t="s">
        <v>209</v>
      </c>
      <c r="D561" s="170" t="s">
        <v>17740</v>
      </c>
      <c r="E561" s="168" t="s">
        <v>192</v>
      </c>
      <c r="F561" s="168" t="s">
        <v>17530</v>
      </c>
      <c r="G561" s="168"/>
      <c r="H561" s="171" t="s">
        <v>114</v>
      </c>
      <c r="I561" s="172" t="s">
        <v>196</v>
      </c>
      <c r="J561" s="172" t="s">
        <v>196</v>
      </c>
      <c r="K561" s="173"/>
      <c r="L561" s="173"/>
      <c r="M561" s="173"/>
      <c r="N561" s="173"/>
      <c r="O561" s="173"/>
      <c r="P561" s="174"/>
      <c r="Q561" s="175"/>
      <c r="R561" s="168" t="str">
        <f ca="1">IF(ISERROR($V561),"",OFFSET('Smelter Look-up'!$C$4,$V561-4,0)&amp;"")</f>
        <v/>
      </c>
      <c r="S561" s="167" t="str">
        <f t="shared" ca="1" si="75"/>
        <v>CN</v>
      </c>
      <c r="T561" s="167" t="str">
        <f ca="1">IF(B561="","",IF(ISERROR(MATCH($J561,SorP!$B$1:$B$6230,0)),"",INDIRECT("'SorP'!$A$"&amp;MATCH($J561,SorP!$B$1:$B$6230,0))))</f>
        <v/>
      </c>
      <c r="U561" s="176"/>
      <c r="V561" s="177" t="e">
        <f>IF(C561="",NA(),IF(OR(C561="Smelter not listed",C561="Smelter not yet identified"),MATCH($B561&amp;$D561,'Smelter Look-up'!$J:$J,0),MATCH($B561&amp;$C561,'Smelter Look-up'!$J:$J,0)))</f>
        <v>#N/A</v>
      </c>
      <c r="X561" s="140">
        <f t="shared" si="76"/>
        <v>0</v>
      </c>
      <c r="AB561" s="178" t="str">
        <f t="shared" si="77"/>
        <v>TinSmelter not listed</v>
      </c>
    </row>
    <row r="562" spans="1:28" s="140" customFormat="1" ht="38.25">
      <c r="A562" s="167"/>
      <c r="B562" s="168" t="s">
        <v>133</v>
      </c>
      <c r="C562" s="169" t="s">
        <v>209</v>
      </c>
      <c r="D562" s="170" t="s">
        <v>17741</v>
      </c>
      <c r="E562" s="168" t="s">
        <v>192</v>
      </c>
      <c r="F562" s="168" t="s">
        <v>17595</v>
      </c>
      <c r="G562" s="168" t="s">
        <v>142</v>
      </c>
      <c r="H562" s="171" t="s">
        <v>114</v>
      </c>
      <c r="I562" s="172" t="s">
        <v>196</v>
      </c>
      <c r="J562" s="172" t="s">
        <v>196</v>
      </c>
      <c r="K562" s="173"/>
      <c r="L562" s="173"/>
      <c r="M562" s="173"/>
      <c r="N562" s="173" t="s">
        <v>121</v>
      </c>
      <c r="O562" s="173" t="s">
        <v>121</v>
      </c>
      <c r="P562" s="174" t="s">
        <v>121</v>
      </c>
      <c r="Q562" s="175"/>
      <c r="R562" s="168" t="str">
        <f ca="1">IF(ISERROR($V562),"",OFFSET('Smelter Look-up'!$C$4,$V562-4,0)&amp;"")</f>
        <v/>
      </c>
      <c r="S562" s="167" t="str">
        <f t="shared" ca="1" si="75"/>
        <v>CN</v>
      </c>
      <c r="T562" s="167" t="str">
        <f ca="1">IF(B562="","",IF(ISERROR(MATCH($J562,SorP!$B$1:$B$6230,0)),"",INDIRECT("'SorP'!$A$"&amp;MATCH($J562,SorP!$B$1:$B$6230,0))))</f>
        <v/>
      </c>
      <c r="U562" s="176"/>
      <c r="V562" s="177" t="e">
        <f>IF(C562="",NA(),IF(OR(C562="Smelter not listed",C562="Smelter not yet identified"),MATCH($B562&amp;$D562,'Smelter Look-up'!$J:$J,0),MATCH($B562&amp;$C562,'Smelter Look-up'!$J:$J,0)))</f>
        <v>#N/A</v>
      </c>
      <c r="X562" s="140">
        <f t="shared" si="76"/>
        <v>0</v>
      </c>
      <c r="AB562" s="178" t="str">
        <f t="shared" si="77"/>
        <v>GoldSmelter not listed</v>
      </c>
    </row>
    <row r="563" spans="1:28" s="140" customFormat="1" ht="38.25">
      <c r="A563" s="167"/>
      <c r="B563" s="168" t="s">
        <v>133</v>
      </c>
      <c r="C563" s="169" t="s">
        <v>209</v>
      </c>
      <c r="D563" s="170" t="s">
        <v>17742</v>
      </c>
      <c r="E563" s="168" t="s">
        <v>192</v>
      </c>
      <c r="F563" s="168" t="s">
        <v>17596</v>
      </c>
      <c r="G563" s="168" t="s">
        <v>142</v>
      </c>
      <c r="H563" s="171" t="s">
        <v>114</v>
      </c>
      <c r="I563" s="172" t="s">
        <v>196</v>
      </c>
      <c r="J563" s="172" t="s">
        <v>196</v>
      </c>
      <c r="K563" s="173"/>
      <c r="L563" s="173"/>
      <c r="M563" s="173"/>
      <c r="N563" s="173" t="s">
        <v>121</v>
      </c>
      <c r="O563" s="173" t="s">
        <v>121</v>
      </c>
      <c r="P563" s="174" t="s">
        <v>121</v>
      </c>
      <c r="Q563" s="175"/>
      <c r="R563" s="168" t="str">
        <f ca="1">IF(ISERROR($V563),"",OFFSET('Smelter Look-up'!$C$4,$V563-4,0)&amp;"")</f>
        <v/>
      </c>
      <c r="S563" s="167" t="str">
        <f t="shared" ca="1" si="75"/>
        <v>CN</v>
      </c>
      <c r="T563" s="167" t="str">
        <f ca="1">IF(B563="","",IF(ISERROR(MATCH($J563,SorP!$B$1:$B$6230,0)),"",INDIRECT("'SorP'!$A$"&amp;MATCH($J563,SorP!$B$1:$B$6230,0))))</f>
        <v/>
      </c>
      <c r="U563" s="176"/>
      <c r="V563" s="177" t="e">
        <f>IF(C563="",NA(),IF(OR(C563="Smelter not listed",C563="Smelter not yet identified"),MATCH($B563&amp;$D563,'Smelter Look-up'!$J:$J,0),MATCH($B563&amp;$C563,'Smelter Look-up'!$J:$J,0)))</f>
        <v>#N/A</v>
      </c>
      <c r="X563" s="140">
        <f t="shared" si="76"/>
        <v>0</v>
      </c>
      <c r="AB563" s="178" t="str">
        <f t="shared" si="77"/>
        <v>GoldSmelter not listed</v>
      </c>
    </row>
    <row r="564" spans="1:28" s="140" customFormat="1" ht="409.5">
      <c r="A564" s="167"/>
      <c r="B564" s="168" t="s">
        <v>130</v>
      </c>
      <c r="C564" s="169" t="s">
        <v>209</v>
      </c>
      <c r="D564" s="170" t="s">
        <v>17743</v>
      </c>
      <c r="E564" s="168" t="s">
        <v>192</v>
      </c>
      <c r="F564" s="168" t="s">
        <v>17563</v>
      </c>
      <c r="G564" s="168" t="s">
        <v>142</v>
      </c>
      <c r="H564" s="171" t="s">
        <v>114</v>
      </c>
      <c r="I564" s="172" t="s">
        <v>1100</v>
      </c>
      <c r="J564" s="172" t="s">
        <v>382</v>
      </c>
      <c r="K564" s="173" t="s">
        <v>17917</v>
      </c>
      <c r="L564" s="173" t="s">
        <v>17918</v>
      </c>
      <c r="M564" s="173"/>
      <c r="N564" s="173" t="s">
        <v>17919</v>
      </c>
      <c r="O564" s="173" t="s">
        <v>17920</v>
      </c>
      <c r="P564" s="174" t="s">
        <v>117</v>
      </c>
      <c r="Q564" s="175" t="s">
        <v>17921</v>
      </c>
      <c r="R564" s="168" t="str">
        <f ca="1">IF(ISERROR($V564),"",OFFSET('Smelter Look-up'!$C$4,$V564-4,0)&amp;"")</f>
        <v/>
      </c>
      <c r="S564" s="167" t="str">
        <f t="shared" ref="S564:S620" ca="1" si="78">IF(B564="","",IF(ISERROR(MATCH($E564,CL,0)),"Unknown",INDIRECT("'C'!$A$"&amp;MATCH($E564,CL,0)+1)))</f>
        <v>CN</v>
      </c>
      <c r="T564" s="167" t="str">
        <f ca="1">IF(B564="","",IF(ISERROR(MATCH($J564,SorP!$B$1:$B$6230,0)),"",INDIRECT("'SorP'!$A$"&amp;MATCH($J564,SorP!$B$1:$B$6230,0))))</f>
        <v>CN-GD</v>
      </c>
      <c r="U564" s="176"/>
      <c r="V564" s="177" t="e">
        <f>IF(C564="",NA(),IF(OR(C564="Smelter not listed",C564="Smelter not yet identified"),MATCH($B564&amp;$D564,'Smelter Look-up'!$J:$J,0),MATCH($B564&amp;$C564,'Smelter Look-up'!$J:$J,0)))</f>
        <v>#N/A</v>
      </c>
      <c r="X564" s="140">
        <f t="shared" ref="X564:X620" si="79">IF(AND(C564="Smelter not listed",OR(LEN(D564)=0,LEN(E564)=0)),1,0)</f>
        <v>0</v>
      </c>
      <c r="AB564" s="178" t="str">
        <f t="shared" ref="AB564:AB620" si="80">B564&amp;C564</f>
        <v>TantalumSmelter not listed</v>
      </c>
    </row>
    <row r="565" spans="1:28" s="140" customFormat="1" ht="38.25">
      <c r="A565" s="167"/>
      <c r="B565" s="168" t="s">
        <v>131</v>
      </c>
      <c r="C565" s="169" t="s">
        <v>209</v>
      </c>
      <c r="D565" s="170" t="s">
        <v>17744</v>
      </c>
      <c r="E565" s="168" t="s">
        <v>192</v>
      </c>
      <c r="F565" s="168" t="s">
        <v>17597</v>
      </c>
      <c r="G565" s="168" t="s">
        <v>142</v>
      </c>
      <c r="H565" s="171" t="s">
        <v>114</v>
      </c>
      <c r="I565" s="172" t="s">
        <v>196</v>
      </c>
      <c r="J565" s="172" t="s">
        <v>196</v>
      </c>
      <c r="K565" s="173"/>
      <c r="L565" s="173"/>
      <c r="M565" s="173"/>
      <c r="N565" s="173" t="s">
        <v>121</v>
      </c>
      <c r="O565" s="173" t="s">
        <v>121</v>
      </c>
      <c r="P565" s="174" t="s">
        <v>121</v>
      </c>
      <c r="Q565" s="175"/>
      <c r="R565" s="168" t="str">
        <f ca="1">IF(ISERROR($V565),"",OFFSET('Smelter Look-up'!$C$4,$V565-4,0)&amp;"")</f>
        <v/>
      </c>
      <c r="S565" s="167" t="str">
        <f t="shared" ca="1" si="78"/>
        <v>CN</v>
      </c>
      <c r="T565" s="167" t="str">
        <f ca="1">IF(B565="","",IF(ISERROR(MATCH($J565,SorP!$B$1:$B$6230,0)),"",INDIRECT("'SorP'!$A$"&amp;MATCH($J565,SorP!$B$1:$B$6230,0))))</f>
        <v/>
      </c>
      <c r="U565" s="176"/>
      <c r="V565" s="177" t="e">
        <f>IF(C565="",NA(),IF(OR(C565="Smelter not listed",C565="Smelter not yet identified"),MATCH($B565&amp;$D565,'Smelter Look-up'!$J:$J,0),MATCH($B565&amp;$C565,'Smelter Look-up'!$J:$J,0)))</f>
        <v>#N/A</v>
      </c>
      <c r="X565" s="140">
        <f t="shared" si="79"/>
        <v>0</v>
      </c>
      <c r="AB565" s="178" t="str">
        <f t="shared" si="80"/>
        <v>TinSmelter not listed</v>
      </c>
    </row>
    <row r="566" spans="1:28" s="140" customFormat="1" ht="38.25">
      <c r="A566" s="167"/>
      <c r="B566" s="168" t="s">
        <v>131</v>
      </c>
      <c r="C566" s="169" t="s">
        <v>209</v>
      </c>
      <c r="D566" s="170" t="s">
        <v>17745</v>
      </c>
      <c r="E566" s="168" t="s">
        <v>192</v>
      </c>
      <c r="F566" s="168" t="s">
        <v>17598</v>
      </c>
      <c r="G566" s="168" t="s">
        <v>142</v>
      </c>
      <c r="H566" s="171" t="s">
        <v>114</v>
      </c>
      <c r="I566" s="172" t="s">
        <v>196</v>
      </c>
      <c r="J566" s="172" t="s">
        <v>196</v>
      </c>
      <c r="K566" s="173"/>
      <c r="L566" s="173"/>
      <c r="M566" s="173"/>
      <c r="N566" s="173" t="s">
        <v>121</v>
      </c>
      <c r="O566" s="173" t="s">
        <v>121</v>
      </c>
      <c r="P566" s="174" t="s">
        <v>121</v>
      </c>
      <c r="Q566" s="175"/>
      <c r="R566" s="168" t="str">
        <f ca="1">IF(ISERROR($V566),"",OFFSET('Smelter Look-up'!$C$4,$V566-4,0)&amp;"")</f>
        <v/>
      </c>
      <c r="S566" s="167" t="str">
        <f t="shared" ca="1" si="78"/>
        <v>CN</v>
      </c>
      <c r="T566" s="167" t="str">
        <f ca="1">IF(B566="","",IF(ISERROR(MATCH($J566,SorP!$B$1:$B$6230,0)),"",INDIRECT("'SorP'!$A$"&amp;MATCH($J566,SorP!$B$1:$B$6230,0))))</f>
        <v/>
      </c>
      <c r="U566" s="176"/>
      <c r="V566" s="177" t="e">
        <f>IF(C566="",NA(),IF(OR(C566="Smelter not listed",C566="Smelter not yet identified"),MATCH($B566&amp;$D566,'Smelter Look-up'!$J:$J,0),MATCH($B566&amp;$C566,'Smelter Look-up'!$J:$J,0)))</f>
        <v>#N/A</v>
      </c>
      <c r="X566" s="140">
        <f t="shared" si="79"/>
        <v>0</v>
      </c>
      <c r="AB566" s="178" t="str">
        <f t="shared" si="80"/>
        <v>TinSmelter not listed</v>
      </c>
    </row>
    <row r="567" spans="1:28" s="140" customFormat="1" ht="38.25">
      <c r="A567" s="167"/>
      <c r="B567" s="168" t="s">
        <v>131</v>
      </c>
      <c r="C567" s="169" t="s">
        <v>209</v>
      </c>
      <c r="D567" s="170" t="s">
        <v>17746</v>
      </c>
      <c r="E567" s="168" t="s">
        <v>192</v>
      </c>
      <c r="F567" s="168" t="s">
        <v>17599</v>
      </c>
      <c r="G567" s="168" t="s">
        <v>142</v>
      </c>
      <c r="H567" s="171" t="s">
        <v>114</v>
      </c>
      <c r="I567" s="172" t="s">
        <v>196</v>
      </c>
      <c r="J567" s="172" t="s">
        <v>196</v>
      </c>
      <c r="K567" s="173"/>
      <c r="L567" s="173"/>
      <c r="M567" s="173"/>
      <c r="N567" s="173" t="s">
        <v>121</v>
      </c>
      <c r="O567" s="173" t="s">
        <v>121</v>
      </c>
      <c r="P567" s="174" t="s">
        <v>121</v>
      </c>
      <c r="Q567" s="175"/>
      <c r="R567" s="168" t="str">
        <f ca="1">IF(ISERROR($V567),"",OFFSET('Smelter Look-up'!$C$4,$V567-4,0)&amp;"")</f>
        <v/>
      </c>
      <c r="S567" s="167" t="str">
        <f t="shared" ca="1" si="78"/>
        <v>CN</v>
      </c>
      <c r="T567" s="167" t="str">
        <f ca="1">IF(B567="","",IF(ISERROR(MATCH($J567,SorP!$B$1:$B$6230,0)),"",INDIRECT("'SorP'!$A$"&amp;MATCH($J567,SorP!$B$1:$B$6230,0))))</f>
        <v/>
      </c>
      <c r="U567" s="176"/>
      <c r="V567" s="177" t="e">
        <f>IF(C567="",NA(),IF(OR(C567="Smelter not listed",C567="Smelter not yet identified"),MATCH($B567&amp;$D567,'Smelter Look-up'!$J:$J,0),MATCH($B567&amp;$C567,'Smelter Look-up'!$J:$J,0)))</f>
        <v>#N/A</v>
      </c>
      <c r="X567" s="140">
        <f t="shared" si="79"/>
        <v>0</v>
      </c>
      <c r="AB567" s="178" t="str">
        <f t="shared" si="80"/>
        <v>TinSmelter not listed</v>
      </c>
    </row>
    <row r="568" spans="1:28" s="140" customFormat="1" ht="114.75">
      <c r="A568" s="167"/>
      <c r="B568" s="168" t="s">
        <v>131</v>
      </c>
      <c r="C568" s="169" t="s">
        <v>209</v>
      </c>
      <c r="D568" s="170" t="s">
        <v>17747</v>
      </c>
      <c r="E568" s="168" t="s">
        <v>192</v>
      </c>
      <c r="F568" s="168" t="s">
        <v>17600</v>
      </c>
      <c r="G568" s="168" t="s">
        <v>142</v>
      </c>
      <c r="H568" s="171" t="s">
        <v>114</v>
      </c>
      <c r="I568" s="172" t="s">
        <v>17922</v>
      </c>
      <c r="J568" s="172" t="s">
        <v>995</v>
      </c>
      <c r="K568" s="173" t="s">
        <v>17923</v>
      </c>
      <c r="L568" s="173" t="s">
        <v>17924</v>
      </c>
      <c r="M568" s="173"/>
      <c r="N568" s="173" t="s">
        <v>17925</v>
      </c>
      <c r="O568" s="173" t="s">
        <v>17926</v>
      </c>
      <c r="P568" s="174" t="s">
        <v>117</v>
      </c>
      <c r="Q568" s="175" t="s">
        <v>17927</v>
      </c>
      <c r="R568" s="168" t="str">
        <f ca="1">IF(ISERROR($V568),"",OFFSET('Smelter Look-up'!$C$4,$V568-4,0)&amp;"")</f>
        <v/>
      </c>
      <c r="S568" s="167" t="str">
        <f t="shared" ca="1" si="78"/>
        <v>CN</v>
      </c>
      <c r="T568" s="167" t="str">
        <f ca="1">IF(B568="","",IF(ISERROR(MATCH($J568,SorP!$B$1:$B$6230,0)),"",INDIRECT("'SorP'!$A$"&amp;MATCH($J568,SorP!$B$1:$B$6230,0))))</f>
        <v>CN-GX</v>
      </c>
      <c r="U568" s="176"/>
      <c r="V568" s="177" t="e">
        <f>IF(C568="",NA(),IF(OR(C568="Smelter not listed",C568="Smelter not yet identified"),MATCH($B568&amp;$D568,'Smelter Look-up'!$J:$J,0),MATCH($B568&amp;$C568,'Smelter Look-up'!$J:$J,0)))</f>
        <v>#N/A</v>
      </c>
      <c r="X568" s="140">
        <f t="shared" si="79"/>
        <v>0</v>
      </c>
      <c r="AB568" s="178" t="str">
        <f t="shared" si="80"/>
        <v>TinSmelter not listed</v>
      </c>
    </row>
    <row r="569" spans="1:28" s="140" customFormat="1" ht="51">
      <c r="A569" s="167"/>
      <c r="B569" s="168" t="s">
        <v>130</v>
      </c>
      <c r="C569" s="169" t="s">
        <v>209</v>
      </c>
      <c r="D569" s="170" t="s">
        <v>17748</v>
      </c>
      <c r="E569" s="168" t="s">
        <v>179</v>
      </c>
      <c r="F569" s="168" t="s">
        <v>17601</v>
      </c>
      <c r="G569" s="168" t="s">
        <v>169</v>
      </c>
      <c r="H569" s="171" t="s">
        <v>114</v>
      </c>
      <c r="I569" s="172" t="s">
        <v>1220</v>
      </c>
      <c r="J569" s="172" t="s">
        <v>182</v>
      </c>
      <c r="K569" s="173"/>
      <c r="L569" s="173"/>
      <c r="M569" s="173"/>
      <c r="N569" s="173"/>
      <c r="O569" s="173"/>
      <c r="P569" s="174"/>
      <c r="Q569" s="175" t="s">
        <v>1067</v>
      </c>
      <c r="R569" s="168" t="str">
        <f ca="1">IF(ISERROR($V569),"",OFFSET('Smelter Look-up'!$C$4,$V569-4,0)&amp;"")</f>
        <v/>
      </c>
      <c r="S569" s="167" t="str">
        <f t="shared" ca="1" si="78"/>
        <v>DE</v>
      </c>
      <c r="T569" s="167" t="str">
        <f ca="1">IF(B569="","",IF(ISERROR(MATCH($J569,SorP!$B$1:$B$6230,0)),"",INDIRECT("'SorP'!$A$"&amp;MATCH($J569,SorP!$B$1:$B$6230,0))))</f>
        <v>DE-BW</v>
      </c>
      <c r="U569" s="176"/>
      <c r="V569" s="177" t="e">
        <f>IF(C569="",NA(),IF(OR(C569="Smelter not listed",C569="Smelter not yet identified"),MATCH($B569&amp;$D569,'Smelter Look-up'!$J:$J,0),MATCH($B569&amp;$C569,'Smelter Look-up'!$J:$J,0)))</f>
        <v>#N/A</v>
      </c>
      <c r="X569" s="140">
        <f t="shared" si="79"/>
        <v>0</v>
      </c>
      <c r="AB569" s="178" t="str">
        <f t="shared" si="80"/>
        <v>TantalumSmelter not listed</v>
      </c>
    </row>
    <row r="570" spans="1:28" s="140" customFormat="1" ht="51">
      <c r="A570" s="167"/>
      <c r="B570" s="168" t="s">
        <v>130</v>
      </c>
      <c r="C570" s="169" t="s">
        <v>209</v>
      </c>
      <c r="D570" s="170" t="s">
        <v>17749</v>
      </c>
      <c r="E570" s="168" t="s">
        <v>179</v>
      </c>
      <c r="F570" s="168" t="s">
        <v>17602</v>
      </c>
      <c r="G570" s="168" t="s">
        <v>169</v>
      </c>
      <c r="H570" s="171" t="s">
        <v>114</v>
      </c>
      <c r="I570" s="172" t="s">
        <v>196</v>
      </c>
      <c r="J570" s="172" t="s">
        <v>196</v>
      </c>
      <c r="K570" s="173"/>
      <c r="L570" s="173"/>
      <c r="M570" s="173"/>
      <c r="N570" s="173"/>
      <c r="O570" s="173"/>
      <c r="P570" s="174"/>
      <c r="Q570" s="175"/>
      <c r="R570" s="168" t="str">
        <f ca="1">IF(ISERROR($V570),"",OFFSET('Smelter Look-up'!$C$4,$V570-4,0)&amp;"")</f>
        <v/>
      </c>
      <c r="S570" s="167" t="str">
        <f t="shared" ca="1" si="78"/>
        <v>DE</v>
      </c>
      <c r="T570" s="167" t="str">
        <f ca="1">IF(B570="","",IF(ISERROR(MATCH($J570,SorP!$B$1:$B$6230,0)),"",INDIRECT("'SorP'!$A$"&amp;MATCH($J570,SorP!$B$1:$B$6230,0))))</f>
        <v/>
      </c>
      <c r="U570" s="176"/>
      <c r="V570" s="177" t="e">
        <f>IF(C570="",NA(),IF(OR(C570="Smelter not listed",C570="Smelter not yet identified"),MATCH($B570&amp;$D570,'Smelter Look-up'!$J:$J,0),MATCH($B570&amp;$C570,'Smelter Look-up'!$J:$J,0)))</f>
        <v>#N/A</v>
      </c>
      <c r="X570" s="140">
        <f t="shared" si="79"/>
        <v>0</v>
      </c>
      <c r="AB570" s="178" t="str">
        <f t="shared" si="80"/>
        <v>TantalumSmelter not listed</v>
      </c>
    </row>
    <row r="571" spans="1:28" s="140" customFormat="1" ht="38.25">
      <c r="A571" s="167"/>
      <c r="B571" s="168" t="s">
        <v>133</v>
      </c>
      <c r="C571" s="169" t="s">
        <v>209</v>
      </c>
      <c r="D571" s="170" t="s">
        <v>17750</v>
      </c>
      <c r="E571" s="168" t="s">
        <v>192</v>
      </c>
      <c r="F571" s="168" t="s">
        <v>17603</v>
      </c>
      <c r="G571" s="168" t="s">
        <v>142</v>
      </c>
      <c r="H571" s="171" t="s">
        <v>114</v>
      </c>
      <c r="I571" s="172" t="s">
        <v>196</v>
      </c>
      <c r="J571" s="172" t="s">
        <v>196</v>
      </c>
      <c r="K571" s="173"/>
      <c r="L571" s="173"/>
      <c r="M571" s="173"/>
      <c r="N571" s="173" t="s">
        <v>121</v>
      </c>
      <c r="O571" s="173" t="s">
        <v>121</v>
      </c>
      <c r="P571" s="174" t="s">
        <v>121</v>
      </c>
      <c r="Q571" s="175"/>
      <c r="R571" s="168" t="str">
        <f ca="1">IF(ISERROR($V571),"",OFFSET('Smelter Look-up'!$C$4,$V571-4,0)&amp;"")</f>
        <v/>
      </c>
      <c r="S571" s="167" t="str">
        <f t="shared" ca="1" si="78"/>
        <v>CN</v>
      </c>
      <c r="T571" s="167" t="str">
        <f ca="1">IF(B571="","",IF(ISERROR(MATCH($J571,SorP!$B$1:$B$6230,0)),"",INDIRECT("'SorP'!$A$"&amp;MATCH($J571,SorP!$B$1:$B$6230,0))))</f>
        <v/>
      </c>
      <c r="U571" s="176"/>
      <c r="V571" s="177" t="e">
        <f>IF(C571="",NA(),IF(OR(C571="Smelter not listed",C571="Smelter not yet identified"),MATCH($B571&amp;$D571,'Smelter Look-up'!$J:$J,0),MATCH($B571&amp;$C571,'Smelter Look-up'!$J:$J,0)))</f>
        <v>#N/A</v>
      </c>
      <c r="X571" s="140">
        <f t="shared" si="79"/>
        <v>0</v>
      </c>
      <c r="AB571" s="178" t="str">
        <f t="shared" si="80"/>
        <v>GoldSmelter not listed</v>
      </c>
    </row>
    <row r="572" spans="1:28" s="140" customFormat="1" ht="51">
      <c r="A572" s="167"/>
      <c r="B572" s="168" t="s">
        <v>132</v>
      </c>
      <c r="C572" s="169" t="s">
        <v>209</v>
      </c>
      <c r="D572" s="170" t="s">
        <v>17751</v>
      </c>
      <c r="E572" s="168" t="s">
        <v>179</v>
      </c>
      <c r="F572" s="168" t="s">
        <v>17604</v>
      </c>
      <c r="G572" s="168" t="s">
        <v>114</v>
      </c>
      <c r="H572" s="171" t="s">
        <v>114</v>
      </c>
      <c r="I572" s="172" t="s">
        <v>114</v>
      </c>
      <c r="J572" s="172" t="s">
        <v>114</v>
      </c>
      <c r="K572" s="173"/>
      <c r="L572" s="173"/>
      <c r="M572" s="173"/>
      <c r="N572" s="173"/>
      <c r="O572" s="173"/>
      <c r="P572" s="174"/>
      <c r="Q572" s="175"/>
      <c r="R572" s="168" t="str">
        <f ca="1">IF(ISERROR($V572),"",OFFSET('Smelter Look-up'!$C$4,$V572-4,0)&amp;"")</f>
        <v/>
      </c>
      <c r="S572" s="167" t="str">
        <f t="shared" ca="1" si="78"/>
        <v>DE</v>
      </c>
      <c r="T572" s="167" t="str">
        <f ca="1">IF(B572="","",IF(ISERROR(MATCH($J572,SorP!$B$1:$B$6230,0)),"",INDIRECT("'SorP'!$A$"&amp;MATCH($J572,SorP!$B$1:$B$6230,0))))</f>
        <v/>
      </c>
      <c r="U572" s="176"/>
      <c r="V572" s="177" t="e">
        <f>IF(C572="",NA(),IF(OR(C572="Smelter not listed",C572="Smelter not yet identified"),MATCH($B572&amp;$D572,'Smelter Look-up'!$J:$J,0),MATCH($B572&amp;$C572,'Smelter Look-up'!$J:$J,0)))</f>
        <v>#N/A</v>
      </c>
      <c r="X572" s="140">
        <f t="shared" si="79"/>
        <v>0</v>
      </c>
      <c r="AB572" s="178" t="str">
        <f t="shared" si="80"/>
        <v>TungstenSmelter not listed</v>
      </c>
    </row>
    <row r="573" spans="1:28" s="140" customFormat="1" ht="38.25">
      <c r="A573" s="167"/>
      <c r="B573" s="168" t="s">
        <v>133</v>
      </c>
      <c r="C573" s="169" t="s">
        <v>209</v>
      </c>
      <c r="D573" s="170" t="s">
        <v>17752</v>
      </c>
      <c r="E573" s="168" t="s">
        <v>192</v>
      </c>
      <c r="F573" s="168" t="s">
        <v>17605</v>
      </c>
      <c r="G573" s="168" t="s">
        <v>142</v>
      </c>
      <c r="H573" s="171" t="s">
        <v>114</v>
      </c>
      <c r="I573" s="172" t="s">
        <v>196</v>
      </c>
      <c r="J573" s="172" t="s">
        <v>196</v>
      </c>
      <c r="K573" s="173"/>
      <c r="L573" s="173"/>
      <c r="M573" s="173"/>
      <c r="N573" s="173" t="s">
        <v>121</v>
      </c>
      <c r="O573" s="173" t="s">
        <v>268</v>
      </c>
      <c r="P573" s="174" t="s">
        <v>121</v>
      </c>
      <c r="Q573" s="175"/>
      <c r="R573" s="168" t="str">
        <f ca="1">IF(ISERROR($V573),"",OFFSET('Smelter Look-up'!$C$4,$V573-4,0)&amp;"")</f>
        <v/>
      </c>
      <c r="S573" s="167" t="str">
        <f t="shared" ca="1" si="78"/>
        <v>CN</v>
      </c>
      <c r="T573" s="167" t="str">
        <f ca="1">IF(B573="","",IF(ISERROR(MATCH($J573,SorP!$B$1:$B$6230,0)),"",INDIRECT("'SorP'!$A$"&amp;MATCH($J573,SorP!$B$1:$B$6230,0))))</f>
        <v/>
      </c>
      <c r="U573" s="176"/>
      <c r="V573" s="177" t="e">
        <f>IF(C573="",NA(),IF(OR(C573="Smelter not listed",C573="Smelter not yet identified"),MATCH($B573&amp;$D573,'Smelter Look-up'!$J:$J,0),MATCH($B573&amp;$C573,'Smelter Look-up'!$J:$J,0)))</f>
        <v>#N/A</v>
      </c>
      <c r="X573" s="140">
        <f t="shared" si="79"/>
        <v>0</v>
      </c>
      <c r="AB573" s="178" t="str">
        <f t="shared" si="80"/>
        <v>GoldSmelter not listed</v>
      </c>
    </row>
    <row r="574" spans="1:28" s="140" customFormat="1" ht="38.25">
      <c r="A574" s="167"/>
      <c r="B574" s="168" t="s">
        <v>133</v>
      </c>
      <c r="C574" s="169" t="s">
        <v>209</v>
      </c>
      <c r="D574" s="170" t="s">
        <v>17753</v>
      </c>
      <c r="E574" s="168" t="s">
        <v>192</v>
      </c>
      <c r="F574" s="168" t="s">
        <v>17606</v>
      </c>
      <c r="G574" s="168" t="s">
        <v>142</v>
      </c>
      <c r="H574" s="171" t="s">
        <v>114</v>
      </c>
      <c r="I574" s="172" t="s">
        <v>196</v>
      </c>
      <c r="J574" s="172" t="s">
        <v>196</v>
      </c>
      <c r="K574" s="173"/>
      <c r="L574" s="173"/>
      <c r="M574" s="173"/>
      <c r="N574" s="173" t="s">
        <v>121</v>
      </c>
      <c r="O574" s="173" t="s">
        <v>121</v>
      </c>
      <c r="P574" s="174" t="s">
        <v>121</v>
      </c>
      <c r="Q574" s="175"/>
      <c r="R574" s="168" t="str">
        <f ca="1">IF(ISERROR($V574),"",OFFSET('Smelter Look-up'!$C$4,$V574-4,0)&amp;"")</f>
        <v/>
      </c>
      <c r="S574" s="167" t="str">
        <f t="shared" ca="1" si="78"/>
        <v>CN</v>
      </c>
      <c r="T574" s="167" t="str">
        <f ca="1">IF(B574="","",IF(ISERROR(MATCH($J574,SorP!$B$1:$B$6230,0)),"",INDIRECT("'SorP'!$A$"&amp;MATCH($J574,SorP!$B$1:$B$6230,0))))</f>
        <v/>
      </c>
      <c r="U574" s="176"/>
      <c r="V574" s="177" t="e">
        <f>IF(C574="",NA(),IF(OR(C574="Smelter not listed",C574="Smelter not yet identified"),MATCH($B574&amp;$D574,'Smelter Look-up'!$J:$J,0),MATCH($B574&amp;$C574,'Smelter Look-up'!$J:$J,0)))</f>
        <v>#N/A</v>
      </c>
      <c r="X574" s="140">
        <f t="shared" si="79"/>
        <v>0</v>
      </c>
      <c r="AB574" s="178" t="str">
        <f t="shared" si="80"/>
        <v>GoldSmelter not listed</v>
      </c>
    </row>
    <row r="575" spans="1:28" s="140" customFormat="1" ht="38.25">
      <c r="A575" s="167"/>
      <c r="B575" s="168" t="s">
        <v>131</v>
      </c>
      <c r="C575" s="169" t="s">
        <v>209</v>
      </c>
      <c r="D575" s="170" t="s">
        <v>17754</v>
      </c>
      <c r="E575" s="168" t="s">
        <v>192</v>
      </c>
      <c r="F575" s="168" t="s">
        <v>17607</v>
      </c>
      <c r="G575" s="168" t="s">
        <v>142</v>
      </c>
      <c r="H575" s="171" t="s">
        <v>114</v>
      </c>
      <c r="I575" s="172" t="s">
        <v>196</v>
      </c>
      <c r="J575" s="172" t="s">
        <v>196</v>
      </c>
      <c r="K575" s="173"/>
      <c r="L575" s="173"/>
      <c r="M575" s="173"/>
      <c r="N575" s="173" t="s">
        <v>121</v>
      </c>
      <c r="O575" s="173" t="s">
        <v>121</v>
      </c>
      <c r="P575" s="174" t="s">
        <v>121</v>
      </c>
      <c r="Q575" s="175"/>
      <c r="R575" s="168" t="str">
        <f ca="1">IF(ISERROR($V575),"",OFFSET('Smelter Look-up'!$C$4,$V575-4,0)&amp;"")</f>
        <v/>
      </c>
      <c r="S575" s="167" t="str">
        <f t="shared" ca="1" si="78"/>
        <v>CN</v>
      </c>
      <c r="T575" s="167" t="str">
        <f ca="1">IF(B575="","",IF(ISERROR(MATCH($J575,SorP!$B$1:$B$6230,0)),"",INDIRECT("'SorP'!$A$"&amp;MATCH($J575,SorP!$B$1:$B$6230,0))))</f>
        <v/>
      </c>
      <c r="U575" s="176"/>
      <c r="V575" s="177" t="e">
        <f>IF(C575="",NA(),IF(OR(C575="Smelter not listed",C575="Smelter not yet identified"),MATCH($B575&amp;$D575,'Smelter Look-up'!$J:$J,0),MATCH($B575&amp;$C575,'Smelter Look-up'!$J:$J,0)))</f>
        <v>#N/A</v>
      </c>
      <c r="X575" s="140">
        <f t="shared" si="79"/>
        <v>0</v>
      </c>
      <c r="AB575" s="178" t="str">
        <f t="shared" si="80"/>
        <v>TinSmelter not listed</v>
      </c>
    </row>
    <row r="576" spans="1:28" s="140" customFormat="1" ht="51">
      <c r="A576" s="167"/>
      <c r="B576" s="168" t="s">
        <v>130</v>
      </c>
      <c r="C576" s="169" t="s">
        <v>209</v>
      </c>
      <c r="D576" s="170" t="s">
        <v>17755</v>
      </c>
      <c r="E576" s="168" t="s">
        <v>141</v>
      </c>
      <c r="F576" s="168" t="s">
        <v>17608</v>
      </c>
      <c r="G576" s="168" t="s">
        <v>169</v>
      </c>
      <c r="H576" s="171" t="s">
        <v>17928</v>
      </c>
      <c r="I576" s="172" t="s">
        <v>17929</v>
      </c>
      <c r="J576" s="172" t="s">
        <v>606</v>
      </c>
      <c r="K576" s="173"/>
      <c r="L576" s="173"/>
      <c r="M576" s="173"/>
      <c r="N576" s="173" t="s">
        <v>121</v>
      </c>
      <c r="O576" s="173" t="s">
        <v>121</v>
      </c>
      <c r="P576" s="174" t="s">
        <v>121</v>
      </c>
      <c r="Q576" s="175" t="s">
        <v>1067</v>
      </c>
      <c r="R576" s="168" t="str">
        <f ca="1">IF(ISERROR($V576),"",OFFSET('Smelter Look-up'!$C$4,$V576-4,0)&amp;"")</f>
        <v/>
      </c>
      <c r="S576" s="167" t="str">
        <f t="shared" ca="1" si="78"/>
        <v>US</v>
      </c>
      <c r="T576" s="167" t="str">
        <f ca="1">IF(B576="","",IF(ISERROR(MATCH($J576,SorP!$B$1:$B$6230,0)),"",INDIRECT("'SorP'!$A$"&amp;MATCH($J576,SorP!$B$1:$B$6230,0))))</f>
        <v>US-NY</v>
      </c>
      <c r="U576" s="176"/>
      <c r="V576" s="177" t="e">
        <f>IF(C576="",NA(),IF(OR(C576="Smelter not listed",C576="Smelter not yet identified"),MATCH($B576&amp;$D576,'Smelter Look-up'!$J:$J,0),MATCH($B576&amp;$C576,'Smelter Look-up'!$J:$J,0)))</f>
        <v>#N/A</v>
      </c>
      <c r="X576" s="140">
        <f t="shared" si="79"/>
        <v>0</v>
      </c>
      <c r="AB576" s="178" t="str">
        <f t="shared" si="80"/>
        <v>TantalumSmelter not listed</v>
      </c>
    </row>
    <row r="577" spans="1:28" s="140" customFormat="1" ht="38.25">
      <c r="A577" s="167"/>
      <c r="B577" s="168" t="s">
        <v>131</v>
      </c>
      <c r="C577" s="169" t="s">
        <v>209</v>
      </c>
      <c r="D577" s="170" t="s">
        <v>17756</v>
      </c>
      <c r="E577" s="168" t="s">
        <v>192</v>
      </c>
      <c r="F577" s="168" t="s">
        <v>17609</v>
      </c>
      <c r="G577" s="168" t="s">
        <v>142</v>
      </c>
      <c r="H577" s="171" t="s">
        <v>114</v>
      </c>
      <c r="I577" s="172" t="s">
        <v>196</v>
      </c>
      <c r="J577" s="172" t="s">
        <v>196</v>
      </c>
      <c r="K577" s="173"/>
      <c r="L577" s="173"/>
      <c r="M577" s="173"/>
      <c r="N577" s="173" t="s">
        <v>121</v>
      </c>
      <c r="O577" s="173" t="s">
        <v>121</v>
      </c>
      <c r="P577" s="174" t="s">
        <v>121</v>
      </c>
      <c r="Q577" s="175"/>
      <c r="R577" s="168" t="str">
        <f ca="1">IF(ISERROR($V577),"",OFFSET('Smelter Look-up'!$C$4,$V577-4,0)&amp;"")</f>
        <v/>
      </c>
      <c r="S577" s="167" t="str">
        <f t="shared" ca="1" si="78"/>
        <v>CN</v>
      </c>
      <c r="T577" s="167" t="str">
        <f ca="1">IF(B577="","",IF(ISERROR(MATCH($J577,SorP!$B$1:$B$6230,0)),"",INDIRECT("'SorP'!$A$"&amp;MATCH($J577,SorP!$B$1:$B$6230,0))))</f>
        <v/>
      </c>
      <c r="U577" s="176"/>
      <c r="V577" s="177" t="e">
        <f>IF(C577="",NA(),IF(OR(C577="Smelter not listed",C577="Smelter not yet identified"),MATCH($B577&amp;$D577,'Smelter Look-up'!$J:$J,0),MATCH($B577&amp;$C577,'Smelter Look-up'!$J:$J,0)))</f>
        <v>#N/A</v>
      </c>
      <c r="X577" s="140">
        <f t="shared" si="79"/>
        <v>0</v>
      </c>
      <c r="AB577" s="178" t="str">
        <f t="shared" si="80"/>
        <v>TinSmelter not listed</v>
      </c>
    </row>
    <row r="578" spans="1:28" s="140" customFormat="1" ht="38.25">
      <c r="A578" s="167"/>
      <c r="B578" s="168" t="s">
        <v>133</v>
      </c>
      <c r="C578" s="169" t="s">
        <v>209</v>
      </c>
      <c r="D578" s="170" t="s">
        <v>17757</v>
      </c>
      <c r="E578" s="168" t="s">
        <v>192</v>
      </c>
      <c r="F578" s="168" t="s">
        <v>17610</v>
      </c>
      <c r="G578" s="168" t="s">
        <v>142</v>
      </c>
      <c r="H578" s="171" t="s">
        <v>114</v>
      </c>
      <c r="I578" s="172" t="s">
        <v>196</v>
      </c>
      <c r="J578" s="172" t="s">
        <v>196</v>
      </c>
      <c r="K578" s="173"/>
      <c r="L578" s="173"/>
      <c r="M578" s="173"/>
      <c r="N578" s="173" t="s">
        <v>121</v>
      </c>
      <c r="O578" s="173" t="s">
        <v>121</v>
      </c>
      <c r="P578" s="174" t="s">
        <v>121</v>
      </c>
      <c r="Q578" s="175"/>
      <c r="R578" s="168" t="str">
        <f ca="1">IF(ISERROR($V578),"",OFFSET('Smelter Look-up'!$C$4,$V578-4,0)&amp;"")</f>
        <v/>
      </c>
      <c r="S578" s="167" t="str">
        <f t="shared" ca="1" si="78"/>
        <v>CN</v>
      </c>
      <c r="T578" s="167" t="str">
        <f ca="1">IF(B578="","",IF(ISERROR(MATCH($J578,SorP!$B$1:$B$6230,0)),"",INDIRECT("'SorP'!$A$"&amp;MATCH($J578,SorP!$B$1:$B$6230,0))))</f>
        <v/>
      </c>
      <c r="U578" s="176"/>
      <c r="V578" s="177" t="e">
        <f>IF(C578="",NA(),IF(OR(C578="Smelter not listed",C578="Smelter not yet identified"),MATCH($B578&amp;$D578,'Smelter Look-up'!$J:$J,0),MATCH($B578&amp;$C578,'Smelter Look-up'!$J:$J,0)))</f>
        <v>#N/A</v>
      </c>
      <c r="X578" s="140">
        <f t="shared" si="79"/>
        <v>0</v>
      </c>
      <c r="AB578" s="178" t="str">
        <f t="shared" si="80"/>
        <v>GoldSmelter not listed</v>
      </c>
    </row>
    <row r="579" spans="1:28" s="140" customFormat="1" ht="267.75">
      <c r="A579" s="167"/>
      <c r="B579" s="168" t="s">
        <v>131</v>
      </c>
      <c r="C579" s="169" t="s">
        <v>209</v>
      </c>
      <c r="D579" s="170" t="s">
        <v>17758</v>
      </c>
      <c r="E579" s="168" t="s">
        <v>192</v>
      </c>
      <c r="F579" s="168" t="s">
        <v>17611</v>
      </c>
      <c r="G579" s="168" t="s">
        <v>142</v>
      </c>
      <c r="H579" s="171" t="s">
        <v>114</v>
      </c>
      <c r="I579" s="172" t="s">
        <v>985</v>
      </c>
      <c r="J579" s="172" t="s">
        <v>771</v>
      </c>
      <c r="K579" s="173" t="s">
        <v>17930</v>
      </c>
      <c r="L579" s="173" t="s">
        <v>17931</v>
      </c>
      <c r="M579" s="173"/>
      <c r="N579" s="173" t="s">
        <v>17932</v>
      </c>
      <c r="O579" s="173" t="s">
        <v>17933</v>
      </c>
      <c r="P579" s="174" t="s">
        <v>17934</v>
      </c>
      <c r="Q579" s="175" t="s">
        <v>17935</v>
      </c>
      <c r="R579" s="168" t="str">
        <f ca="1">IF(ISERROR($V579),"",OFFSET('Smelter Look-up'!$C$4,$V579-4,0)&amp;"")</f>
        <v/>
      </c>
      <c r="S579" s="167" t="str">
        <f t="shared" ca="1" si="78"/>
        <v>CN</v>
      </c>
      <c r="T579" s="167" t="str">
        <f ca="1">IF(B579="","",IF(ISERROR(MATCH($J579,SorP!$B$1:$B$6230,0)),"",INDIRECT("'SorP'!$A$"&amp;MATCH($J579,SorP!$B$1:$B$6230,0))))</f>
        <v>CN-JX</v>
      </c>
      <c r="U579" s="176"/>
      <c r="V579" s="177" t="e">
        <f>IF(C579="",NA(),IF(OR(C579="Smelter not listed",C579="Smelter not yet identified"),MATCH($B579&amp;$D579,'Smelter Look-up'!$J:$J,0),MATCH($B579&amp;$C579,'Smelter Look-up'!$J:$J,0)))</f>
        <v>#N/A</v>
      </c>
      <c r="X579" s="140">
        <f t="shared" si="79"/>
        <v>0</v>
      </c>
      <c r="AB579" s="178" t="str">
        <f t="shared" si="80"/>
        <v>TinSmelter not listed</v>
      </c>
    </row>
    <row r="580" spans="1:28" s="140" customFormat="1" ht="38.25">
      <c r="A580" s="167"/>
      <c r="B580" s="168" t="s">
        <v>131</v>
      </c>
      <c r="C580" s="169" t="s">
        <v>209</v>
      </c>
      <c r="D580" s="170" t="s">
        <v>2817</v>
      </c>
      <c r="E580" s="168" t="s">
        <v>192</v>
      </c>
      <c r="F580" s="168" t="s">
        <v>17612</v>
      </c>
      <c r="G580" s="168" t="s">
        <v>142</v>
      </c>
      <c r="H580" s="171" t="s">
        <v>114</v>
      </c>
      <c r="I580" s="172" t="s">
        <v>196</v>
      </c>
      <c r="J580" s="172" t="s">
        <v>196</v>
      </c>
      <c r="K580" s="173"/>
      <c r="L580" s="173"/>
      <c r="M580" s="173"/>
      <c r="N580" s="173" t="s">
        <v>121</v>
      </c>
      <c r="O580" s="173" t="s">
        <v>121</v>
      </c>
      <c r="P580" s="174" t="s">
        <v>121</v>
      </c>
      <c r="Q580" s="175"/>
      <c r="R580" s="168" t="str">
        <f ca="1">IF(ISERROR($V580),"",OFFSET('Smelter Look-up'!$C$4,$V580-4,0)&amp;"")</f>
        <v>Malaysia Smelting Corporation (MSC)</v>
      </c>
      <c r="S580" s="167" t="str">
        <f t="shared" ca="1" si="78"/>
        <v>CN</v>
      </c>
      <c r="T580" s="167" t="str">
        <f ca="1">IF(B580="","",IF(ISERROR(MATCH($J580,SorP!$B$1:$B$6230,0)),"",INDIRECT("'SorP'!$A$"&amp;MATCH($J580,SorP!$B$1:$B$6230,0))))</f>
        <v/>
      </c>
      <c r="U580" s="176"/>
      <c r="V580" s="177">
        <f>IF(C580="",NA(),IF(OR(C580="Smelter not listed",C580="Smelter not yet identified"),MATCH($B580&amp;$D580,'Smelter Look-up'!$J:$J,0),MATCH($B580&amp;$C580,'Smelter Look-up'!$J:$J,0)))</f>
        <v>443</v>
      </c>
      <c r="X580" s="140">
        <f t="shared" si="79"/>
        <v>0</v>
      </c>
      <c r="AB580" s="178" t="str">
        <f t="shared" si="80"/>
        <v>TinSmelter not listed</v>
      </c>
    </row>
    <row r="581" spans="1:28" s="140" customFormat="1" ht="409.5">
      <c r="A581" s="167"/>
      <c r="B581" s="168" t="s">
        <v>132</v>
      </c>
      <c r="C581" s="169" t="s">
        <v>209</v>
      </c>
      <c r="D581" s="170" t="s">
        <v>17759</v>
      </c>
      <c r="E581" s="168" t="s">
        <v>192</v>
      </c>
      <c r="F581" s="168" t="s">
        <v>17613</v>
      </c>
      <c r="G581" s="168" t="s">
        <v>142</v>
      </c>
      <c r="H581" s="171" t="s">
        <v>114</v>
      </c>
      <c r="I581" s="172" t="s">
        <v>1244</v>
      </c>
      <c r="J581" s="172" t="s">
        <v>709</v>
      </c>
      <c r="K581" s="173" t="s">
        <v>17936</v>
      </c>
      <c r="L581" s="173" t="s">
        <v>17937</v>
      </c>
      <c r="M581" s="173"/>
      <c r="N581" s="173" t="s">
        <v>17938</v>
      </c>
      <c r="O581" s="173" t="s">
        <v>17939</v>
      </c>
      <c r="P581" s="174" t="s">
        <v>117</v>
      </c>
      <c r="Q581" s="175" t="s">
        <v>17940</v>
      </c>
      <c r="R581" s="168" t="str">
        <f ca="1">IF(ISERROR($V581),"",OFFSET('Smelter Look-up'!$C$4,$V581-4,0)&amp;"")</f>
        <v/>
      </c>
      <c r="S581" s="167" t="str">
        <f t="shared" ca="1" si="78"/>
        <v>CN</v>
      </c>
      <c r="T581" s="167" t="str">
        <f ca="1">IF(B581="","",IF(ISERROR(MATCH($J581,SorP!$B$1:$B$6230,0)),"",INDIRECT("'SorP'!$A$"&amp;MATCH($J581,SorP!$B$1:$B$6230,0))))</f>
        <v>CN-HN</v>
      </c>
      <c r="U581" s="176"/>
      <c r="V581" s="177" t="e">
        <f>IF(C581="",NA(),IF(OR(C581="Smelter not listed",C581="Smelter not yet identified"),MATCH($B581&amp;$D581,'Smelter Look-up'!$J:$J,0),MATCH($B581&amp;$C581,'Smelter Look-up'!$J:$J,0)))</f>
        <v>#N/A</v>
      </c>
      <c r="X581" s="140">
        <f t="shared" si="79"/>
        <v>0</v>
      </c>
      <c r="AB581" s="178" t="str">
        <f t="shared" si="80"/>
        <v>TungstenSmelter not listed</v>
      </c>
    </row>
    <row r="582" spans="1:28" s="140" customFormat="1" ht="38.25">
      <c r="A582" s="167"/>
      <c r="B582" s="168" t="s">
        <v>133</v>
      </c>
      <c r="C582" s="169" t="s">
        <v>209</v>
      </c>
      <c r="D582" s="170" t="s">
        <v>17760</v>
      </c>
      <c r="E582" s="168" t="s">
        <v>192</v>
      </c>
      <c r="F582" s="168" t="s">
        <v>17614</v>
      </c>
      <c r="G582" s="168" t="s">
        <v>142</v>
      </c>
      <c r="H582" s="171" t="s">
        <v>114</v>
      </c>
      <c r="I582" s="172" t="s">
        <v>196</v>
      </c>
      <c r="J582" s="172" t="s">
        <v>196</v>
      </c>
      <c r="K582" s="173"/>
      <c r="L582" s="173"/>
      <c r="M582" s="173"/>
      <c r="N582" s="173" t="s">
        <v>121</v>
      </c>
      <c r="O582" s="173" t="s">
        <v>121</v>
      </c>
      <c r="P582" s="174" t="s">
        <v>121</v>
      </c>
      <c r="Q582" s="175"/>
      <c r="R582" s="168" t="str">
        <f ca="1">IF(ISERROR($V582),"",OFFSET('Smelter Look-up'!$C$4,$V582-4,0)&amp;"")</f>
        <v/>
      </c>
      <c r="S582" s="167" t="str">
        <f t="shared" ca="1" si="78"/>
        <v>CN</v>
      </c>
      <c r="T582" s="167" t="str">
        <f ca="1">IF(B582="","",IF(ISERROR(MATCH($J582,SorP!$B$1:$B$6230,0)),"",INDIRECT("'SorP'!$A$"&amp;MATCH($J582,SorP!$B$1:$B$6230,0))))</f>
        <v/>
      </c>
      <c r="U582" s="176"/>
      <c r="V582" s="177" t="e">
        <f>IF(C582="",NA(),IF(OR(C582="Smelter not listed",C582="Smelter not yet identified"),MATCH($B582&amp;$D582,'Smelter Look-up'!$J:$J,0),MATCH($B582&amp;$C582,'Smelter Look-up'!$J:$J,0)))</f>
        <v>#N/A</v>
      </c>
      <c r="X582" s="140">
        <f t="shared" si="79"/>
        <v>0</v>
      </c>
      <c r="AB582" s="178" t="str">
        <f t="shared" si="80"/>
        <v>GoldSmelter not listed</v>
      </c>
    </row>
    <row r="583" spans="1:28" s="140" customFormat="1" ht="38.25">
      <c r="A583" s="167"/>
      <c r="B583" s="168" t="s">
        <v>131</v>
      </c>
      <c r="C583" s="169" t="s">
        <v>209</v>
      </c>
      <c r="D583" s="170" t="s">
        <v>2822</v>
      </c>
      <c r="E583" s="168" t="s">
        <v>192</v>
      </c>
      <c r="F583" s="168" t="s">
        <v>17615</v>
      </c>
      <c r="G583" s="168" t="s">
        <v>142</v>
      </c>
      <c r="H583" s="171" t="s">
        <v>114</v>
      </c>
      <c r="I583" s="172" t="s">
        <v>196</v>
      </c>
      <c r="J583" s="172" t="s">
        <v>196</v>
      </c>
      <c r="K583" s="173"/>
      <c r="L583" s="173"/>
      <c r="M583" s="173"/>
      <c r="N583" s="173" t="s">
        <v>121</v>
      </c>
      <c r="O583" s="173" t="s">
        <v>121</v>
      </c>
      <c r="P583" s="174" t="s">
        <v>121</v>
      </c>
      <c r="Q583" s="175"/>
      <c r="R583" s="168" t="str">
        <f ca="1">IF(ISERROR($V583),"",OFFSET('Smelter Look-up'!$C$4,$V583-4,0)&amp;"")</f>
        <v/>
      </c>
      <c r="S583" s="167" t="str">
        <f t="shared" ca="1" si="78"/>
        <v>CN</v>
      </c>
      <c r="T583" s="167" t="str">
        <f ca="1">IF(B583="","",IF(ISERROR(MATCH($J583,SorP!$B$1:$B$6230,0)),"",INDIRECT("'SorP'!$A$"&amp;MATCH($J583,SorP!$B$1:$B$6230,0))))</f>
        <v/>
      </c>
      <c r="U583" s="176"/>
      <c r="V583" s="177" t="e">
        <f>IF(C583="",NA(),IF(OR(C583="Smelter not listed",C583="Smelter not yet identified"),MATCH($B583&amp;$D583,'Smelter Look-up'!$J:$J,0),MATCH($B583&amp;$C583,'Smelter Look-up'!$J:$J,0)))</f>
        <v>#N/A</v>
      </c>
      <c r="X583" s="140">
        <f t="shared" si="79"/>
        <v>0</v>
      </c>
      <c r="AB583" s="178" t="str">
        <f t="shared" si="80"/>
        <v>TinSmelter not listed</v>
      </c>
    </row>
    <row r="584" spans="1:28" s="140" customFormat="1" ht="38.25">
      <c r="A584" s="167"/>
      <c r="B584" s="168" t="s">
        <v>131</v>
      </c>
      <c r="C584" s="169" t="s">
        <v>209</v>
      </c>
      <c r="D584" s="170" t="s">
        <v>17761</v>
      </c>
      <c r="E584" s="168" t="s">
        <v>192</v>
      </c>
      <c r="F584" s="168" t="s">
        <v>17616</v>
      </c>
      <c r="G584" s="168" t="s">
        <v>142</v>
      </c>
      <c r="H584" s="171" t="s">
        <v>114</v>
      </c>
      <c r="I584" s="172" t="s">
        <v>259</v>
      </c>
      <c r="J584" s="172" t="s">
        <v>260</v>
      </c>
      <c r="K584" s="173" t="s">
        <v>17941</v>
      </c>
      <c r="L584" s="173" t="s">
        <v>17942</v>
      </c>
      <c r="M584" s="173"/>
      <c r="N584" s="173" t="s">
        <v>17869</v>
      </c>
      <c r="O584" s="173" t="s">
        <v>17943</v>
      </c>
      <c r="P584" s="174" t="s">
        <v>175</v>
      </c>
      <c r="Q584" s="175" t="s">
        <v>17944</v>
      </c>
      <c r="R584" s="168" t="str">
        <f ca="1">IF(ISERROR($V584),"",OFFSET('Smelter Look-up'!$C$4,$V584-4,0)&amp;"")</f>
        <v/>
      </c>
      <c r="S584" s="167" t="str">
        <f t="shared" ca="1" si="78"/>
        <v>CN</v>
      </c>
      <c r="T584" s="167" t="str">
        <f ca="1">IF(B584="","",IF(ISERROR(MATCH($J584,SorP!$B$1:$B$6230,0)),"",INDIRECT("'SorP'!$A$"&amp;MATCH($J584,SorP!$B$1:$B$6230,0))))</f>
        <v/>
      </c>
      <c r="U584" s="176"/>
      <c r="V584" s="177" t="e">
        <f>IF(C584="",NA(),IF(OR(C584="Smelter not listed",C584="Smelter not yet identified"),MATCH($B584&amp;$D584,'Smelter Look-up'!$J:$J,0),MATCH($B584&amp;$C584,'Smelter Look-up'!$J:$J,0)))</f>
        <v>#N/A</v>
      </c>
      <c r="X584" s="140">
        <f t="shared" si="79"/>
        <v>0</v>
      </c>
      <c r="AB584" s="178" t="str">
        <f t="shared" si="80"/>
        <v>TinSmelter not listed</v>
      </c>
    </row>
    <row r="585" spans="1:28" s="140" customFormat="1" ht="51">
      <c r="A585" s="167"/>
      <c r="B585" s="168" t="s">
        <v>132</v>
      </c>
      <c r="C585" s="169" t="s">
        <v>209</v>
      </c>
      <c r="D585" s="170" t="s">
        <v>17762</v>
      </c>
      <c r="E585" s="168" t="s">
        <v>192</v>
      </c>
      <c r="F585" s="168" t="s">
        <v>17541</v>
      </c>
      <c r="G585" s="168" t="s">
        <v>114</v>
      </c>
      <c r="H585" s="171" t="s">
        <v>114</v>
      </c>
      <c r="I585" s="172"/>
      <c r="J585" s="172" t="s">
        <v>114</v>
      </c>
      <c r="K585" s="173" t="s">
        <v>717</v>
      </c>
      <c r="L585" s="173" t="s">
        <v>17945</v>
      </c>
      <c r="M585" s="173"/>
      <c r="N585" s="173"/>
      <c r="O585" s="173"/>
      <c r="P585" s="174"/>
      <c r="Q585" s="175"/>
      <c r="R585" s="168" t="str">
        <f ca="1">IF(ISERROR($V585),"",OFFSET('Smelter Look-up'!$C$4,$V585-4,0)&amp;"")</f>
        <v/>
      </c>
      <c r="S585" s="167" t="str">
        <f t="shared" ca="1" si="78"/>
        <v>CN</v>
      </c>
      <c r="T585" s="167" t="str">
        <f ca="1">IF(B585="","",IF(ISERROR(MATCH($J585,SorP!$B$1:$B$6230,0)),"",INDIRECT("'SorP'!$A$"&amp;MATCH($J585,SorP!$B$1:$B$6230,0))))</f>
        <v/>
      </c>
      <c r="U585" s="176"/>
      <c r="V585" s="177" t="e">
        <f>IF(C585="",NA(),IF(OR(C585="Smelter not listed",C585="Smelter not yet identified"),MATCH($B585&amp;$D585,'Smelter Look-up'!$J:$J,0),MATCH($B585&amp;$C585,'Smelter Look-up'!$J:$J,0)))</f>
        <v>#N/A</v>
      </c>
      <c r="X585" s="140">
        <f t="shared" si="79"/>
        <v>0</v>
      </c>
      <c r="AB585" s="178" t="str">
        <f t="shared" si="80"/>
        <v>TungstenSmelter not listed</v>
      </c>
    </row>
    <row r="586" spans="1:28" s="140" customFormat="1" ht="51">
      <c r="A586" s="167"/>
      <c r="B586" s="168" t="s">
        <v>132</v>
      </c>
      <c r="C586" s="169" t="s">
        <v>209</v>
      </c>
      <c r="D586" s="170" t="s">
        <v>17763</v>
      </c>
      <c r="E586" s="168" t="s">
        <v>192</v>
      </c>
      <c r="F586" s="168" t="s">
        <v>17617</v>
      </c>
      <c r="G586" s="168" t="s">
        <v>169</v>
      </c>
      <c r="H586" s="171" t="s">
        <v>114</v>
      </c>
      <c r="I586" s="172" t="s">
        <v>196</v>
      </c>
      <c r="J586" s="172" t="s">
        <v>196</v>
      </c>
      <c r="K586" s="173"/>
      <c r="L586" s="173"/>
      <c r="M586" s="173"/>
      <c r="N586" s="173"/>
      <c r="O586" s="173"/>
      <c r="P586" s="174"/>
      <c r="Q586" s="175"/>
      <c r="R586" s="168" t="str">
        <f ca="1">IF(ISERROR($V586),"",OFFSET('Smelter Look-up'!$C$4,$V586-4,0)&amp;"")</f>
        <v/>
      </c>
      <c r="S586" s="167" t="str">
        <f t="shared" ca="1" si="78"/>
        <v>CN</v>
      </c>
      <c r="T586" s="167" t="str">
        <f ca="1">IF(B586="","",IF(ISERROR(MATCH($J586,SorP!$B$1:$B$6230,0)),"",INDIRECT("'SorP'!$A$"&amp;MATCH($J586,SorP!$B$1:$B$6230,0))))</f>
        <v/>
      </c>
      <c r="U586" s="176"/>
      <c r="V586" s="177" t="e">
        <f>IF(C586="",NA(),IF(OR(C586="Smelter not listed",C586="Smelter not yet identified"),MATCH($B586&amp;$D586,'Smelter Look-up'!$J:$J,0),MATCH($B586&amp;$C586,'Smelter Look-up'!$J:$J,0)))</f>
        <v>#N/A</v>
      </c>
      <c r="X586" s="140">
        <f t="shared" si="79"/>
        <v>0</v>
      </c>
      <c r="AB586" s="178" t="str">
        <f t="shared" si="80"/>
        <v>TungstenSmelter not listed</v>
      </c>
    </row>
    <row r="587" spans="1:28" s="140" customFormat="1" ht="51">
      <c r="A587" s="167"/>
      <c r="B587" s="168" t="s">
        <v>132</v>
      </c>
      <c r="C587" s="169" t="s">
        <v>209</v>
      </c>
      <c r="D587" s="170" t="s">
        <v>17764</v>
      </c>
      <c r="E587" s="168" t="s">
        <v>192</v>
      </c>
      <c r="F587" s="168" t="s">
        <v>17618</v>
      </c>
      <c r="G587" s="168" t="s">
        <v>142</v>
      </c>
      <c r="H587" s="171" t="s">
        <v>114</v>
      </c>
      <c r="I587" s="172" t="s">
        <v>17946</v>
      </c>
      <c r="J587" s="172" t="s">
        <v>771</v>
      </c>
      <c r="K587" s="173"/>
      <c r="L587" s="173"/>
      <c r="M587" s="173"/>
      <c r="N587" s="173" t="s">
        <v>121</v>
      </c>
      <c r="O587" s="173" t="s">
        <v>268</v>
      </c>
      <c r="P587" s="174" t="s">
        <v>121</v>
      </c>
      <c r="Q587" s="175" t="s">
        <v>17947</v>
      </c>
      <c r="R587" s="168" t="str">
        <f ca="1">IF(ISERROR($V587),"",OFFSET('Smelter Look-up'!$C$4,$V587-4,0)&amp;"")</f>
        <v/>
      </c>
      <c r="S587" s="167" t="str">
        <f t="shared" ca="1" si="78"/>
        <v>CN</v>
      </c>
      <c r="T587" s="167" t="str">
        <f ca="1">IF(B587="","",IF(ISERROR(MATCH($J587,SorP!$B$1:$B$6230,0)),"",INDIRECT("'SorP'!$A$"&amp;MATCH($J587,SorP!$B$1:$B$6230,0))))</f>
        <v>CN-JX</v>
      </c>
      <c r="U587" s="176"/>
      <c r="V587" s="177" t="e">
        <f>IF(C587="",NA(),IF(OR(C587="Smelter not listed",C587="Smelter not yet identified"),MATCH($B587&amp;$D587,'Smelter Look-up'!$J:$J,0),MATCH($B587&amp;$C587,'Smelter Look-up'!$J:$J,0)))</f>
        <v>#N/A</v>
      </c>
      <c r="X587" s="140">
        <f t="shared" si="79"/>
        <v>0</v>
      </c>
      <c r="AB587" s="178" t="str">
        <f t="shared" si="80"/>
        <v>TungstenSmelter not listed</v>
      </c>
    </row>
    <row r="588" spans="1:28" s="140" customFormat="1" ht="51">
      <c r="A588" s="167"/>
      <c r="B588" s="168" t="s">
        <v>132</v>
      </c>
      <c r="C588" s="169" t="s">
        <v>209</v>
      </c>
      <c r="D588" s="170" t="s">
        <v>17765</v>
      </c>
      <c r="E588" s="168" t="s">
        <v>192</v>
      </c>
      <c r="F588" s="168" t="s">
        <v>17619</v>
      </c>
      <c r="G588" s="168" t="s">
        <v>169</v>
      </c>
      <c r="H588" s="171" t="s">
        <v>114</v>
      </c>
      <c r="I588" s="172"/>
      <c r="J588" s="172" t="s">
        <v>114</v>
      </c>
      <c r="K588" s="173"/>
      <c r="L588" s="173"/>
      <c r="M588" s="173"/>
      <c r="N588" s="173" t="s">
        <v>121</v>
      </c>
      <c r="O588" s="173" t="s">
        <v>17915</v>
      </c>
      <c r="P588" s="174" t="s">
        <v>175</v>
      </c>
      <c r="Q588" s="175" t="s">
        <v>17916</v>
      </c>
      <c r="R588" s="168" t="str">
        <f ca="1">IF(ISERROR($V588),"",OFFSET('Smelter Look-up'!$C$4,$V588-4,0)&amp;"")</f>
        <v/>
      </c>
      <c r="S588" s="167" t="str">
        <f t="shared" ca="1" si="78"/>
        <v>CN</v>
      </c>
      <c r="T588" s="167" t="str">
        <f ca="1">IF(B588="","",IF(ISERROR(MATCH($J588,SorP!$B$1:$B$6230,0)),"",INDIRECT("'SorP'!$A$"&amp;MATCH($J588,SorP!$B$1:$B$6230,0))))</f>
        <v/>
      </c>
      <c r="U588" s="176"/>
      <c r="V588" s="177" t="e">
        <f>IF(C588="",NA(),IF(OR(C588="Smelter not listed",C588="Smelter not yet identified"),MATCH($B588&amp;$D588,'Smelter Look-up'!$J:$J,0),MATCH($B588&amp;$C588,'Smelter Look-up'!$J:$J,0)))</f>
        <v>#N/A</v>
      </c>
      <c r="X588" s="140">
        <f t="shared" si="79"/>
        <v>0</v>
      </c>
      <c r="AB588" s="178" t="str">
        <f t="shared" si="80"/>
        <v>TungstenSmelter not listed</v>
      </c>
    </row>
    <row r="589" spans="1:28" s="140" customFormat="1" ht="38.25">
      <c r="A589" s="167"/>
      <c r="B589" s="168" t="s">
        <v>131</v>
      </c>
      <c r="C589" s="169" t="s">
        <v>209</v>
      </c>
      <c r="D589" s="170" t="s">
        <v>2762</v>
      </c>
      <c r="E589" s="168" t="s">
        <v>192</v>
      </c>
      <c r="F589" s="168" t="s">
        <v>17620</v>
      </c>
      <c r="G589" s="168" t="s">
        <v>142</v>
      </c>
      <c r="H589" s="171" t="s">
        <v>114</v>
      </c>
      <c r="I589" s="172" t="s">
        <v>196</v>
      </c>
      <c r="J589" s="172" t="s">
        <v>196</v>
      </c>
      <c r="K589" s="173"/>
      <c r="L589" s="173"/>
      <c r="M589" s="173"/>
      <c r="N589" s="173" t="s">
        <v>121</v>
      </c>
      <c r="O589" s="173" t="s">
        <v>121</v>
      </c>
      <c r="P589" s="174" t="s">
        <v>121</v>
      </c>
      <c r="Q589" s="175"/>
      <c r="R589" s="168" t="str">
        <f ca="1">IF(ISERROR($V589),"",OFFSET('Smelter Look-up'!$C$4,$V589-4,0)&amp;"")</f>
        <v/>
      </c>
      <c r="S589" s="167" t="str">
        <f t="shared" ca="1" si="78"/>
        <v>CN</v>
      </c>
      <c r="T589" s="167" t="str">
        <f ca="1">IF(B589="","",IF(ISERROR(MATCH($J589,SorP!$B$1:$B$6230,0)),"",INDIRECT("'SorP'!$A$"&amp;MATCH($J589,SorP!$B$1:$B$6230,0))))</f>
        <v/>
      </c>
      <c r="U589" s="176"/>
      <c r="V589" s="177" t="e">
        <f>IF(C589="",NA(),IF(OR(C589="Smelter not listed",C589="Smelter not yet identified"),MATCH($B589&amp;$D589,'Smelter Look-up'!$J:$J,0),MATCH($B589&amp;$C589,'Smelter Look-up'!$J:$J,0)))</f>
        <v>#N/A</v>
      </c>
      <c r="X589" s="140">
        <f t="shared" si="79"/>
        <v>0</v>
      </c>
      <c r="AB589" s="178" t="str">
        <f t="shared" si="80"/>
        <v>TinSmelter not listed</v>
      </c>
    </row>
    <row r="590" spans="1:28" s="140" customFormat="1" ht="38.25">
      <c r="A590" s="167"/>
      <c r="B590" s="168" t="s">
        <v>133</v>
      </c>
      <c r="C590" s="169" t="s">
        <v>209</v>
      </c>
      <c r="D590" s="170" t="s">
        <v>17766</v>
      </c>
      <c r="E590" s="168" t="s">
        <v>192</v>
      </c>
      <c r="F590" s="168" t="s">
        <v>17621</v>
      </c>
      <c r="G590" s="168" t="s">
        <v>142</v>
      </c>
      <c r="H590" s="171" t="s">
        <v>114</v>
      </c>
      <c r="I590" s="172" t="s">
        <v>196</v>
      </c>
      <c r="J590" s="172" t="s">
        <v>196</v>
      </c>
      <c r="K590" s="173"/>
      <c r="L590" s="173"/>
      <c r="M590" s="173"/>
      <c r="N590" s="173" t="s">
        <v>121</v>
      </c>
      <c r="O590" s="173" t="s">
        <v>121</v>
      </c>
      <c r="P590" s="174" t="s">
        <v>121</v>
      </c>
      <c r="Q590" s="175"/>
      <c r="R590" s="168" t="str">
        <f ca="1">IF(ISERROR($V590),"",OFFSET('Smelter Look-up'!$C$4,$V590-4,0)&amp;"")</f>
        <v/>
      </c>
      <c r="S590" s="167" t="str">
        <f t="shared" ca="1" si="78"/>
        <v>CN</v>
      </c>
      <c r="T590" s="167" t="str">
        <f ca="1">IF(B590="","",IF(ISERROR(MATCH($J590,SorP!$B$1:$B$6230,0)),"",INDIRECT("'SorP'!$A$"&amp;MATCH($J590,SorP!$B$1:$B$6230,0))))</f>
        <v/>
      </c>
      <c r="U590" s="176"/>
      <c r="V590" s="177" t="e">
        <f>IF(C590="",NA(),IF(OR(C590="Smelter not listed",C590="Smelter not yet identified"),MATCH($B590&amp;$D590,'Smelter Look-up'!$J:$J,0),MATCH($B590&amp;$C590,'Smelter Look-up'!$J:$J,0)))</f>
        <v>#N/A</v>
      </c>
      <c r="X590" s="140">
        <f t="shared" si="79"/>
        <v>0</v>
      </c>
      <c r="AB590" s="178" t="str">
        <f t="shared" si="80"/>
        <v>GoldSmelter not listed</v>
      </c>
    </row>
    <row r="591" spans="1:28" s="140" customFormat="1" ht="38.25">
      <c r="A591" s="167"/>
      <c r="B591" s="168" t="s">
        <v>133</v>
      </c>
      <c r="C591" s="169" t="s">
        <v>209</v>
      </c>
      <c r="D591" s="170" t="s">
        <v>17767</v>
      </c>
      <c r="E591" s="168" t="s">
        <v>192</v>
      </c>
      <c r="F591" s="168" t="s">
        <v>17622</v>
      </c>
      <c r="G591" s="168" t="s">
        <v>142</v>
      </c>
      <c r="H591" s="171" t="s">
        <v>114</v>
      </c>
      <c r="I591" s="172" t="s">
        <v>196</v>
      </c>
      <c r="J591" s="172" t="s">
        <v>196</v>
      </c>
      <c r="K591" s="173"/>
      <c r="L591" s="173"/>
      <c r="M591" s="173"/>
      <c r="N591" s="173" t="s">
        <v>121</v>
      </c>
      <c r="O591" s="173" t="s">
        <v>121</v>
      </c>
      <c r="P591" s="174" t="s">
        <v>121</v>
      </c>
      <c r="Q591" s="175"/>
      <c r="R591" s="168" t="str">
        <f ca="1">IF(ISERROR($V591),"",OFFSET('Smelter Look-up'!$C$4,$V591-4,0)&amp;"")</f>
        <v/>
      </c>
      <c r="S591" s="167" t="str">
        <f t="shared" ca="1" si="78"/>
        <v>CN</v>
      </c>
      <c r="T591" s="167" t="str">
        <f ca="1">IF(B591="","",IF(ISERROR(MATCH($J591,SorP!$B$1:$B$6230,0)),"",INDIRECT("'SorP'!$A$"&amp;MATCH($J591,SorP!$B$1:$B$6230,0))))</f>
        <v/>
      </c>
      <c r="U591" s="176"/>
      <c r="V591" s="177" t="e">
        <f>IF(C591="",NA(),IF(OR(C591="Smelter not listed",C591="Smelter not yet identified"),MATCH($B591&amp;$D591,'Smelter Look-up'!$J:$J,0),MATCH($B591&amp;$C591,'Smelter Look-up'!$J:$J,0)))</f>
        <v>#N/A</v>
      </c>
      <c r="X591" s="140">
        <f t="shared" si="79"/>
        <v>0</v>
      </c>
      <c r="AB591" s="178" t="str">
        <f t="shared" si="80"/>
        <v>GoldSmelter not listed</v>
      </c>
    </row>
    <row r="592" spans="1:28" s="140" customFormat="1" ht="51">
      <c r="A592" s="167"/>
      <c r="B592" s="168" t="s">
        <v>130</v>
      </c>
      <c r="C592" s="169" t="s">
        <v>209</v>
      </c>
      <c r="D592" s="170" t="s">
        <v>17768</v>
      </c>
      <c r="E592" s="168" t="s">
        <v>192</v>
      </c>
      <c r="F592" s="168" t="s">
        <v>17623</v>
      </c>
      <c r="G592" s="168" t="s">
        <v>142</v>
      </c>
      <c r="H592" s="171" t="s">
        <v>114</v>
      </c>
      <c r="I592" s="172" t="s">
        <v>770</v>
      </c>
      <c r="J592" s="172" t="s">
        <v>771</v>
      </c>
      <c r="K592" s="173" t="s">
        <v>17948</v>
      </c>
      <c r="L592" s="173" t="s">
        <v>17949</v>
      </c>
      <c r="M592" s="173"/>
      <c r="N592" s="173" t="s">
        <v>17950</v>
      </c>
      <c r="O592" s="173" t="s">
        <v>17950</v>
      </c>
      <c r="P592" s="174" t="s">
        <v>17951</v>
      </c>
      <c r="Q592" s="175" t="s">
        <v>17952</v>
      </c>
      <c r="R592" s="168" t="str">
        <f ca="1">IF(ISERROR($V592),"",OFFSET('Smelter Look-up'!$C$4,$V592-4,0)&amp;"")</f>
        <v/>
      </c>
      <c r="S592" s="167" t="str">
        <f t="shared" ca="1" si="78"/>
        <v>CN</v>
      </c>
      <c r="T592" s="167" t="str">
        <f ca="1">IF(B592="","",IF(ISERROR(MATCH($J592,SorP!$B$1:$B$6230,0)),"",INDIRECT("'SorP'!$A$"&amp;MATCH($J592,SorP!$B$1:$B$6230,0))))</f>
        <v>CN-JX</v>
      </c>
      <c r="U592" s="176"/>
      <c r="V592" s="177" t="e">
        <f>IF(C592="",NA(),IF(OR(C592="Smelter not listed",C592="Smelter not yet identified"),MATCH($B592&amp;$D592,'Smelter Look-up'!$J:$J,0),MATCH($B592&amp;$C592,'Smelter Look-up'!$J:$J,0)))</f>
        <v>#N/A</v>
      </c>
      <c r="X592" s="140">
        <f t="shared" si="79"/>
        <v>0</v>
      </c>
      <c r="AB592" s="178" t="str">
        <f t="shared" si="80"/>
        <v>TantalumSmelter not listed</v>
      </c>
    </row>
    <row r="593" spans="1:28" s="140" customFormat="1" ht="38.25">
      <c r="A593" s="167"/>
      <c r="B593" s="168" t="s">
        <v>131</v>
      </c>
      <c r="C593" s="169" t="s">
        <v>209</v>
      </c>
      <c r="D593" s="170" t="s">
        <v>17769</v>
      </c>
      <c r="E593" s="168" t="s">
        <v>192</v>
      </c>
      <c r="F593" s="168" t="s">
        <v>17624</v>
      </c>
      <c r="G593" s="168" t="s">
        <v>142</v>
      </c>
      <c r="H593" s="171" t="s">
        <v>114</v>
      </c>
      <c r="I593" s="172" t="s">
        <v>196</v>
      </c>
      <c r="J593" s="172" t="s">
        <v>196</v>
      </c>
      <c r="K593" s="173"/>
      <c r="L593" s="173"/>
      <c r="M593" s="173"/>
      <c r="N593" s="173" t="s">
        <v>121</v>
      </c>
      <c r="O593" s="173" t="s">
        <v>121</v>
      </c>
      <c r="P593" s="174" t="s">
        <v>121</v>
      </c>
      <c r="Q593" s="175"/>
      <c r="R593" s="168" t="str">
        <f ca="1">IF(ISERROR($V593),"",OFFSET('Smelter Look-up'!$C$4,$V593-4,0)&amp;"")</f>
        <v/>
      </c>
      <c r="S593" s="167" t="str">
        <f t="shared" ca="1" si="78"/>
        <v>CN</v>
      </c>
      <c r="T593" s="167" t="str">
        <f ca="1">IF(B593="","",IF(ISERROR(MATCH($J593,SorP!$B$1:$B$6230,0)),"",INDIRECT("'SorP'!$A$"&amp;MATCH($J593,SorP!$B$1:$B$6230,0))))</f>
        <v/>
      </c>
      <c r="U593" s="176"/>
      <c r="V593" s="177" t="e">
        <f>IF(C593="",NA(),IF(OR(C593="Smelter not listed",C593="Smelter not yet identified"),MATCH($B593&amp;$D593,'Smelter Look-up'!$J:$J,0),MATCH($B593&amp;$C593,'Smelter Look-up'!$J:$J,0)))</f>
        <v>#N/A</v>
      </c>
      <c r="X593" s="140">
        <f t="shared" si="79"/>
        <v>0</v>
      </c>
      <c r="AB593" s="178" t="str">
        <f t="shared" si="80"/>
        <v>TinSmelter not listed</v>
      </c>
    </row>
    <row r="594" spans="1:28" s="140" customFormat="1" ht="51">
      <c r="A594" s="167"/>
      <c r="B594" s="168" t="s">
        <v>130</v>
      </c>
      <c r="C594" s="169" t="s">
        <v>209</v>
      </c>
      <c r="D594" s="170" t="s">
        <v>17770</v>
      </c>
      <c r="E594" s="168" t="s">
        <v>141</v>
      </c>
      <c r="F594" s="168" t="s">
        <v>17518</v>
      </c>
      <c r="G594" s="168" t="s">
        <v>114</v>
      </c>
      <c r="H594" s="171" t="s">
        <v>114</v>
      </c>
      <c r="I594" s="172" t="s">
        <v>114</v>
      </c>
      <c r="J594" s="172" t="s">
        <v>114</v>
      </c>
      <c r="K594" s="173" t="s">
        <v>17953</v>
      </c>
      <c r="L594" s="173" t="s">
        <v>17954</v>
      </c>
      <c r="M594" s="173"/>
      <c r="N594" s="173" t="s">
        <v>121</v>
      </c>
      <c r="O594" s="173" t="s">
        <v>17955</v>
      </c>
      <c r="P594" s="174" t="s">
        <v>17951</v>
      </c>
      <c r="Q594" s="175" t="s">
        <v>17952</v>
      </c>
      <c r="R594" s="168" t="str">
        <f ca="1">IF(ISERROR($V594),"",OFFSET('Smelter Look-up'!$C$4,$V594-4,0)&amp;"")</f>
        <v/>
      </c>
      <c r="S594" s="167" t="str">
        <f t="shared" ca="1" si="78"/>
        <v>US</v>
      </c>
      <c r="T594" s="167" t="str">
        <f ca="1">IF(B594="","",IF(ISERROR(MATCH($J594,SorP!$B$1:$B$6230,0)),"",INDIRECT("'SorP'!$A$"&amp;MATCH($J594,SorP!$B$1:$B$6230,0))))</f>
        <v/>
      </c>
      <c r="U594" s="176"/>
      <c r="V594" s="177" t="e">
        <f>IF(C594="",NA(),IF(OR(C594="Smelter not listed",C594="Smelter not yet identified"),MATCH($B594&amp;$D594,'Smelter Look-up'!$J:$J,0),MATCH($B594&amp;$C594,'Smelter Look-up'!$J:$J,0)))</f>
        <v>#N/A</v>
      </c>
      <c r="X594" s="140">
        <f t="shared" si="79"/>
        <v>0</v>
      </c>
      <c r="AB594" s="178" t="str">
        <f t="shared" si="80"/>
        <v>TantalumSmelter not listed</v>
      </c>
    </row>
    <row r="595" spans="1:28" s="140" customFormat="1" ht="51">
      <c r="A595" s="167"/>
      <c r="B595" s="168" t="s">
        <v>130</v>
      </c>
      <c r="C595" s="169" t="s">
        <v>209</v>
      </c>
      <c r="D595" s="170" t="s">
        <v>17771</v>
      </c>
      <c r="E595" s="168" t="s">
        <v>141</v>
      </c>
      <c r="F595" s="168" t="s">
        <v>17625</v>
      </c>
      <c r="G595" s="168" t="s">
        <v>142</v>
      </c>
      <c r="H595" s="171" t="s">
        <v>114</v>
      </c>
      <c r="I595" s="172" t="s">
        <v>114</v>
      </c>
      <c r="J595" s="172" t="s">
        <v>114</v>
      </c>
      <c r="K595" s="173"/>
      <c r="L595" s="173"/>
      <c r="M595" s="173"/>
      <c r="N595" s="173" t="s">
        <v>121</v>
      </c>
      <c r="O595" s="173" t="s">
        <v>121</v>
      </c>
      <c r="P595" s="174" t="s">
        <v>121</v>
      </c>
      <c r="Q595" s="175"/>
      <c r="R595" s="168" t="str">
        <f ca="1">IF(ISERROR($V595),"",OFFSET('Smelter Look-up'!$C$4,$V595-4,0)&amp;"")</f>
        <v/>
      </c>
      <c r="S595" s="167" t="str">
        <f t="shared" ca="1" si="78"/>
        <v>US</v>
      </c>
      <c r="T595" s="167" t="str">
        <f ca="1">IF(B595="","",IF(ISERROR(MATCH($J595,SorP!$B$1:$B$6230,0)),"",INDIRECT("'SorP'!$A$"&amp;MATCH($J595,SorP!$B$1:$B$6230,0))))</f>
        <v/>
      </c>
      <c r="U595" s="176"/>
      <c r="V595" s="177" t="e">
        <f>IF(C595="",NA(),IF(OR(C595="Smelter not listed",C595="Smelter not yet identified"),MATCH($B595&amp;$D595,'Smelter Look-up'!$J:$J,0),MATCH($B595&amp;$C595,'Smelter Look-up'!$J:$J,0)))</f>
        <v>#N/A</v>
      </c>
      <c r="X595" s="140">
        <f t="shared" si="79"/>
        <v>0</v>
      </c>
      <c r="AB595" s="178" t="str">
        <f t="shared" si="80"/>
        <v>TantalumSmelter not listed</v>
      </c>
    </row>
    <row r="596" spans="1:28" s="140" customFormat="1" ht="51">
      <c r="A596" s="167"/>
      <c r="B596" s="168" t="s">
        <v>130</v>
      </c>
      <c r="C596" s="169" t="s">
        <v>209</v>
      </c>
      <c r="D596" s="170" t="s">
        <v>17772</v>
      </c>
      <c r="E596" s="168" t="s">
        <v>192</v>
      </c>
      <c r="F596" s="168" t="s">
        <v>17626</v>
      </c>
      <c r="G596" s="168" t="s">
        <v>169</v>
      </c>
      <c r="H596" s="171" t="s">
        <v>17956</v>
      </c>
      <c r="I596" s="172" t="s">
        <v>1809</v>
      </c>
      <c r="J596" s="172" t="s">
        <v>260</v>
      </c>
      <c r="K596" s="173"/>
      <c r="L596" s="173"/>
      <c r="M596" s="173"/>
      <c r="N596" s="173" t="s">
        <v>121</v>
      </c>
      <c r="O596" s="173" t="s">
        <v>17915</v>
      </c>
      <c r="P596" s="174" t="s">
        <v>175</v>
      </c>
      <c r="Q596" s="175" t="s">
        <v>17916</v>
      </c>
      <c r="R596" s="168" t="str">
        <f ca="1">IF(ISERROR($V596),"",OFFSET('Smelter Look-up'!$C$4,$V596-4,0)&amp;"")</f>
        <v/>
      </c>
      <c r="S596" s="167" t="str">
        <f t="shared" ca="1" si="78"/>
        <v>CN</v>
      </c>
      <c r="T596" s="167" t="str">
        <f ca="1">IF(B596="","",IF(ISERROR(MATCH($J596,SorP!$B$1:$B$6230,0)),"",INDIRECT("'SorP'!$A$"&amp;MATCH($J596,SorP!$B$1:$B$6230,0))))</f>
        <v/>
      </c>
      <c r="U596" s="176"/>
      <c r="V596" s="177" t="e">
        <f>IF(C596="",NA(),IF(OR(C596="Smelter not listed",C596="Smelter not yet identified"),MATCH($B596&amp;$D596,'Smelter Look-up'!$J:$J,0),MATCH($B596&amp;$C596,'Smelter Look-up'!$J:$J,0)))</f>
        <v>#N/A</v>
      </c>
      <c r="X596" s="140">
        <f t="shared" si="79"/>
        <v>0</v>
      </c>
      <c r="AB596" s="178" t="str">
        <f t="shared" si="80"/>
        <v>TantalumSmelter not listed</v>
      </c>
    </row>
    <row r="597" spans="1:28" s="140" customFormat="1" ht="38.25">
      <c r="A597" s="167"/>
      <c r="B597" s="168" t="s">
        <v>133</v>
      </c>
      <c r="C597" s="169" t="s">
        <v>209</v>
      </c>
      <c r="D597" s="170" t="s">
        <v>3125</v>
      </c>
      <c r="E597" s="168" t="s">
        <v>155</v>
      </c>
      <c r="F597" s="168" t="s">
        <v>17627</v>
      </c>
      <c r="G597" s="168" t="s">
        <v>142</v>
      </c>
      <c r="H597" s="171" t="s">
        <v>114</v>
      </c>
      <c r="I597" s="172" t="s">
        <v>196</v>
      </c>
      <c r="J597" s="172" t="s">
        <v>196</v>
      </c>
      <c r="K597" s="173"/>
      <c r="L597" s="173"/>
      <c r="M597" s="173"/>
      <c r="N597" s="173" t="s">
        <v>121</v>
      </c>
      <c r="O597" s="173" t="s">
        <v>121</v>
      </c>
      <c r="P597" s="174" t="s">
        <v>121</v>
      </c>
      <c r="Q597" s="175"/>
      <c r="R597" s="168" t="str">
        <f ca="1">IF(ISERROR($V597),"",OFFSET('Smelter Look-up'!$C$4,$V597-4,0)&amp;"")</f>
        <v>Dowa</v>
      </c>
      <c r="S597" s="167" t="str">
        <f t="shared" ca="1" si="78"/>
        <v>JP</v>
      </c>
      <c r="T597" s="167" t="str">
        <f ca="1">IF(B597="","",IF(ISERROR(MATCH($J597,SorP!$B$1:$B$6230,0)),"",INDIRECT("'SorP'!$A$"&amp;MATCH($J597,SorP!$B$1:$B$6230,0))))</f>
        <v/>
      </c>
      <c r="U597" s="176"/>
      <c r="V597" s="177">
        <f>IF(C597="",NA(),IF(OR(C597="Smelter not listed",C597="Smelter not yet identified"),MATCH($B597&amp;$D597,'Smelter Look-up'!$J:$J,0),MATCH($B597&amp;$C597,'Smelter Look-up'!$J:$J,0)))</f>
        <v>146</v>
      </c>
      <c r="X597" s="140">
        <f t="shared" si="79"/>
        <v>0</v>
      </c>
      <c r="AB597" s="178" t="str">
        <f t="shared" si="80"/>
        <v>GoldSmelter not listed</v>
      </c>
    </row>
    <row r="598" spans="1:28" s="140" customFormat="1" ht="38.25">
      <c r="A598" s="167"/>
      <c r="B598" s="168" t="s">
        <v>131</v>
      </c>
      <c r="C598" s="169" t="s">
        <v>209</v>
      </c>
      <c r="D598" s="170" t="s">
        <v>17773</v>
      </c>
      <c r="E598" s="168" t="s">
        <v>2215</v>
      </c>
      <c r="F598" s="168" t="s">
        <v>17533</v>
      </c>
      <c r="G598" s="168" t="s">
        <v>114</v>
      </c>
      <c r="H598" s="171" t="s">
        <v>114</v>
      </c>
      <c r="I598" s="172"/>
      <c r="J598" s="172" t="s">
        <v>114</v>
      </c>
      <c r="K598" s="173"/>
      <c r="L598" s="173"/>
      <c r="M598" s="173"/>
      <c r="N598" s="173"/>
      <c r="O598" s="173"/>
      <c r="P598" s="174"/>
      <c r="Q598" s="175"/>
      <c r="R598" s="168" t="str">
        <f ca="1">IF(ISERROR($V598),"",OFFSET('Smelter Look-up'!$C$4,$V598-4,0)&amp;"")</f>
        <v/>
      </c>
      <c r="S598" s="167" t="str">
        <f t="shared" ca="1" si="78"/>
        <v>Unknown</v>
      </c>
      <c r="T598" s="167" t="str">
        <f ca="1">IF(B598="","",IF(ISERROR(MATCH($J598,SorP!$B$1:$B$6230,0)),"",INDIRECT("'SorP'!$A$"&amp;MATCH($J598,SorP!$B$1:$B$6230,0))))</f>
        <v/>
      </c>
      <c r="U598" s="176"/>
      <c r="V598" s="177" t="e">
        <f>IF(C598="",NA(),IF(OR(C598="Smelter not listed",C598="Smelter not yet identified"),MATCH($B598&amp;$D598,'Smelter Look-up'!$J:$J,0),MATCH($B598&amp;$C598,'Smelter Look-up'!$J:$J,0)))</f>
        <v>#N/A</v>
      </c>
      <c r="X598" s="140">
        <f t="shared" si="79"/>
        <v>0</v>
      </c>
      <c r="AB598" s="178" t="str">
        <f t="shared" si="80"/>
        <v>TinSmelter not listed</v>
      </c>
    </row>
    <row r="599" spans="1:28" s="140" customFormat="1" ht="38.25">
      <c r="A599" s="167"/>
      <c r="B599" s="168" t="s">
        <v>131</v>
      </c>
      <c r="C599" s="169" t="s">
        <v>209</v>
      </c>
      <c r="D599" s="170" t="s">
        <v>17774</v>
      </c>
      <c r="E599" s="168" t="s">
        <v>192</v>
      </c>
      <c r="F599" s="168" t="s">
        <v>17628</v>
      </c>
      <c r="G599" s="168" t="s">
        <v>142</v>
      </c>
      <c r="H599" s="171" t="s">
        <v>114</v>
      </c>
      <c r="I599" s="172" t="s">
        <v>196</v>
      </c>
      <c r="J599" s="172" t="s">
        <v>196</v>
      </c>
      <c r="K599" s="173"/>
      <c r="L599" s="173"/>
      <c r="M599" s="173"/>
      <c r="N599" s="173" t="s">
        <v>121</v>
      </c>
      <c r="O599" s="173" t="s">
        <v>121</v>
      </c>
      <c r="P599" s="174" t="s">
        <v>121</v>
      </c>
      <c r="Q599" s="175"/>
      <c r="R599" s="168" t="str">
        <f ca="1">IF(ISERROR($V599),"",OFFSET('Smelter Look-up'!$C$4,$V599-4,0)&amp;"")</f>
        <v/>
      </c>
      <c r="S599" s="167" t="str">
        <f t="shared" ca="1" si="78"/>
        <v>CN</v>
      </c>
      <c r="T599" s="167" t="str">
        <f ca="1">IF(B599="","",IF(ISERROR(MATCH($J599,SorP!$B$1:$B$6230,0)),"",INDIRECT("'SorP'!$A$"&amp;MATCH($J599,SorP!$B$1:$B$6230,0))))</f>
        <v/>
      </c>
      <c r="U599" s="176"/>
      <c r="V599" s="177" t="e">
        <f>IF(C599="",NA(),IF(OR(C599="Smelter not listed",C599="Smelter not yet identified"),MATCH($B599&amp;$D599,'Smelter Look-up'!$J:$J,0),MATCH($B599&amp;$C599,'Smelter Look-up'!$J:$J,0)))</f>
        <v>#N/A</v>
      </c>
      <c r="X599" s="140">
        <f t="shared" si="79"/>
        <v>0</v>
      </c>
      <c r="AB599" s="178" t="str">
        <f t="shared" si="80"/>
        <v>TinSmelter not listed</v>
      </c>
    </row>
    <row r="600" spans="1:28" s="140" customFormat="1" ht="38.25">
      <c r="A600" s="167"/>
      <c r="B600" s="168" t="s">
        <v>131</v>
      </c>
      <c r="C600" s="169" t="s">
        <v>209</v>
      </c>
      <c r="D600" s="170" t="s">
        <v>17775</v>
      </c>
      <c r="E600" s="168" t="s">
        <v>192</v>
      </c>
      <c r="F600" s="168" t="s">
        <v>17629</v>
      </c>
      <c r="G600" s="168" t="s">
        <v>169</v>
      </c>
      <c r="H600" s="171" t="s">
        <v>114</v>
      </c>
      <c r="I600" s="172"/>
      <c r="J600" s="172" t="s">
        <v>114</v>
      </c>
      <c r="K600" s="173"/>
      <c r="L600" s="173"/>
      <c r="M600" s="173"/>
      <c r="N600" s="173"/>
      <c r="O600" s="173"/>
      <c r="P600" s="174"/>
      <c r="Q600" s="175"/>
      <c r="R600" s="168" t="str">
        <f ca="1">IF(ISERROR($V600),"",OFFSET('Smelter Look-up'!$C$4,$V600-4,0)&amp;"")</f>
        <v/>
      </c>
      <c r="S600" s="167" t="str">
        <f t="shared" ca="1" si="78"/>
        <v>CN</v>
      </c>
      <c r="T600" s="167" t="str">
        <f ca="1">IF(B600="","",IF(ISERROR(MATCH($J600,SorP!$B$1:$B$6230,0)),"",INDIRECT("'SorP'!$A$"&amp;MATCH($J600,SorP!$B$1:$B$6230,0))))</f>
        <v/>
      </c>
      <c r="U600" s="176"/>
      <c r="V600" s="177" t="e">
        <f>IF(C600="",NA(),IF(OR(C600="Smelter not listed",C600="Smelter not yet identified"),MATCH($B600&amp;$D600,'Smelter Look-up'!$J:$J,0),MATCH($B600&amp;$C600,'Smelter Look-up'!$J:$J,0)))</f>
        <v>#N/A</v>
      </c>
      <c r="X600" s="140">
        <f t="shared" si="79"/>
        <v>0</v>
      </c>
      <c r="AB600" s="178" t="str">
        <f t="shared" si="80"/>
        <v>TinSmelter not listed</v>
      </c>
    </row>
    <row r="601" spans="1:28" s="140" customFormat="1" ht="38.25">
      <c r="A601" s="167"/>
      <c r="B601" s="168" t="s">
        <v>131</v>
      </c>
      <c r="C601" s="169" t="s">
        <v>209</v>
      </c>
      <c r="D601" s="170" t="s">
        <v>17776</v>
      </c>
      <c r="E601" s="168" t="s">
        <v>2827</v>
      </c>
      <c r="F601" s="168" t="s">
        <v>17630</v>
      </c>
      <c r="G601" s="168" t="s">
        <v>142</v>
      </c>
      <c r="H601" s="171" t="s">
        <v>114</v>
      </c>
      <c r="I601" s="172" t="s">
        <v>114</v>
      </c>
      <c r="J601" s="172" t="s">
        <v>114</v>
      </c>
      <c r="K601" s="173"/>
      <c r="L601" s="173"/>
      <c r="M601" s="173"/>
      <c r="N601" s="173" t="s">
        <v>121</v>
      </c>
      <c r="O601" s="173" t="s">
        <v>121</v>
      </c>
      <c r="P601" s="174" t="s">
        <v>121</v>
      </c>
      <c r="Q601" s="175"/>
      <c r="R601" s="168" t="str">
        <f ca="1">IF(ISERROR($V601),"",OFFSET('Smelter Look-up'!$C$4,$V601-4,0)&amp;"")</f>
        <v/>
      </c>
      <c r="S601" s="167" t="str">
        <f t="shared" ca="1" si="78"/>
        <v>SG</v>
      </c>
      <c r="T601" s="167" t="str">
        <f ca="1">IF(B601="","",IF(ISERROR(MATCH($J601,SorP!$B$1:$B$6230,0)),"",INDIRECT("'SorP'!$A$"&amp;MATCH($J601,SorP!$B$1:$B$6230,0))))</f>
        <v/>
      </c>
      <c r="U601" s="176"/>
      <c r="V601" s="177" t="e">
        <f>IF(C601="",NA(),IF(OR(C601="Smelter not listed",C601="Smelter not yet identified"),MATCH($B601&amp;$D601,'Smelter Look-up'!$J:$J,0),MATCH($B601&amp;$C601,'Smelter Look-up'!$J:$J,0)))</f>
        <v>#N/A</v>
      </c>
      <c r="X601" s="140">
        <f t="shared" si="79"/>
        <v>0</v>
      </c>
      <c r="AB601" s="178" t="str">
        <f t="shared" si="80"/>
        <v>TinSmelter not listed</v>
      </c>
    </row>
    <row r="602" spans="1:28" s="140" customFormat="1" ht="38.25">
      <c r="A602" s="167"/>
      <c r="B602" s="168" t="s">
        <v>131</v>
      </c>
      <c r="C602" s="169" t="s">
        <v>209</v>
      </c>
      <c r="D602" s="170" t="s">
        <v>17777</v>
      </c>
      <c r="E602" s="168" t="s">
        <v>192</v>
      </c>
      <c r="F602" s="168" t="s">
        <v>17631</v>
      </c>
      <c r="G602" s="168" t="s">
        <v>142</v>
      </c>
      <c r="H602" s="171" t="s">
        <v>114</v>
      </c>
      <c r="I602" s="172" t="s">
        <v>196</v>
      </c>
      <c r="J602" s="172" t="s">
        <v>196</v>
      </c>
      <c r="K602" s="173"/>
      <c r="L602" s="173"/>
      <c r="M602" s="173"/>
      <c r="N602" s="173" t="s">
        <v>121</v>
      </c>
      <c r="O602" s="173" t="s">
        <v>121</v>
      </c>
      <c r="P602" s="174" t="s">
        <v>121</v>
      </c>
      <c r="Q602" s="175"/>
      <c r="R602" s="168" t="str">
        <f ca="1">IF(ISERROR($V602),"",OFFSET('Smelter Look-up'!$C$4,$V602-4,0)&amp;"")</f>
        <v/>
      </c>
      <c r="S602" s="167" t="str">
        <f t="shared" ca="1" si="78"/>
        <v>CN</v>
      </c>
      <c r="T602" s="167" t="str">
        <f ca="1">IF(B602="","",IF(ISERROR(MATCH($J602,SorP!$B$1:$B$6230,0)),"",INDIRECT("'SorP'!$A$"&amp;MATCH($J602,SorP!$B$1:$B$6230,0))))</f>
        <v/>
      </c>
      <c r="U602" s="176"/>
      <c r="V602" s="177" t="e">
        <f>IF(C602="",NA(),IF(OR(C602="Smelter not listed",C602="Smelter not yet identified"),MATCH($B602&amp;$D602,'Smelter Look-up'!$J:$J,0),MATCH($B602&amp;$C602,'Smelter Look-up'!$J:$J,0)))</f>
        <v>#N/A</v>
      </c>
      <c r="X602" s="140">
        <f t="shared" si="79"/>
        <v>0</v>
      </c>
      <c r="AB602" s="178" t="str">
        <f t="shared" si="80"/>
        <v>TinSmelter not listed</v>
      </c>
    </row>
    <row r="603" spans="1:28" s="140" customFormat="1" ht="38.25">
      <c r="A603" s="167"/>
      <c r="B603" s="168" t="s">
        <v>131</v>
      </c>
      <c r="C603" s="169" t="s">
        <v>209</v>
      </c>
      <c r="D603" s="170" t="s">
        <v>17778</v>
      </c>
      <c r="E603" s="168" t="s">
        <v>155</v>
      </c>
      <c r="F603" s="168" t="s">
        <v>17632</v>
      </c>
      <c r="G603" s="168" t="s">
        <v>142</v>
      </c>
      <c r="H603" s="171" t="s">
        <v>114</v>
      </c>
      <c r="I603" s="172" t="s">
        <v>196</v>
      </c>
      <c r="J603" s="172" t="s">
        <v>196</v>
      </c>
      <c r="K603" s="173"/>
      <c r="L603" s="173"/>
      <c r="M603" s="173"/>
      <c r="N603" s="173" t="s">
        <v>121</v>
      </c>
      <c r="O603" s="173" t="s">
        <v>121</v>
      </c>
      <c r="P603" s="174" t="s">
        <v>121</v>
      </c>
      <c r="Q603" s="175"/>
      <c r="R603" s="168" t="str">
        <f ca="1">IF(ISERROR($V603),"",OFFSET('Smelter Look-up'!$C$4,$V603-4,0)&amp;"")</f>
        <v/>
      </c>
      <c r="S603" s="167" t="str">
        <f t="shared" ca="1" si="78"/>
        <v>JP</v>
      </c>
      <c r="T603" s="167" t="str">
        <f ca="1">IF(B603="","",IF(ISERROR(MATCH($J603,SorP!$B$1:$B$6230,0)),"",INDIRECT("'SorP'!$A$"&amp;MATCH($J603,SorP!$B$1:$B$6230,0))))</f>
        <v/>
      </c>
      <c r="U603" s="176"/>
      <c r="V603" s="177" t="e">
        <f>IF(C603="",NA(),IF(OR(C603="Smelter not listed",C603="Smelter not yet identified"),MATCH($B603&amp;$D603,'Smelter Look-up'!$J:$J,0),MATCH($B603&amp;$C603,'Smelter Look-up'!$J:$J,0)))</f>
        <v>#N/A</v>
      </c>
      <c r="X603" s="140">
        <f t="shared" si="79"/>
        <v>0</v>
      </c>
      <c r="AB603" s="178" t="str">
        <f t="shared" si="80"/>
        <v>TinSmelter not listed</v>
      </c>
    </row>
    <row r="604" spans="1:28" s="140" customFormat="1" ht="38.25">
      <c r="A604" s="167"/>
      <c r="B604" s="168" t="s">
        <v>131</v>
      </c>
      <c r="C604" s="169" t="s">
        <v>209</v>
      </c>
      <c r="D604" s="170" t="s">
        <v>17779</v>
      </c>
      <c r="E604" s="168" t="s">
        <v>17780</v>
      </c>
      <c r="F604" s="168" t="s">
        <v>17534</v>
      </c>
      <c r="G604" s="168" t="s">
        <v>114</v>
      </c>
      <c r="H604" s="171" t="s">
        <v>114</v>
      </c>
      <c r="I604" s="172"/>
      <c r="J604" s="172" t="s">
        <v>114</v>
      </c>
      <c r="K604" s="173"/>
      <c r="L604" s="173"/>
      <c r="M604" s="173"/>
      <c r="N604" s="173"/>
      <c r="O604" s="173"/>
      <c r="P604" s="174"/>
      <c r="Q604" s="175"/>
      <c r="R604" s="168" t="str">
        <f ca="1">IF(ISERROR($V604),"",OFFSET('Smelter Look-up'!$C$4,$V604-4,0)&amp;"")</f>
        <v/>
      </c>
      <c r="S604" s="167" t="str">
        <f t="shared" ca="1" si="78"/>
        <v>SK</v>
      </c>
      <c r="T604" s="167" t="str">
        <f ca="1">IF(B604="","",IF(ISERROR(MATCH($J604,SorP!$B$1:$B$6230,0)),"",INDIRECT("'SorP'!$A$"&amp;MATCH($J604,SorP!$B$1:$B$6230,0))))</f>
        <v/>
      </c>
      <c r="U604" s="176"/>
      <c r="V604" s="177" t="e">
        <f>IF(C604="",NA(),IF(OR(C604="Smelter not listed",C604="Smelter not yet identified"),MATCH($B604&amp;$D604,'Smelter Look-up'!$J:$J,0),MATCH($B604&amp;$C604,'Smelter Look-up'!$J:$J,0)))</f>
        <v>#N/A</v>
      </c>
      <c r="X604" s="140">
        <f t="shared" si="79"/>
        <v>0</v>
      </c>
      <c r="AB604" s="178" t="str">
        <f t="shared" si="80"/>
        <v>TinSmelter not listed</v>
      </c>
    </row>
    <row r="605" spans="1:28" s="140" customFormat="1" ht="51">
      <c r="A605" s="167"/>
      <c r="B605" s="168" t="s">
        <v>132</v>
      </c>
      <c r="C605" s="169" t="s">
        <v>209</v>
      </c>
      <c r="D605" s="170" t="s">
        <v>17781</v>
      </c>
      <c r="E605" s="168" t="s">
        <v>226</v>
      </c>
      <c r="F605" s="168" t="s">
        <v>17633</v>
      </c>
      <c r="G605" s="168" t="s">
        <v>142</v>
      </c>
      <c r="H605" s="171" t="s">
        <v>114</v>
      </c>
      <c r="I605" s="172" t="s">
        <v>114</v>
      </c>
      <c r="J605" s="172" t="s">
        <v>114</v>
      </c>
      <c r="K605" s="173"/>
      <c r="L605" s="173"/>
      <c r="M605" s="173"/>
      <c r="N605" s="173" t="s">
        <v>121</v>
      </c>
      <c r="O605" s="173" t="s">
        <v>121</v>
      </c>
      <c r="P605" s="174" t="s">
        <v>121</v>
      </c>
      <c r="Q605" s="175"/>
      <c r="R605" s="168" t="str">
        <f ca="1">IF(ISERROR($V605),"",OFFSET('Smelter Look-up'!$C$4,$V605-4,0)&amp;"")</f>
        <v/>
      </c>
      <c r="S605" s="167" t="str">
        <f t="shared" ca="1" si="78"/>
        <v>IN</v>
      </c>
      <c r="T605" s="167" t="str">
        <f ca="1">IF(B605="","",IF(ISERROR(MATCH($J605,SorP!$B$1:$B$6230,0)),"",INDIRECT("'SorP'!$A$"&amp;MATCH($J605,SorP!$B$1:$B$6230,0))))</f>
        <v/>
      </c>
      <c r="U605" s="176"/>
      <c r="V605" s="177" t="e">
        <f>IF(C605="",NA(),IF(OR(C605="Smelter not listed",C605="Smelter not yet identified"),MATCH($B605&amp;$D605,'Smelter Look-up'!$J:$J,0),MATCH($B605&amp;$C605,'Smelter Look-up'!$J:$J,0)))</f>
        <v>#N/A</v>
      </c>
      <c r="X605" s="140">
        <f t="shared" si="79"/>
        <v>0</v>
      </c>
      <c r="AB605" s="178" t="str">
        <f t="shared" si="80"/>
        <v>TungstenSmelter not listed</v>
      </c>
    </row>
    <row r="606" spans="1:28" s="140" customFormat="1" ht="89.25">
      <c r="A606" s="167"/>
      <c r="B606" s="168" t="s">
        <v>130</v>
      </c>
      <c r="C606" s="169" t="s">
        <v>209</v>
      </c>
      <c r="D606" s="170" t="s">
        <v>17782</v>
      </c>
      <c r="E606" s="168" t="s">
        <v>17783</v>
      </c>
      <c r="F606" s="168" t="s">
        <v>17634</v>
      </c>
      <c r="G606" s="168" t="s">
        <v>114</v>
      </c>
      <c r="H606" s="171" t="s">
        <v>114</v>
      </c>
      <c r="I606" s="172" t="s">
        <v>17957</v>
      </c>
      <c r="J606" s="172" t="s">
        <v>728</v>
      </c>
      <c r="K606" s="173" t="s">
        <v>17958</v>
      </c>
      <c r="L606" s="173" t="s">
        <v>17959</v>
      </c>
      <c r="M606" s="173"/>
      <c r="N606" s="173"/>
      <c r="O606" s="173" t="s">
        <v>375</v>
      </c>
      <c r="P606" s="174"/>
      <c r="Q606" s="175" t="s">
        <v>17960</v>
      </c>
      <c r="R606" s="168" t="str">
        <f ca="1">IF(ISERROR($V606),"",OFFSET('Smelter Look-up'!$C$4,$V606-4,0)&amp;"")</f>
        <v/>
      </c>
      <c r="S606" s="167" t="str">
        <f t="shared" ca="1" si="78"/>
        <v>Unknown</v>
      </c>
      <c r="T606" s="167" t="str">
        <f ca="1">IF(B606="","",IF(ISERROR(MATCH($J606,SorP!$B$1:$B$6230,0)),"",INDIRECT("'SorP'!$A$"&amp;MATCH($J606,SorP!$B$1:$B$6230,0))))</f>
        <v>MK-604</v>
      </c>
      <c r="U606" s="176"/>
      <c r="V606" s="177" t="e">
        <f>IF(C606="",NA(),IF(OR(C606="Smelter not listed",C606="Smelter not yet identified"),MATCH($B606&amp;$D606,'Smelter Look-up'!$J:$J,0),MATCH($B606&amp;$C606,'Smelter Look-up'!$J:$J,0)))</f>
        <v>#N/A</v>
      </c>
      <c r="X606" s="140">
        <f t="shared" si="79"/>
        <v>0</v>
      </c>
      <c r="AB606" s="178" t="str">
        <f t="shared" si="80"/>
        <v>TantalumSmelter not listed</v>
      </c>
    </row>
    <row r="607" spans="1:28" s="140" customFormat="1" ht="38.25">
      <c r="A607" s="167"/>
      <c r="B607" s="168" t="s">
        <v>131</v>
      </c>
      <c r="C607" s="169" t="s">
        <v>209</v>
      </c>
      <c r="D607" s="170" t="s">
        <v>582</v>
      </c>
      <c r="E607" s="168" t="s">
        <v>583</v>
      </c>
      <c r="F607" s="168" t="s">
        <v>17635</v>
      </c>
      <c r="G607" s="168" t="s">
        <v>142</v>
      </c>
      <c r="H607" s="171" t="s">
        <v>114</v>
      </c>
      <c r="I607" s="172" t="s">
        <v>196</v>
      </c>
      <c r="J607" s="172" t="s">
        <v>196</v>
      </c>
      <c r="K607" s="173"/>
      <c r="L607" s="173"/>
      <c r="M607" s="173"/>
      <c r="N607" s="173" t="s">
        <v>121</v>
      </c>
      <c r="O607" s="173" t="s">
        <v>121</v>
      </c>
      <c r="P607" s="174" t="s">
        <v>121</v>
      </c>
      <c r="Q607" s="175"/>
      <c r="R607" s="168" t="str">
        <f ca="1">IF(ISERROR($V607),"",OFFSET('Smelter Look-up'!$C$4,$V607-4,0)&amp;"")</f>
        <v/>
      </c>
      <c r="S607" s="167" t="str">
        <f t="shared" ca="1" si="78"/>
        <v>MY</v>
      </c>
      <c r="T607" s="167" t="str">
        <f ca="1">IF(B607="","",IF(ISERROR(MATCH($J607,SorP!$B$1:$B$6230,0)),"",INDIRECT("'SorP'!$A$"&amp;MATCH($J607,SorP!$B$1:$B$6230,0))))</f>
        <v/>
      </c>
      <c r="U607" s="176"/>
      <c r="V607" s="177" t="e">
        <f>IF(C607="",NA(),IF(OR(C607="Smelter not listed",C607="Smelter not yet identified"),MATCH($B607&amp;$D607,'Smelter Look-up'!$J:$J,0),MATCH($B607&amp;$C607,'Smelter Look-up'!$J:$J,0)))</f>
        <v>#N/A</v>
      </c>
      <c r="X607" s="140">
        <f t="shared" si="79"/>
        <v>0</v>
      </c>
      <c r="AB607" s="178" t="str">
        <f t="shared" si="80"/>
        <v>TinSmelter not listed</v>
      </c>
    </row>
    <row r="608" spans="1:28" s="140" customFormat="1" ht="38.25">
      <c r="A608" s="167"/>
      <c r="B608" s="168" t="s">
        <v>131</v>
      </c>
      <c r="C608" s="169" t="s">
        <v>209</v>
      </c>
      <c r="D608" s="170" t="s">
        <v>3015</v>
      </c>
      <c r="E608" s="168" t="s">
        <v>931</v>
      </c>
      <c r="F608" s="168" t="s">
        <v>17636</v>
      </c>
      <c r="G608" s="168" t="s">
        <v>169</v>
      </c>
      <c r="H608" s="171" t="s">
        <v>114</v>
      </c>
      <c r="I608" s="172"/>
      <c r="J608" s="172" t="s">
        <v>114</v>
      </c>
      <c r="K608" s="173"/>
      <c r="L608" s="173"/>
      <c r="M608" s="173"/>
      <c r="N608" s="173" t="s">
        <v>121</v>
      </c>
      <c r="O608" s="173" t="s">
        <v>121</v>
      </c>
      <c r="P608" s="174" t="s">
        <v>121</v>
      </c>
      <c r="Q608" s="175"/>
      <c r="R608" s="168" t="str">
        <f ca="1">IF(ISERROR($V608),"",OFFSET('Smelter Look-up'!$C$4,$V608-4,0)&amp;"")</f>
        <v/>
      </c>
      <c r="S608" s="167" t="str">
        <f t="shared" ca="1" si="78"/>
        <v>BE</v>
      </c>
      <c r="T608" s="167" t="str">
        <f ca="1">IF(B608="","",IF(ISERROR(MATCH($J608,SorP!$B$1:$B$6230,0)),"",INDIRECT("'SorP'!$A$"&amp;MATCH($J608,SorP!$B$1:$B$6230,0))))</f>
        <v/>
      </c>
      <c r="U608" s="176"/>
      <c r="V608" s="177" t="e">
        <f>IF(C608="",NA(),IF(OR(C608="Smelter not listed",C608="Smelter not yet identified"),MATCH($B608&amp;$D608,'Smelter Look-up'!$J:$J,0),MATCH($B608&amp;$C608,'Smelter Look-up'!$J:$J,0)))</f>
        <v>#N/A</v>
      </c>
      <c r="X608" s="140">
        <f t="shared" si="79"/>
        <v>0</v>
      </c>
      <c r="AB608" s="178" t="str">
        <f t="shared" si="80"/>
        <v>TinSmelter not listed</v>
      </c>
    </row>
    <row r="609" spans="1:28" s="140" customFormat="1" ht="38.25">
      <c r="A609" s="167"/>
      <c r="B609" s="168" t="s">
        <v>131</v>
      </c>
      <c r="C609" s="169" t="s">
        <v>209</v>
      </c>
      <c r="D609" s="170" t="s">
        <v>17784</v>
      </c>
      <c r="E609" s="168" t="s">
        <v>369</v>
      </c>
      <c r="F609" s="168" t="s">
        <v>17637</v>
      </c>
      <c r="G609" s="168" t="s">
        <v>142</v>
      </c>
      <c r="H609" s="171" t="s">
        <v>114</v>
      </c>
      <c r="I609" s="172" t="s">
        <v>196</v>
      </c>
      <c r="J609" s="172" t="s">
        <v>196</v>
      </c>
      <c r="K609" s="173"/>
      <c r="L609" s="173"/>
      <c r="M609" s="173"/>
      <c r="N609" s="173" t="s">
        <v>121</v>
      </c>
      <c r="O609" s="173" t="s">
        <v>121</v>
      </c>
      <c r="P609" s="174" t="s">
        <v>121</v>
      </c>
      <c r="Q609" s="175"/>
      <c r="R609" s="168" t="str">
        <f ca="1">IF(ISERROR($V609),"",OFFSET('Smelter Look-up'!$C$4,$V609-4,0)&amp;"")</f>
        <v/>
      </c>
      <c r="S609" s="167" t="str">
        <f t="shared" ca="1" si="78"/>
        <v>TW</v>
      </c>
      <c r="T609" s="167" t="str">
        <f ca="1">IF(B609="","",IF(ISERROR(MATCH($J609,SorP!$B$1:$B$6230,0)),"",INDIRECT("'SorP'!$A$"&amp;MATCH($J609,SorP!$B$1:$B$6230,0))))</f>
        <v/>
      </c>
      <c r="U609" s="176"/>
      <c r="V609" s="177" t="e">
        <f>IF(C609="",NA(),IF(OR(C609="Smelter not listed",C609="Smelter not yet identified"),MATCH($B609&amp;$D609,'Smelter Look-up'!$J:$J,0),MATCH($B609&amp;$C609,'Smelter Look-up'!$J:$J,0)))</f>
        <v>#N/A</v>
      </c>
      <c r="X609" s="140">
        <f t="shared" si="79"/>
        <v>0</v>
      </c>
      <c r="AB609" s="178" t="str">
        <f t="shared" si="80"/>
        <v>TinSmelter not listed</v>
      </c>
    </row>
    <row r="610" spans="1:28" s="140" customFormat="1" ht="38.25">
      <c r="A610" s="167"/>
      <c r="B610" s="168" t="s">
        <v>131</v>
      </c>
      <c r="C610" s="169" t="s">
        <v>209</v>
      </c>
      <c r="D610" s="170" t="s">
        <v>17785</v>
      </c>
      <c r="E610" s="168" t="s">
        <v>192</v>
      </c>
      <c r="F610" s="168" t="s">
        <v>17638</v>
      </c>
      <c r="G610" s="168" t="s">
        <v>142</v>
      </c>
      <c r="H610" s="171" t="s">
        <v>114</v>
      </c>
      <c r="I610" s="172" t="s">
        <v>196</v>
      </c>
      <c r="J610" s="172" t="s">
        <v>196</v>
      </c>
      <c r="K610" s="173"/>
      <c r="L610" s="173"/>
      <c r="M610" s="173"/>
      <c r="N610" s="173" t="s">
        <v>121</v>
      </c>
      <c r="O610" s="173" t="s">
        <v>121</v>
      </c>
      <c r="P610" s="174" t="s">
        <v>121</v>
      </c>
      <c r="Q610" s="175"/>
      <c r="R610" s="168" t="str">
        <f ca="1">IF(ISERROR($V610),"",OFFSET('Smelter Look-up'!$C$4,$V610-4,0)&amp;"")</f>
        <v/>
      </c>
      <c r="S610" s="167" t="str">
        <f t="shared" ca="1" si="78"/>
        <v>CN</v>
      </c>
      <c r="T610" s="167" t="str">
        <f ca="1">IF(B610="","",IF(ISERROR(MATCH($J610,SorP!$B$1:$B$6230,0)),"",INDIRECT("'SorP'!$A$"&amp;MATCH($J610,SorP!$B$1:$B$6230,0))))</f>
        <v/>
      </c>
      <c r="U610" s="176"/>
      <c r="V610" s="177" t="e">
        <f>IF(C610="",NA(),IF(OR(C610="Smelter not listed",C610="Smelter not yet identified"),MATCH($B610&amp;$D610,'Smelter Look-up'!$J:$J,0),MATCH($B610&amp;$C610,'Smelter Look-up'!$J:$J,0)))</f>
        <v>#N/A</v>
      </c>
      <c r="X610" s="140">
        <f t="shared" si="79"/>
        <v>0</v>
      </c>
      <c r="AB610" s="178" t="str">
        <f t="shared" si="80"/>
        <v>TinSmelter not listed</v>
      </c>
    </row>
    <row r="611" spans="1:28" s="140" customFormat="1" ht="38.25">
      <c r="A611" s="167"/>
      <c r="B611" s="168" t="s">
        <v>131</v>
      </c>
      <c r="C611" s="169" t="s">
        <v>209</v>
      </c>
      <c r="D611" s="170" t="s">
        <v>17786</v>
      </c>
      <c r="E611" s="168" t="s">
        <v>192</v>
      </c>
      <c r="F611" s="168" t="s">
        <v>17639</v>
      </c>
      <c r="G611" s="168" t="s">
        <v>169</v>
      </c>
      <c r="H611" s="171" t="s">
        <v>114</v>
      </c>
      <c r="I611" s="172" t="s">
        <v>196</v>
      </c>
      <c r="J611" s="172" t="s">
        <v>196</v>
      </c>
      <c r="K611" s="173"/>
      <c r="L611" s="173"/>
      <c r="M611" s="173"/>
      <c r="N611" s="173"/>
      <c r="O611" s="173"/>
      <c r="P611" s="174"/>
      <c r="Q611" s="175"/>
      <c r="R611" s="168" t="str">
        <f ca="1">IF(ISERROR($V611),"",OFFSET('Smelter Look-up'!$C$4,$V611-4,0)&amp;"")</f>
        <v/>
      </c>
      <c r="S611" s="167" t="str">
        <f t="shared" ca="1" si="78"/>
        <v>CN</v>
      </c>
      <c r="T611" s="167" t="str">
        <f ca="1">IF(B611="","",IF(ISERROR(MATCH($J611,SorP!$B$1:$B$6230,0)),"",INDIRECT("'SorP'!$A$"&amp;MATCH($J611,SorP!$B$1:$B$6230,0))))</f>
        <v/>
      </c>
      <c r="U611" s="176"/>
      <c r="V611" s="177" t="e">
        <f>IF(C611="",NA(),IF(OR(C611="Smelter not listed",C611="Smelter not yet identified"),MATCH($B611&amp;$D611,'Smelter Look-up'!$J:$J,0),MATCH($B611&amp;$C611,'Smelter Look-up'!$J:$J,0)))</f>
        <v>#N/A</v>
      </c>
      <c r="X611" s="140">
        <f t="shared" si="79"/>
        <v>0</v>
      </c>
      <c r="AB611" s="178" t="str">
        <f t="shared" si="80"/>
        <v>TinSmelter not listed</v>
      </c>
    </row>
    <row r="612" spans="1:28" s="140" customFormat="1" ht="38.25">
      <c r="A612" s="167"/>
      <c r="B612" s="168" t="s">
        <v>133</v>
      </c>
      <c r="C612" s="169" t="s">
        <v>209</v>
      </c>
      <c r="D612" s="170" t="s">
        <v>17787</v>
      </c>
      <c r="E612" s="168" t="s">
        <v>474</v>
      </c>
      <c r="F612" s="168" t="s">
        <v>17640</v>
      </c>
      <c r="G612" s="168" t="s">
        <v>142</v>
      </c>
      <c r="H612" s="171" t="s">
        <v>114</v>
      </c>
      <c r="I612" s="172" t="s">
        <v>17961</v>
      </c>
      <c r="J612" s="172" t="s">
        <v>2202</v>
      </c>
      <c r="K612" s="173"/>
      <c r="L612" s="173"/>
      <c r="M612" s="173"/>
      <c r="N612" s="173" t="s">
        <v>121</v>
      </c>
      <c r="O612" s="173" t="s">
        <v>121</v>
      </c>
      <c r="P612" s="174" t="s">
        <v>121</v>
      </c>
      <c r="Q612" s="175"/>
      <c r="R612" s="168" t="str">
        <f ca="1">IF(ISERROR($V612),"",OFFSET('Smelter Look-up'!$C$4,$V612-4,0)&amp;"")</f>
        <v/>
      </c>
      <c r="S612" s="167" t="str">
        <f t="shared" ca="1" si="78"/>
        <v>AU</v>
      </c>
      <c r="T612" s="167" t="str">
        <f ca="1">IF(B612="","",IF(ISERROR(MATCH($J612,SorP!$B$1:$B$6230,0)),"",INDIRECT("'SorP'!$A$"&amp;MATCH($J612,SorP!$B$1:$B$6230,0))))</f>
        <v>AU-QLD</v>
      </c>
      <c r="U612" s="176"/>
      <c r="V612" s="177" t="e">
        <f>IF(C612="",NA(),IF(OR(C612="Smelter not listed",C612="Smelter not yet identified"),MATCH($B612&amp;$D612,'Smelter Look-up'!$J:$J,0),MATCH($B612&amp;$C612,'Smelter Look-up'!$J:$J,0)))</f>
        <v>#N/A</v>
      </c>
      <c r="X612" s="140">
        <f t="shared" si="79"/>
        <v>0</v>
      </c>
      <c r="AB612" s="178" t="str">
        <f t="shared" si="80"/>
        <v>GoldSmelter not listed</v>
      </c>
    </row>
    <row r="613" spans="1:28" s="140" customFormat="1" ht="51">
      <c r="A613" s="167"/>
      <c r="B613" s="168" t="s">
        <v>130</v>
      </c>
      <c r="C613" s="169" t="s">
        <v>209</v>
      </c>
      <c r="D613" s="170" t="s">
        <v>17788</v>
      </c>
      <c r="E613" s="168" t="s">
        <v>192</v>
      </c>
      <c r="F613" s="168" t="s">
        <v>17641</v>
      </c>
      <c r="G613" s="168" t="s">
        <v>142</v>
      </c>
      <c r="H613" s="171" t="s">
        <v>114</v>
      </c>
      <c r="I613" s="172" t="s">
        <v>196</v>
      </c>
      <c r="J613" s="172" t="s">
        <v>196</v>
      </c>
      <c r="K613" s="173"/>
      <c r="L613" s="173"/>
      <c r="M613" s="173"/>
      <c r="N613" s="173" t="s">
        <v>121</v>
      </c>
      <c r="O613" s="173" t="s">
        <v>121</v>
      </c>
      <c r="P613" s="174" t="s">
        <v>121</v>
      </c>
      <c r="Q613" s="175"/>
      <c r="R613" s="168" t="str">
        <f ca="1">IF(ISERROR($V613),"",OFFSET('Smelter Look-up'!$C$4,$V613-4,0)&amp;"")</f>
        <v/>
      </c>
      <c r="S613" s="167" t="str">
        <f t="shared" ca="1" si="78"/>
        <v>CN</v>
      </c>
      <c r="T613" s="167" t="str">
        <f ca="1">IF(B613="","",IF(ISERROR(MATCH($J613,SorP!$B$1:$B$6230,0)),"",INDIRECT("'SorP'!$A$"&amp;MATCH($J613,SorP!$B$1:$B$6230,0))))</f>
        <v/>
      </c>
      <c r="U613" s="176"/>
      <c r="V613" s="177" t="e">
        <f>IF(C613="",NA(),IF(OR(C613="Smelter not listed",C613="Smelter not yet identified"),MATCH($B613&amp;$D613,'Smelter Look-up'!$J:$J,0),MATCH($B613&amp;$C613,'Smelter Look-up'!$J:$J,0)))</f>
        <v>#N/A</v>
      </c>
      <c r="X613" s="140">
        <f t="shared" si="79"/>
        <v>0</v>
      </c>
      <c r="AB613" s="178" t="str">
        <f t="shared" si="80"/>
        <v>TantalumSmelter not listed</v>
      </c>
    </row>
    <row r="614" spans="1:28" s="140" customFormat="1" ht="38.25">
      <c r="A614" s="167"/>
      <c r="B614" s="168" t="s">
        <v>131</v>
      </c>
      <c r="C614" s="169" t="s">
        <v>209</v>
      </c>
      <c r="D614" s="170" t="s">
        <v>17789</v>
      </c>
      <c r="E614" s="168" t="s">
        <v>141</v>
      </c>
      <c r="F614" s="168" t="s">
        <v>17535</v>
      </c>
      <c r="G614" s="168" t="s">
        <v>114</v>
      </c>
      <c r="H614" s="171" t="s">
        <v>17962</v>
      </c>
      <c r="I614" s="172" t="s">
        <v>17963</v>
      </c>
      <c r="J614" s="172" t="s">
        <v>17964</v>
      </c>
      <c r="K614" s="173"/>
      <c r="L614" s="173"/>
      <c r="M614" s="173"/>
      <c r="N614" s="173"/>
      <c r="O614" s="173"/>
      <c r="P614" s="174"/>
      <c r="Q614" s="175"/>
      <c r="R614" s="168" t="str">
        <f ca="1">IF(ISERROR($V614),"",OFFSET('Smelter Look-up'!$C$4,$V614-4,0)&amp;"")</f>
        <v/>
      </c>
      <c r="S614" s="167" t="str">
        <f t="shared" ca="1" si="78"/>
        <v>US</v>
      </c>
      <c r="T614" s="167" t="str">
        <f ca="1">IF(B614="","",IF(ISERROR(MATCH($J614,SorP!$B$1:$B$6230,0)),"",INDIRECT("'SorP'!$A$"&amp;MATCH($J614,SorP!$B$1:$B$6230,0))))</f>
        <v/>
      </c>
      <c r="U614" s="176"/>
      <c r="V614" s="177" t="e">
        <f>IF(C614="",NA(),IF(OR(C614="Smelter not listed",C614="Smelter not yet identified"),MATCH($B614&amp;$D614,'Smelter Look-up'!$J:$J,0),MATCH($B614&amp;$C614,'Smelter Look-up'!$J:$J,0)))</f>
        <v>#N/A</v>
      </c>
      <c r="X614" s="140">
        <f t="shared" si="79"/>
        <v>0</v>
      </c>
      <c r="AB614" s="178" t="str">
        <f t="shared" si="80"/>
        <v>TinSmelter not listed</v>
      </c>
    </row>
    <row r="615" spans="1:28" s="140" customFormat="1" ht="38.25">
      <c r="A615" s="167"/>
      <c r="B615" s="168" t="s">
        <v>131</v>
      </c>
      <c r="C615" s="169" t="s">
        <v>209</v>
      </c>
      <c r="D615" s="170" t="s">
        <v>17790</v>
      </c>
      <c r="E615" s="168" t="s">
        <v>141</v>
      </c>
      <c r="F615" s="168" t="s">
        <v>17642</v>
      </c>
      <c r="G615" s="168" t="s">
        <v>142</v>
      </c>
      <c r="H615" s="171" t="s">
        <v>114</v>
      </c>
      <c r="I615" s="172" t="s">
        <v>196</v>
      </c>
      <c r="J615" s="172" t="s">
        <v>196</v>
      </c>
      <c r="K615" s="173"/>
      <c r="L615" s="173"/>
      <c r="M615" s="173"/>
      <c r="N615" s="173" t="s">
        <v>121</v>
      </c>
      <c r="O615" s="173" t="s">
        <v>121</v>
      </c>
      <c r="P615" s="174" t="s">
        <v>121</v>
      </c>
      <c r="Q615" s="175"/>
      <c r="R615" s="168" t="str">
        <f ca="1">IF(ISERROR($V615),"",OFFSET('Smelter Look-up'!$C$4,$V615-4,0)&amp;"")</f>
        <v/>
      </c>
      <c r="S615" s="167" t="str">
        <f t="shared" ca="1" si="78"/>
        <v>US</v>
      </c>
      <c r="T615" s="167" t="str">
        <f ca="1">IF(B615="","",IF(ISERROR(MATCH($J615,SorP!$B$1:$B$6230,0)),"",INDIRECT("'SorP'!$A$"&amp;MATCH($J615,SorP!$B$1:$B$6230,0))))</f>
        <v/>
      </c>
      <c r="U615" s="176"/>
      <c r="V615" s="177" t="e">
        <f>IF(C615="",NA(),IF(OR(C615="Smelter not listed",C615="Smelter not yet identified"),MATCH($B615&amp;$D615,'Smelter Look-up'!$J:$J,0),MATCH($B615&amp;$C615,'Smelter Look-up'!$J:$J,0)))</f>
        <v>#N/A</v>
      </c>
      <c r="X615" s="140">
        <f t="shared" si="79"/>
        <v>0</v>
      </c>
      <c r="AB615" s="178" t="str">
        <f t="shared" si="80"/>
        <v>TinSmelter not listed</v>
      </c>
    </row>
    <row r="616" spans="1:28" s="140" customFormat="1" ht="38.25">
      <c r="A616" s="167"/>
      <c r="B616" s="168" t="s">
        <v>133</v>
      </c>
      <c r="C616" s="169" t="s">
        <v>209</v>
      </c>
      <c r="D616" s="170" t="s">
        <v>682</v>
      </c>
      <c r="E616" s="168" t="s">
        <v>155</v>
      </c>
      <c r="F616" s="168" t="s">
        <v>17643</v>
      </c>
      <c r="G616" s="168" t="s">
        <v>142</v>
      </c>
      <c r="H616" s="171" t="s">
        <v>114</v>
      </c>
      <c r="I616" s="172" t="s">
        <v>196</v>
      </c>
      <c r="J616" s="172" t="s">
        <v>196</v>
      </c>
      <c r="K616" s="173"/>
      <c r="L616" s="173"/>
      <c r="M616" s="173"/>
      <c r="N616" s="173" t="s">
        <v>121</v>
      </c>
      <c r="O616" s="173" t="s">
        <v>121</v>
      </c>
      <c r="P616" s="174" t="s">
        <v>121</v>
      </c>
      <c r="Q616" s="175"/>
      <c r="R616" s="168" t="str">
        <f ca="1">IF(ISERROR($V616),"",OFFSET('Smelter Look-up'!$C$4,$V616-4,0)&amp;"")</f>
        <v>Nihon Material Co., Ltd.</v>
      </c>
      <c r="S616" s="167" t="str">
        <f t="shared" ca="1" si="78"/>
        <v>JP</v>
      </c>
      <c r="T616" s="167" t="str">
        <f ca="1">IF(B616="","",IF(ISERROR(MATCH($J616,SorP!$B$1:$B$6230,0)),"",INDIRECT("'SorP'!$A$"&amp;MATCH($J616,SorP!$B$1:$B$6230,0))))</f>
        <v/>
      </c>
      <c r="U616" s="176"/>
      <c r="V616" s="177">
        <f>IF(C616="",NA(),IF(OR(C616="Smelter not listed",C616="Smelter not yet identified"),MATCH($B616&amp;$D616,'Smelter Look-up'!$J:$J,0),MATCH($B616&amp;$C616,'Smelter Look-up'!$J:$J,0)))</f>
        <v>194</v>
      </c>
      <c r="X616" s="140">
        <f t="shared" si="79"/>
        <v>0</v>
      </c>
      <c r="AB616" s="178" t="str">
        <f t="shared" si="80"/>
        <v>GoldSmelter not listed</v>
      </c>
    </row>
    <row r="617" spans="1:28" s="140" customFormat="1" ht="38.25">
      <c r="A617" s="167"/>
      <c r="B617" s="168" t="s">
        <v>133</v>
      </c>
      <c r="C617" s="169" t="s">
        <v>209</v>
      </c>
      <c r="D617" s="170" t="s">
        <v>17791</v>
      </c>
      <c r="E617" s="168" t="s">
        <v>141</v>
      </c>
      <c r="F617" s="168" t="s">
        <v>17644</v>
      </c>
      <c r="G617" s="168" t="s">
        <v>142</v>
      </c>
      <c r="H617" s="171" t="s">
        <v>114</v>
      </c>
      <c r="I617" s="172" t="s">
        <v>196</v>
      </c>
      <c r="J617" s="172" t="s">
        <v>196</v>
      </c>
      <c r="K617" s="173"/>
      <c r="L617" s="173"/>
      <c r="M617" s="173"/>
      <c r="N617" s="173" t="s">
        <v>121</v>
      </c>
      <c r="O617" s="173" t="s">
        <v>121</v>
      </c>
      <c r="P617" s="174" t="s">
        <v>121</v>
      </c>
      <c r="Q617" s="175"/>
      <c r="R617" s="168" t="str">
        <f ca="1">IF(ISERROR($V617),"",OFFSET('Smelter Look-up'!$C$4,$V617-4,0)&amp;"")</f>
        <v/>
      </c>
      <c r="S617" s="167" t="str">
        <f t="shared" ca="1" si="78"/>
        <v>US</v>
      </c>
      <c r="T617" s="167" t="str">
        <f ca="1">IF(B617="","",IF(ISERROR(MATCH($J617,SorP!$B$1:$B$6230,0)),"",INDIRECT("'SorP'!$A$"&amp;MATCH($J617,SorP!$B$1:$B$6230,0))))</f>
        <v/>
      </c>
      <c r="U617" s="176"/>
      <c r="V617" s="177" t="e">
        <f>IF(C617="",NA(),IF(OR(C617="Smelter not listed",C617="Smelter not yet identified"),MATCH($B617&amp;$D617,'Smelter Look-up'!$J:$J,0),MATCH($B617&amp;$C617,'Smelter Look-up'!$J:$J,0)))</f>
        <v>#N/A</v>
      </c>
      <c r="X617" s="140">
        <f t="shared" si="79"/>
        <v>0</v>
      </c>
      <c r="AB617" s="178" t="str">
        <f t="shared" si="80"/>
        <v>GoldSmelter not listed</v>
      </c>
    </row>
    <row r="618" spans="1:28" s="140" customFormat="1" ht="38.25">
      <c r="A618" s="167"/>
      <c r="B618" s="168" t="s">
        <v>131</v>
      </c>
      <c r="C618" s="169" t="s">
        <v>209</v>
      </c>
      <c r="D618" s="170" t="s">
        <v>17792</v>
      </c>
      <c r="E618" s="168" t="s">
        <v>192</v>
      </c>
      <c r="F618" s="168" t="s">
        <v>17645</v>
      </c>
      <c r="G618" s="168" t="s">
        <v>142</v>
      </c>
      <c r="H618" s="171" t="s">
        <v>114</v>
      </c>
      <c r="I618" s="172" t="s">
        <v>196</v>
      </c>
      <c r="J618" s="172" t="s">
        <v>196</v>
      </c>
      <c r="K618" s="173"/>
      <c r="L618" s="173"/>
      <c r="M618" s="173"/>
      <c r="N618" s="173" t="s">
        <v>121</v>
      </c>
      <c r="O618" s="173" t="s">
        <v>121</v>
      </c>
      <c r="P618" s="174" t="s">
        <v>121</v>
      </c>
      <c r="Q618" s="175"/>
      <c r="R618" s="168" t="str">
        <f ca="1">IF(ISERROR($V618),"",OFFSET('Smelter Look-up'!$C$4,$V618-4,0)&amp;"")</f>
        <v/>
      </c>
      <c r="S618" s="167" t="str">
        <f t="shared" ca="1" si="78"/>
        <v>CN</v>
      </c>
      <c r="T618" s="167" t="str">
        <f ca="1">IF(B618="","",IF(ISERROR(MATCH($J618,SorP!$B$1:$B$6230,0)),"",INDIRECT("'SorP'!$A$"&amp;MATCH($J618,SorP!$B$1:$B$6230,0))))</f>
        <v/>
      </c>
      <c r="U618" s="176"/>
      <c r="V618" s="177" t="e">
        <f>IF(C618="",NA(),IF(OR(C618="Smelter not listed",C618="Smelter not yet identified"),MATCH($B618&amp;$D618,'Smelter Look-up'!$J:$J,0),MATCH($B618&amp;$C618,'Smelter Look-up'!$J:$J,0)))</f>
        <v>#N/A</v>
      </c>
      <c r="X618" s="140">
        <f t="shared" si="79"/>
        <v>0</v>
      </c>
      <c r="AB618" s="178" t="str">
        <f t="shared" si="80"/>
        <v>TinSmelter not listed</v>
      </c>
    </row>
    <row r="619" spans="1:28" s="140" customFormat="1" ht="38.25">
      <c r="A619" s="167"/>
      <c r="B619" s="168" t="s">
        <v>131</v>
      </c>
      <c r="C619" s="169" t="s">
        <v>209</v>
      </c>
      <c r="D619" s="170" t="s">
        <v>17793</v>
      </c>
      <c r="E619" s="168" t="s">
        <v>394</v>
      </c>
      <c r="F619" s="168" t="s">
        <v>17646</v>
      </c>
      <c r="G619" s="168" t="s">
        <v>142</v>
      </c>
      <c r="H619" s="171" t="s">
        <v>114</v>
      </c>
      <c r="I619" s="172" t="s">
        <v>196</v>
      </c>
      <c r="J619" s="172" t="s">
        <v>196</v>
      </c>
      <c r="K619" s="173"/>
      <c r="L619" s="173"/>
      <c r="M619" s="173"/>
      <c r="N619" s="173" t="s">
        <v>121</v>
      </c>
      <c r="O619" s="173" t="s">
        <v>121</v>
      </c>
      <c r="P619" s="174" t="s">
        <v>121</v>
      </c>
      <c r="Q619" s="175"/>
      <c r="R619" s="168" t="str">
        <f ca="1">IF(ISERROR($V619),"",OFFSET('Smelter Look-up'!$C$4,$V619-4,0)&amp;"")</f>
        <v/>
      </c>
      <c r="S619" s="167" t="str">
        <f t="shared" ca="1" si="78"/>
        <v>IT</v>
      </c>
      <c r="T619" s="167" t="str">
        <f ca="1">IF(B619="","",IF(ISERROR(MATCH($J619,SorP!$B$1:$B$6230,0)),"",INDIRECT("'SorP'!$A$"&amp;MATCH($J619,SorP!$B$1:$B$6230,0))))</f>
        <v/>
      </c>
      <c r="U619" s="176"/>
      <c r="V619" s="177" t="e">
        <f>IF(C619="",NA(),IF(OR(C619="Smelter not listed",C619="Smelter not yet identified"),MATCH($B619&amp;$D619,'Smelter Look-up'!$J:$J,0),MATCH($B619&amp;$C619,'Smelter Look-up'!$J:$J,0)))</f>
        <v>#N/A</v>
      </c>
      <c r="X619" s="140">
        <f t="shared" si="79"/>
        <v>0</v>
      </c>
      <c r="AB619" s="178" t="str">
        <f t="shared" si="80"/>
        <v>TinSmelter not listed</v>
      </c>
    </row>
    <row r="620" spans="1:28" s="140" customFormat="1" ht="38.25">
      <c r="A620" s="167"/>
      <c r="B620" s="168" t="s">
        <v>131</v>
      </c>
      <c r="C620" s="169" t="s">
        <v>209</v>
      </c>
      <c r="D620" s="170" t="s">
        <v>17794</v>
      </c>
      <c r="E620" s="168" t="s">
        <v>369</v>
      </c>
      <c r="F620" s="168" t="s">
        <v>17647</v>
      </c>
      <c r="G620" s="168" t="s">
        <v>142</v>
      </c>
      <c r="H620" s="171" t="s">
        <v>114</v>
      </c>
      <c r="I620" s="172" t="s">
        <v>196</v>
      </c>
      <c r="J620" s="172" t="s">
        <v>196</v>
      </c>
      <c r="K620" s="173"/>
      <c r="L620" s="173"/>
      <c r="M620" s="173"/>
      <c r="N620" s="173" t="s">
        <v>121</v>
      </c>
      <c r="O620" s="173" t="s">
        <v>121</v>
      </c>
      <c r="P620" s="174" t="s">
        <v>121</v>
      </c>
      <c r="Q620" s="175"/>
      <c r="R620" s="168" t="str">
        <f ca="1">IF(ISERROR($V620),"",OFFSET('Smelter Look-up'!$C$4,$V620-4,0)&amp;"")</f>
        <v/>
      </c>
      <c r="S620" s="167" t="str">
        <f t="shared" ca="1" si="78"/>
        <v>TW</v>
      </c>
      <c r="T620" s="167" t="str">
        <f ca="1">IF(B620="","",IF(ISERROR(MATCH($J620,SorP!$B$1:$B$6230,0)),"",INDIRECT("'SorP'!$A$"&amp;MATCH($J620,SorP!$B$1:$B$6230,0))))</f>
        <v/>
      </c>
      <c r="U620" s="176"/>
      <c r="V620" s="177" t="e">
        <f>IF(C620="",NA(),IF(OR(C620="Smelter not listed",C620="Smelter not yet identified"),MATCH($B620&amp;$D620,'Smelter Look-up'!$J:$J,0),MATCH($B620&amp;$C620,'Smelter Look-up'!$J:$J,0)))</f>
        <v>#N/A</v>
      </c>
      <c r="X620" s="140">
        <f t="shared" si="79"/>
        <v>0</v>
      </c>
      <c r="AB620" s="178" t="str">
        <f t="shared" si="80"/>
        <v>TinSmelter not listed</v>
      </c>
    </row>
    <row r="621" spans="1:28" s="140" customFormat="1" ht="51">
      <c r="A621" s="167"/>
      <c r="B621" s="168" t="s">
        <v>130</v>
      </c>
      <c r="C621" s="169" t="s">
        <v>209</v>
      </c>
      <c r="D621" s="170" t="s">
        <v>17795</v>
      </c>
      <c r="E621" s="168" t="s">
        <v>1501</v>
      </c>
      <c r="F621" s="168" t="s">
        <v>17648</v>
      </c>
      <c r="G621" s="168" t="s">
        <v>142</v>
      </c>
      <c r="H621" s="171" t="s">
        <v>114</v>
      </c>
      <c r="I621" s="172" t="s">
        <v>114</v>
      </c>
      <c r="J621" s="172" t="s">
        <v>114</v>
      </c>
      <c r="K621" s="173"/>
      <c r="L621" s="173"/>
      <c r="M621" s="173"/>
      <c r="N621" s="173" t="s">
        <v>121</v>
      </c>
      <c r="O621" s="173" t="s">
        <v>121</v>
      </c>
      <c r="P621" s="174" t="s">
        <v>121</v>
      </c>
      <c r="Q621" s="175"/>
      <c r="R621" s="168" t="str">
        <f ca="1">IF(ISERROR($V621),"",OFFSET('Smelter Look-up'!$C$4,$V621-4,0)&amp;"")</f>
        <v/>
      </c>
      <c r="S621" s="167" t="str">
        <f t="shared" ref="S621:S676" ca="1" si="81">IF(B621="","",IF(ISERROR(MATCH($E621,CL,0)),"Unknown",INDIRECT("'C'!$A$"&amp;MATCH($E621,CL,0)+1)))</f>
        <v>AT</v>
      </c>
      <c r="T621" s="167" t="str">
        <f ca="1">IF(B621="","",IF(ISERROR(MATCH($J621,SorP!$B$1:$B$6230,0)),"",INDIRECT("'SorP'!$A$"&amp;MATCH($J621,SorP!$B$1:$B$6230,0))))</f>
        <v/>
      </c>
      <c r="U621" s="176"/>
      <c r="V621" s="177" t="e">
        <f>IF(C621="",NA(),IF(OR(C621="Smelter not listed",C621="Smelter not yet identified"),MATCH($B621&amp;$D621,'Smelter Look-up'!$J:$J,0),MATCH($B621&amp;$C621,'Smelter Look-up'!$J:$J,0)))</f>
        <v>#N/A</v>
      </c>
      <c r="X621" s="140">
        <f t="shared" ref="X621:X676" si="82">IF(AND(C621="Smelter not listed",OR(LEN(D621)=0,LEN(E621)=0)),1,0)</f>
        <v>0</v>
      </c>
      <c r="AB621" s="178" t="str">
        <f t="shared" ref="AB621:AB676" si="83">B621&amp;C621</f>
        <v>TantalumSmelter not listed</v>
      </c>
    </row>
    <row r="622" spans="1:28" s="140" customFormat="1" ht="51">
      <c r="A622" s="167"/>
      <c r="B622" s="168" t="s">
        <v>130</v>
      </c>
      <c r="C622" s="169" t="s">
        <v>209</v>
      </c>
      <c r="D622" s="170" t="s">
        <v>17796</v>
      </c>
      <c r="E622" s="168" t="s">
        <v>1501</v>
      </c>
      <c r="F622" s="168" t="s">
        <v>17649</v>
      </c>
      <c r="G622" s="168" t="s">
        <v>169</v>
      </c>
      <c r="H622" s="171" t="s">
        <v>114</v>
      </c>
      <c r="I622" s="172" t="s">
        <v>17965</v>
      </c>
      <c r="J622" s="172" t="s">
        <v>17966</v>
      </c>
      <c r="K622" s="173"/>
      <c r="L622" s="173"/>
      <c r="M622" s="173"/>
      <c r="N622" s="173"/>
      <c r="O622" s="173"/>
      <c r="P622" s="174"/>
      <c r="Q622" s="175" t="s">
        <v>1067</v>
      </c>
      <c r="R622" s="168" t="str">
        <f ca="1">IF(ISERROR($V622),"",OFFSET('Smelter Look-up'!$C$4,$V622-4,0)&amp;"")</f>
        <v/>
      </c>
      <c r="S622" s="167" t="str">
        <f t="shared" ca="1" si="81"/>
        <v>AT</v>
      </c>
      <c r="T622" s="167" t="str">
        <f ca="1">IF(B622="","",IF(ISERROR(MATCH($J622,SorP!$B$1:$B$6230,0)),"",INDIRECT("'SorP'!$A$"&amp;MATCH($J622,SorP!$B$1:$B$6230,0))))</f>
        <v/>
      </c>
      <c r="U622" s="176"/>
      <c r="V622" s="177" t="e">
        <f>IF(C622="",NA(),IF(OR(C622="Smelter not listed",C622="Smelter not yet identified"),MATCH($B622&amp;$D622,'Smelter Look-up'!$J:$J,0),MATCH($B622&amp;$C622,'Smelter Look-up'!$J:$J,0)))</f>
        <v>#N/A</v>
      </c>
      <c r="X622" s="140">
        <f t="shared" si="82"/>
        <v>0</v>
      </c>
      <c r="AB622" s="178" t="str">
        <f t="shared" si="83"/>
        <v>TantalumSmelter not listed</v>
      </c>
    </row>
    <row r="623" spans="1:28" s="140" customFormat="1" ht="76.5">
      <c r="A623" s="167"/>
      <c r="B623" s="168" t="s">
        <v>130</v>
      </c>
      <c r="C623" s="169" t="s">
        <v>209</v>
      </c>
      <c r="D623" s="170" t="s">
        <v>17797</v>
      </c>
      <c r="E623" s="168" t="s">
        <v>1501</v>
      </c>
      <c r="F623" s="168" t="s">
        <v>17650</v>
      </c>
      <c r="G623" s="168" t="s">
        <v>169</v>
      </c>
      <c r="H623" s="171" t="s">
        <v>17967</v>
      </c>
      <c r="I623" s="172" t="s">
        <v>17968</v>
      </c>
      <c r="J623" s="172" t="s">
        <v>17969</v>
      </c>
      <c r="K623" s="173"/>
      <c r="L623" s="173" t="s">
        <v>17970</v>
      </c>
      <c r="M623" s="173"/>
      <c r="N623" s="173"/>
      <c r="O623" s="173"/>
      <c r="P623" s="174"/>
      <c r="Q623" s="175" t="s">
        <v>1067</v>
      </c>
      <c r="R623" s="168" t="str">
        <f ca="1">IF(ISERROR($V623),"",OFFSET('Smelter Look-up'!$C$4,$V623-4,0)&amp;"")</f>
        <v/>
      </c>
      <c r="S623" s="167" t="str">
        <f t="shared" ca="1" si="81"/>
        <v>AT</v>
      </c>
      <c r="T623" s="167" t="str">
        <f ca="1">IF(B623="","",IF(ISERROR(MATCH($J623,SorP!$B$1:$B$6230,0)),"",INDIRECT("'SorP'!$A$"&amp;MATCH($J623,SorP!$B$1:$B$6230,0))))</f>
        <v/>
      </c>
      <c r="U623" s="176"/>
      <c r="V623" s="177" t="e">
        <f>IF(C623="",NA(),IF(OR(C623="Smelter not listed",C623="Smelter not yet identified"),MATCH($B623&amp;$D623,'Smelter Look-up'!$J:$J,0),MATCH($B623&amp;$C623,'Smelter Look-up'!$J:$J,0)))</f>
        <v>#N/A</v>
      </c>
      <c r="X623" s="140">
        <f t="shared" si="82"/>
        <v>0</v>
      </c>
      <c r="AB623" s="178" t="str">
        <f t="shared" si="83"/>
        <v>TantalumSmelter not listed</v>
      </c>
    </row>
    <row r="624" spans="1:28" s="140" customFormat="1" ht="51">
      <c r="A624" s="167"/>
      <c r="B624" s="168" t="s">
        <v>130</v>
      </c>
      <c r="C624" s="169" t="s">
        <v>209</v>
      </c>
      <c r="D624" s="170" t="s">
        <v>17798</v>
      </c>
      <c r="E624" s="168" t="s">
        <v>141</v>
      </c>
      <c r="F624" s="168" t="s">
        <v>17651</v>
      </c>
      <c r="G624" s="168" t="s">
        <v>142</v>
      </c>
      <c r="H624" s="171" t="s">
        <v>114</v>
      </c>
      <c r="I624" s="172" t="s">
        <v>196</v>
      </c>
      <c r="J624" s="172" t="s">
        <v>196</v>
      </c>
      <c r="K624" s="173"/>
      <c r="L624" s="173"/>
      <c r="M624" s="173"/>
      <c r="N624" s="173" t="s">
        <v>121</v>
      </c>
      <c r="O624" s="173" t="s">
        <v>121</v>
      </c>
      <c r="P624" s="174" t="s">
        <v>121</v>
      </c>
      <c r="Q624" s="175"/>
      <c r="R624" s="168" t="str">
        <f ca="1">IF(ISERROR($V624),"",OFFSET('Smelter Look-up'!$C$4,$V624-4,0)&amp;"")</f>
        <v/>
      </c>
      <c r="S624" s="167" t="str">
        <f t="shared" ca="1" si="81"/>
        <v>US</v>
      </c>
      <c r="T624" s="167" t="str">
        <f ca="1">IF(B624="","",IF(ISERROR(MATCH($J624,SorP!$B$1:$B$6230,0)),"",INDIRECT("'SorP'!$A$"&amp;MATCH($J624,SorP!$B$1:$B$6230,0))))</f>
        <v/>
      </c>
      <c r="U624" s="176"/>
      <c r="V624" s="177" t="e">
        <f>IF(C624="",NA(),IF(OR(C624="Smelter not listed",C624="Smelter not yet identified"),MATCH($B624&amp;$D624,'Smelter Look-up'!$J:$J,0),MATCH($B624&amp;$C624,'Smelter Look-up'!$J:$J,0)))</f>
        <v>#N/A</v>
      </c>
      <c r="X624" s="140">
        <f t="shared" si="82"/>
        <v>0</v>
      </c>
      <c r="AB624" s="178" t="str">
        <f t="shared" si="83"/>
        <v>TantalumSmelter not listed</v>
      </c>
    </row>
    <row r="625" spans="1:28" s="140" customFormat="1" ht="51">
      <c r="A625" s="167"/>
      <c r="B625" s="168" t="s">
        <v>132</v>
      </c>
      <c r="C625" s="169" t="s">
        <v>209</v>
      </c>
      <c r="D625" s="170" t="s">
        <v>17799</v>
      </c>
      <c r="E625" s="168" t="s">
        <v>459</v>
      </c>
      <c r="F625" s="168" t="s">
        <v>17652</v>
      </c>
      <c r="G625" s="168" t="s">
        <v>169</v>
      </c>
      <c r="H625" s="171" t="s">
        <v>17971</v>
      </c>
      <c r="I625" s="172"/>
      <c r="J625" s="172" t="s">
        <v>17972</v>
      </c>
      <c r="K625" s="173"/>
      <c r="L625" s="173" t="s">
        <v>17973</v>
      </c>
      <c r="M625" s="173"/>
      <c r="N625" s="173"/>
      <c r="O625" s="173"/>
      <c r="P625" s="174"/>
      <c r="Q625" s="175"/>
      <c r="R625" s="168" t="str">
        <f ca="1">IF(ISERROR($V625),"",OFFSET('Smelter Look-up'!$C$4,$V625-4,0)&amp;"")</f>
        <v/>
      </c>
      <c r="S625" s="167" t="str">
        <f t="shared" ca="1" si="81"/>
        <v>RU</v>
      </c>
      <c r="T625" s="167" t="str">
        <f ca="1">IF(B625="","",IF(ISERROR(MATCH($J625,SorP!$B$1:$B$6230,0)),"",INDIRECT("'SorP'!$A$"&amp;MATCH($J625,SorP!$B$1:$B$6230,0))))</f>
        <v/>
      </c>
      <c r="U625" s="176"/>
      <c r="V625" s="177" t="e">
        <f>IF(C625="",NA(),IF(OR(C625="Smelter not listed",C625="Smelter not yet identified"),MATCH($B625&amp;$D625,'Smelter Look-up'!$J:$J,0),MATCH($B625&amp;$C625,'Smelter Look-up'!$J:$J,0)))</f>
        <v>#N/A</v>
      </c>
      <c r="X625" s="140">
        <f t="shared" si="82"/>
        <v>0</v>
      </c>
      <c r="AB625" s="178" t="str">
        <f t="shared" si="83"/>
        <v>TungstenSmelter not listed</v>
      </c>
    </row>
    <row r="626" spans="1:28" s="140" customFormat="1" ht="38.25">
      <c r="A626" s="167"/>
      <c r="B626" s="168" t="s">
        <v>133</v>
      </c>
      <c r="C626" s="169" t="s">
        <v>209</v>
      </c>
      <c r="D626" s="170" t="s">
        <v>17800</v>
      </c>
      <c r="E626" s="168" t="s">
        <v>141</v>
      </c>
      <c r="F626" s="168" t="s">
        <v>17653</v>
      </c>
      <c r="G626" s="168" t="s">
        <v>142</v>
      </c>
      <c r="H626" s="171" t="s">
        <v>114</v>
      </c>
      <c r="I626" s="172" t="s">
        <v>196</v>
      </c>
      <c r="J626" s="172" t="s">
        <v>196</v>
      </c>
      <c r="K626" s="173"/>
      <c r="L626" s="173"/>
      <c r="M626" s="173"/>
      <c r="N626" s="173" t="s">
        <v>121</v>
      </c>
      <c r="O626" s="173" t="s">
        <v>121</v>
      </c>
      <c r="P626" s="174" t="s">
        <v>121</v>
      </c>
      <c r="Q626" s="175"/>
      <c r="R626" s="168" t="str">
        <f ca="1">IF(ISERROR($V626),"",OFFSET('Smelter Look-up'!$C$4,$V626-4,0)&amp;"")</f>
        <v/>
      </c>
      <c r="S626" s="167" t="str">
        <f t="shared" ca="1" si="81"/>
        <v>US</v>
      </c>
      <c r="T626" s="167" t="str">
        <f ca="1">IF(B626="","",IF(ISERROR(MATCH($J626,SorP!$B$1:$B$6230,0)),"",INDIRECT("'SorP'!$A$"&amp;MATCH($J626,SorP!$B$1:$B$6230,0))))</f>
        <v/>
      </c>
      <c r="U626" s="176"/>
      <c r="V626" s="177" t="e">
        <f>IF(C626="",NA(),IF(OR(C626="Smelter not listed",C626="Smelter not yet identified"),MATCH($B626&amp;$D626,'Smelter Look-up'!$J:$J,0),MATCH($B626&amp;$C626,'Smelter Look-up'!$J:$J,0)))</f>
        <v>#N/A</v>
      </c>
      <c r="X626" s="140">
        <f t="shared" si="82"/>
        <v>0</v>
      </c>
      <c r="AB626" s="178" t="str">
        <f t="shared" si="83"/>
        <v>GoldSmelter not listed</v>
      </c>
    </row>
    <row r="627" spans="1:28" s="140" customFormat="1" ht="51">
      <c r="A627" s="167"/>
      <c r="B627" s="168" t="s">
        <v>130</v>
      </c>
      <c r="C627" s="169" t="s">
        <v>209</v>
      </c>
      <c r="D627" s="170" t="s">
        <v>1053</v>
      </c>
      <c r="E627" s="168" t="s">
        <v>253</v>
      </c>
      <c r="F627" s="168" t="s">
        <v>17519</v>
      </c>
      <c r="G627" s="168" t="s">
        <v>114</v>
      </c>
      <c r="H627" s="171" t="s">
        <v>114</v>
      </c>
      <c r="I627" s="172" t="s">
        <v>1071</v>
      </c>
      <c r="J627" s="172" t="s">
        <v>833</v>
      </c>
      <c r="K627" s="173"/>
      <c r="L627" s="173"/>
      <c r="M627" s="173"/>
      <c r="N627" s="173"/>
      <c r="O627" s="173"/>
      <c r="P627" s="174"/>
      <c r="Q627" s="175"/>
      <c r="R627" s="168" t="str">
        <f ca="1">IF(ISERROR($V627),"",OFFSET('Smelter Look-up'!$C$4,$V627-4,0)&amp;"")</f>
        <v/>
      </c>
      <c r="S627" s="167" t="str">
        <f t="shared" ca="1" si="81"/>
        <v>ID</v>
      </c>
      <c r="T627" s="167" t="str">
        <f ca="1">IF(B627="","",IF(ISERROR(MATCH($J627,SorP!$B$1:$B$6230,0)),"",INDIRECT("'SorP'!$A$"&amp;MATCH($J627,SorP!$B$1:$B$6230,0))))</f>
        <v>ID-BB</v>
      </c>
      <c r="U627" s="176"/>
      <c r="V627" s="177" t="e">
        <f>IF(C627="",NA(),IF(OR(C627="Smelter not listed",C627="Smelter not yet identified"),MATCH($B627&amp;$D627,'Smelter Look-up'!$J:$J,0),MATCH($B627&amp;$C627,'Smelter Look-up'!$J:$J,0)))</f>
        <v>#N/A</v>
      </c>
      <c r="X627" s="140">
        <f t="shared" si="82"/>
        <v>0</v>
      </c>
      <c r="AB627" s="178" t="str">
        <f t="shared" si="83"/>
        <v>TantalumSmelter not listed</v>
      </c>
    </row>
    <row r="628" spans="1:28" s="140" customFormat="1" ht="38.25">
      <c r="A628" s="167"/>
      <c r="B628" s="168" t="s">
        <v>131</v>
      </c>
      <c r="C628" s="169" t="s">
        <v>209</v>
      </c>
      <c r="D628" s="170" t="s">
        <v>17801</v>
      </c>
      <c r="E628" s="168" t="s">
        <v>253</v>
      </c>
      <c r="F628" s="168" t="s">
        <v>17536</v>
      </c>
      <c r="G628" s="168" t="s">
        <v>169</v>
      </c>
      <c r="H628" s="171" t="s">
        <v>114</v>
      </c>
      <c r="I628" s="172" t="s">
        <v>1056</v>
      </c>
      <c r="J628" s="172" t="s">
        <v>1066</v>
      </c>
      <c r="K628" s="173"/>
      <c r="L628" s="173"/>
      <c r="M628" s="173"/>
      <c r="N628" s="173"/>
      <c r="O628" s="173"/>
      <c r="P628" s="174"/>
      <c r="Q628" s="175"/>
      <c r="R628" s="168" t="str">
        <f ca="1">IF(ISERROR($V628),"",OFFSET('Smelter Look-up'!$C$4,$V628-4,0)&amp;"")</f>
        <v/>
      </c>
      <c r="S628" s="167" t="str">
        <f t="shared" ca="1" si="81"/>
        <v>ID</v>
      </c>
      <c r="T628" s="167" t="str">
        <f ca="1">IF(B628="","",IF(ISERROR(MATCH($J628,SorP!$B$1:$B$6230,0)),"",INDIRECT("'SorP'!$A$"&amp;MATCH($J628,SorP!$B$1:$B$6230,0))))</f>
        <v/>
      </c>
      <c r="U628" s="176"/>
      <c r="V628" s="177" t="e">
        <f>IF(C628="",NA(),IF(OR(C628="Smelter not listed",C628="Smelter not yet identified"),MATCH($B628&amp;$D628,'Smelter Look-up'!$J:$J,0),MATCH($B628&amp;$C628,'Smelter Look-up'!$J:$J,0)))</f>
        <v>#N/A</v>
      </c>
      <c r="X628" s="140">
        <f t="shared" si="82"/>
        <v>0</v>
      </c>
      <c r="AB628" s="178" t="str">
        <f t="shared" si="83"/>
        <v>TinSmelter not listed</v>
      </c>
    </row>
    <row r="629" spans="1:28" s="140" customFormat="1" ht="114.75">
      <c r="A629" s="167"/>
      <c r="B629" s="168" t="s">
        <v>131</v>
      </c>
      <c r="C629" s="169" t="s">
        <v>209</v>
      </c>
      <c r="D629" s="170" t="s">
        <v>17802</v>
      </c>
      <c r="E629" s="168" t="s">
        <v>253</v>
      </c>
      <c r="F629" s="168" t="s">
        <v>17654</v>
      </c>
      <c r="G629" s="168" t="s">
        <v>169</v>
      </c>
      <c r="H629" s="171" t="s">
        <v>114</v>
      </c>
      <c r="I629" s="172" t="s">
        <v>17974</v>
      </c>
      <c r="J629" s="172" t="s">
        <v>833</v>
      </c>
      <c r="K629" s="173" t="s">
        <v>17975</v>
      </c>
      <c r="L629" s="173" t="s">
        <v>17976</v>
      </c>
      <c r="M629" s="173"/>
      <c r="N629" s="173" t="s">
        <v>17869</v>
      </c>
      <c r="O629" s="173" t="s">
        <v>17977</v>
      </c>
      <c r="P629" s="174" t="s">
        <v>175</v>
      </c>
      <c r="Q629" s="175" t="s">
        <v>397</v>
      </c>
      <c r="R629" s="168" t="str">
        <f ca="1">IF(ISERROR($V629),"",OFFSET('Smelter Look-up'!$C$4,$V629-4,0)&amp;"")</f>
        <v/>
      </c>
      <c r="S629" s="167" t="str">
        <f t="shared" ca="1" si="81"/>
        <v>ID</v>
      </c>
      <c r="T629" s="167" t="str">
        <f ca="1">IF(B629="","",IF(ISERROR(MATCH($J629,SorP!$B$1:$B$6230,0)),"",INDIRECT("'SorP'!$A$"&amp;MATCH($J629,SorP!$B$1:$B$6230,0))))</f>
        <v>ID-BB</v>
      </c>
      <c r="U629" s="176"/>
      <c r="V629" s="177" t="e">
        <f>IF(C629="",NA(),IF(OR(C629="Smelter not listed",C629="Smelter not yet identified"),MATCH($B629&amp;$D629,'Smelter Look-up'!$J:$J,0),MATCH($B629&amp;$C629,'Smelter Look-up'!$J:$J,0)))</f>
        <v>#N/A</v>
      </c>
      <c r="X629" s="140">
        <f t="shared" si="82"/>
        <v>0</v>
      </c>
      <c r="AB629" s="178" t="str">
        <f t="shared" si="83"/>
        <v>TinSmelter not listed</v>
      </c>
    </row>
    <row r="630" spans="1:28" s="140" customFormat="1" ht="38.25">
      <c r="A630" s="167"/>
      <c r="B630" s="168" t="s">
        <v>131</v>
      </c>
      <c r="C630" s="169" t="s">
        <v>209</v>
      </c>
      <c r="D630" s="170" t="s">
        <v>17803</v>
      </c>
      <c r="E630" s="168" t="s">
        <v>253</v>
      </c>
      <c r="F630" s="168" t="s">
        <v>17531</v>
      </c>
      <c r="G630" s="168" t="s">
        <v>169</v>
      </c>
      <c r="H630" s="171" t="s">
        <v>114</v>
      </c>
      <c r="I630" s="172" t="s">
        <v>114</v>
      </c>
      <c r="J630" s="172" t="s">
        <v>114</v>
      </c>
      <c r="K630" s="173"/>
      <c r="L630" s="173"/>
      <c r="M630" s="173"/>
      <c r="N630" s="173"/>
      <c r="O630" s="173"/>
      <c r="P630" s="174"/>
      <c r="Q630" s="175"/>
      <c r="R630" s="168" t="str">
        <f ca="1">IF(ISERROR($V630),"",OFFSET('Smelter Look-up'!$C$4,$V630-4,0)&amp;"")</f>
        <v/>
      </c>
      <c r="S630" s="167" t="str">
        <f t="shared" ca="1" si="81"/>
        <v>ID</v>
      </c>
      <c r="T630" s="167" t="str">
        <f ca="1">IF(B630="","",IF(ISERROR(MATCH($J630,SorP!$B$1:$B$6230,0)),"",INDIRECT("'SorP'!$A$"&amp;MATCH($J630,SorP!$B$1:$B$6230,0))))</f>
        <v/>
      </c>
      <c r="U630" s="176"/>
      <c r="V630" s="177" t="e">
        <f>IF(C630="",NA(),IF(OR(C630="Smelter not listed",C630="Smelter not yet identified"),MATCH($B630&amp;$D630,'Smelter Look-up'!$J:$J,0),MATCH($B630&amp;$C630,'Smelter Look-up'!$J:$J,0)))</f>
        <v>#N/A</v>
      </c>
      <c r="X630" s="140">
        <f t="shared" si="82"/>
        <v>0</v>
      </c>
      <c r="AB630" s="178" t="str">
        <f t="shared" si="83"/>
        <v>TinSmelter not listed</v>
      </c>
    </row>
    <row r="631" spans="1:28" s="140" customFormat="1" ht="76.5">
      <c r="A631" s="167"/>
      <c r="B631" s="168" t="s">
        <v>131</v>
      </c>
      <c r="C631" s="169" t="s">
        <v>209</v>
      </c>
      <c r="D631" s="170" t="s">
        <v>17804</v>
      </c>
      <c r="E631" s="168" t="s">
        <v>253</v>
      </c>
      <c r="F631" s="168" t="s">
        <v>17524</v>
      </c>
      <c r="G631" s="168" t="s">
        <v>142</v>
      </c>
      <c r="H631" s="171" t="s">
        <v>114</v>
      </c>
      <c r="I631" s="172" t="s">
        <v>1071</v>
      </c>
      <c r="J631" s="172" t="s">
        <v>833</v>
      </c>
      <c r="K631" s="173" t="s">
        <v>17978</v>
      </c>
      <c r="L631" s="173" t="s">
        <v>17979</v>
      </c>
      <c r="M631" s="173"/>
      <c r="N631" s="173" t="s">
        <v>17980</v>
      </c>
      <c r="O631" s="173" t="s">
        <v>17879</v>
      </c>
      <c r="P631" s="174" t="s">
        <v>117</v>
      </c>
      <c r="Q631" s="175" t="s">
        <v>17981</v>
      </c>
      <c r="R631" s="168" t="str">
        <f ca="1">IF(ISERROR($V631),"",OFFSET('Smelter Look-up'!$C$4,$V631-4,0)&amp;"")</f>
        <v/>
      </c>
      <c r="S631" s="167" t="str">
        <f t="shared" ca="1" si="81"/>
        <v>ID</v>
      </c>
      <c r="T631" s="167" t="str">
        <f ca="1">IF(B631="","",IF(ISERROR(MATCH($J631,SorP!$B$1:$B$6230,0)),"",INDIRECT("'SorP'!$A$"&amp;MATCH($J631,SorP!$B$1:$B$6230,0))))</f>
        <v>ID-BB</v>
      </c>
      <c r="U631" s="176"/>
      <c r="V631" s="177" t="e">
        <f>IF(C631="",NA(),IF(OR(C631="Smelter not listed",C631="Smelter not yet identified"),MATCH($B631&amp;$D631,'Smelter Look-up'!$J:$J,0),MATCH($B631&amp;$C631,'Smelter Look-up'!$J:$J,0)))</f>
        <v>#N/A</v>
      </c>
      <c r="X631" s="140">
        <f t="shared" si="82"/>
        <v>0</v>
      </c>
      <c r="AB631" s="178" t="str">
        <f t="shared" si="83"/>
        <v>TinSmelter not listed</v>
      </c>
    </row>
    <row r="632" spans="1:28" s="140" customFormat="1" ht="38.25">
      <c r="A632" s="167"/>
      <c r="B632" s="168" t="s">
        <v>131</v>
      </c>
      <c r="C632" s="169" t="s">
        <v>209</v>
      </c>
      <c r="D632" s="170" t="s">
        <v>17805</v>
      </c>
      <c r="E632" s="168" t="s">
        <v>253</v>
      </c>
      <c r="F632" s="168" t="s">
        <v>17655</v>
      </c>
      <c r="G632" s="168" t="s">
        <v>142</v>
      </c>
      <c r="H632" s="171" t="s">
        <v>114</v>
      </c>
      <c r="I632" s="172" t="s">
        <v>17982</v>
      </c>
      <c r="J632" s="172" t="s">
        <v>1310</v>
      </c>
      <c r="K632" s="173" t="s">
        <v>17983</v>
      </c>
      <c r="L632" s="173" t="s">
        <v>17984</v>
      </c>
      <c r="M632" s="173"/>
      <c r="N632" s="173" t="s">
        <v>17985</v>
      </c>
      <c r="O632" s="173" t="s">
        <v>17986</v>
      </c>
      <c r="P632" s="174" t="s">
        <v>175</v>
      </c>
      <c r="Q632" s="175" t="s">
        <v>17987</v>
      </c>
      <c r="R632" s="168" t="str">
        <f ca="1">IF(ISERROR($V632),"",OFFSET('Smelter Look-up'!$C$4,$V632-4,0)&amp;"")</f>
        <v/>
      </c>
      <c r="S632" s="167" t="str">
        <f t="shared" ca="1" si="81"/>
        <v>ID</v>
      </c>
      <c r="T632" s="167" t="str">
        <f ca="1">IF(B632="","",IF(ISERROR(MATCH($J632,SorP!$B$1:$B$6230,0)),"",INDIRECT("'SorP'!$A$"&amp;MATCH($J632,SorP!$B$1:$B$6230,0))))</f>
        <v>ID-KR</v>
      </c>
      <c r="U632" s="176"/>
      <c r="V632" s="177" t="e">
        <f>IF(C632="",NA(),IF(OR(C632="Smelter not listed",C632="Smelter not yet identified"),MATCH($B632&amp;$D632,'Smelter Look-up'!$J:$J,0),MATCH($B632&amp;$C632,'Smelter Look-up'!$J:$J,0)))</f>
        <v>#N/A</v>
      </c>
      <c r="X632" s="140">
        <f t="shared" si="82"/>
        <v>0</v>
      </c>
      <c r="AB632" s="178" t="str">
        <f t="shared" si="83"/>
        <v>TinSmelter not listed</v>
      </c>
    </row>
    <row r="633" spans="1:28" s="140" customFormat="1" ht="38.25">
      <c r="A633" s="167"/>
      <c r="B633" s="168" t="s">
        <v>131</v>
      </c>
      <c r="C633" s="169" t="s">
        <v>209</v>
      </c>
      <c r="D633" s="170" t="s">
        <v>17806</v>
      </c>
      <c r="E633" s="168" t="s">
        <v>253</v>
      </c>
      <c r="F633" s="168" t="s">
        <v>17656</v>
      </c>
      <c r="G633" s="168" t="s">
        <v>169</v>
      </c>
      <c r="H633" s="171" t="s">
        <v>114</v>
      </c>
      <c r="I633" s="172" t="s">
        <v>1056</v>
      </c>
      <c r="J633" s="172" t="s">
        <v>833</v>
      </c>
      <c r="K633" s="173" t="s">
        <v>17988</v>
      </c>
      <c r="L633" s="173" t="s">
        <v>17989</v>
      </c>
      <c r="M633" s="173"/>
      <c r="N633" s="173" t="s">
        <v>17990</v>
      </c>
      <c r="O633" s="173" t="s">
        <v>17991</v>
      </c>
      <c r="P633" s="174" t="s">
        <v>17951</v>
      </c>
      <c r="Q633" s="175" t="s">
        <v>17992</v>
      </c>
      <c r="R633" s="168" t="str">
        <f ca="1">IF(ISERROR($V633),"",OFFSET('Smelter Look-up'!$C$4,$V633-4,0)&amp;"")</f>
        <v/>
      </c>
      <c r="S633" s="167" t="str">
        <f t="shared" ca="1" si="81"/>
        <v>ID</v>
      </c>
      <c r="T633" s="167" t="str">
        <f ca="1">IF(B633="","",IF(ISERROR(MATCH($J633,SorP!$B$1:$B$6230,0)),"",INDIRECT("'SorP'!$A$"&amp;MATCH($J633,SorP!$B$1:$B$6230,0))))</f>
        <v>ID-BB</v>
      </c>
      <c r="U633" s="176"/>
      <c r="V633" s="177" t="e">
        <f>IF(C633="",NA(),IF(OR(C633="Smelter not listed",C633="Smelter not yet identified"),MATCH($B633&amp;$D633,'Smelter Look-up'!$J:$J,0),MATCH($B633&amp;$C633,'Smelter Look-up'!$J:$J,0)))</f>
        <v>#N/A</v>
      </c>
      <c r="X633" s="140">
        <f t="shared" si="82"/>
        <v>0</v>
      </c>
      <c r="AB633" s="178" t="str">
        <f t="shared" si="83"/>
        <v>TinSmelter not listed</v>
      </c>
    </row>
    <row r="634" spans="1:28" s="140" customFormat="1" ht="38.25">
      <c r="A634" s="167"/>
      <c r="B634" s="168" t="s">
        <v>131</v>
      </c>
      <c r="C634" s="169" t="s">
        <v>209</v>
      </c>
      <c r="D634" s="170" t="s">
        <v>17807</v>
      </c>
      <c r="E634" s="168" t="s">
        <v>253</v>
      </c>
      <c r="F634" s="168" t="s">
        <v>17657</v>
      </c>
      <c r="G634" s="168" t="s">
        <v>142</v>
      </c>
      <c r="H634" s="171" t="s">
        <v>114</v>
      </c>
      <c r="I634" s="172" t="s">
        <v>17982</v>
      </c>
      <c r="J634" s="172" t="s">
        <v>1310</v>
      </c>
      <c r="K634" s="173" t="s">
        <v>17993</v>
      </c>
      <c r="L634" s="173" t="s">
        <v>17994</v>
      </c>
      <c r="M634" s="173"/>
      <c r="N634" s="173" t="s">
        <v>121</v>
      </c>
      <c r="O634" s="173" t="s">
        <v>121</v>
      </c>
      <c r="P634" s="174" t="s">
        <v>121</v>
      </c>
      <c r="Q634" s="175" t="s">
        <v>17995</v>
      </c>
      <c r="R634" s="168" t="str">
        <f ca="1">IF(ISERROR($V634),"",OFFSET('Smelter Look-up'!$C$4,$V634-4,0)&amp;"")</f>
        <v/>
      </c>
      <c r="S634" s="167" t="str">
        <f t="shared" ca="1" si="81"/>
        <v>ID</v>
      </c>
      <c r="T634" s="167" t="str">
        <f ca="1">IF(B634="","",IF(ISERROR(MATCH($J634,SorP!$B$1:$B$6230,0)),"",INDIRECT("'SorP'!$A$"&amp;MATCH($J634,SorP!$B$1:$B$6230,0))))</f>
        <v>ID-KR</v>
      </c>
      <c r="U634" s="176"/>
      <c r="V634" s="177" t="e">
        <f>IF(C634="",NA(),IF(OR(C634="Smelter not listed",C634="Smelter not yet identified"),MATCH($B634&amp;$D634,'Smelter Look-up'!$J:$J,0),MATCH($B634&amp;$C634,'Smelter Look-up'!$J:$J,0)))</f>
        <v>#N/A</v>
      </c>
      <c r="X634" s="140">
        <f t="shared" si="82"/>
        <v>0</v>
      </c>
      <c r="AB634" s="178" t="str">
        <f t="shared" si="83"/>
        <v>TinSmelter not listed</v>
      </c>
    </row>
    <row r="635" spans="1:28" s="140" customFormat="1" ht="38.25">
      <c r="A635" s="167"/>
      <c r="B635" s="168" t="s">
        <v>131</v>
      </c>
      <c r="C635" s="169" t="s">
        <v>209</v>
      </c>
      <c r="D635" s="170" t="s">
        <v>17808</v>
      </c>
      <c r="E635" s="168" t="s">
        <v>253</v>
      </c>
      <c r="F635" s="168" t="s">
        <v>17658</v>
      </c>
      <c r="G635" s="168" t="s">
        <v>142</v>
      </c>
      <c r="H635" s="171" t="s">
        <v>114</v>
      </c>
      <c r="I635" s="172" t="s">
        <v>1056</v>
      </c>
      <c r="J635" s="172" t="s">
        <v>833</v>
      </c>
      <c r="K635" s="173" t="s">
        <v>17996</v>
      </c>
      <c r="L635" s="173" t="s">
        <v>17997</v>
      </c>
      <c r="M635" s="173"/>
      <c r="N635" s="173" t="s">
        <v>121</v>
      </c>
      <c r="O635" s="173" t="s">
        <v>17998</v>
      </c>
      <c r="P635" s="174" t="s">
        <v>121</v>
      </c>
      <c r="Q635" s="175"/>
      <c r="R635" s="168" t="str">
        <f ca="1">IF(ISERROR($V635),"",OFFSET('Smelter Look-up'!$C$4,$V635-4,0)&amp;"")</f>
        <v/>
      </c>
      <c r="S635" s="167" t="str">
        <f t="shared" ca="1" si="81"/>
        <v>ID</v>
      </c>
      <c r="T635" s="167" t="str">
        <f ca="1">IF(B635="","",IF(ISERROR(MATCH($J635,SorP!$B$1:$B$6230,0)),"",INDIRECT("'SorP'!$A$"&amp;MATCH($J635,SorP!$B$1:$B$6230,0))))</f>
        <v>ID-BB</v>
      </c>
      <c r="U635" s="176"/>
      <c r="V635" s="177" t="e">
        <f>IF(C635="",NA(),IF(OR(C635="Smelter not listed",C635="Smelter not yet identified"),MATCH($B635&amp;$D635,'Smelter Look-up'!$J:$J,0),MATCH($B635&amp;$C635,'Smelter Look-up'!$J:$J,0)))</f>
        <v>#N/A</v>
      </c>
      <c r="X635" s="140">
        <f t="shared" si="82"/>
        <v>0</v>
      </c>
      <c r="AB635" s="178" t="str">
        <f t="shared" si="83"/>
        <v>TinSmelter not listed</v>
      </c>
    </row>
    <row r="636" spans="1:28" s="140" customFormat="1" ht="38.25">
      <c r="A636" s="167"/>
      <c r="B636" s="168" t="s">
        <v>131</v>
      </c>
      <c r="C636" s="169" t="s">
        <v>209</v>
      </c>
      <c r="D636" s="170" t="s">
        <v>17809</v>
      </c>
      <c r="E636" s="168" t="s">
        <v>253</v>
      </c>
      <c r="F636" s="168" t="s">
        <v>17532</v>
      </c>
      <c r="G636" s="168" t="s">
        <v>142</v>
      </c>
      <c r="H636" s="171" t="s">
        <v>114</v>
      </c>
      <c r="I636" s="172" t="s">
        <v>196</v>
      </c>
      <c r="J636" s="172" t="s">
        <v>196</v>
      </c>
      <c r="K636" s="173"/>
      <c r="L636" s="173"/>
      <c r="M636" s="173"/>
      <c r="N636" s="173" t="s">
        <v>121</v>
      </c>
      <c r="O636" s="173" t="s">
        <v>121</v>
      </c>
      <c r="P636" s="174" t="s">
        <v>121</v>
      </c>
      <c r="Q636" s="175"/>
      <c r="R636" s="168" t="str">
        <f ca="1">IF(ISERROR($V636),"",OFFSET('Smelter Look-up'!$C$4,$V636-4,0)&amp;"")</f>
        <v/>
      </c>
      <c r="S636" s="167" t="str">
        <f t="shared" ca="1" si="81"/>
        <v>ID</v>
      </c>
      <c r="T636" s="167" t="str">
        <f ca="1">IF(B636="","",IF(ISERROR(MATCH($J636,SorP!$B$1:$B$6230,0)),"",INDIRECT("'SorP'!$A$"&amp;MATCH($J636,SorP!$B$1:$B$6230,0))))</f>
        <v/>
      </c>
      <c r="U636" s="176"/>
      <c r="V636" s="177" t="e">
        <f>IF(C636="",NA(),IF(OR(C636="Smelter not listed",C636="Smelter not yet identified"),MATCH($B636&amp;$D636,'Smelter Look-up'!$J:$J,0),MATCH($B636&amp;$C636,'Smelter Look-up'!$J:$J,0)))</f>
        <v>#N/A</v>
      </c>
      <c r="X636" s="140">
        <f t="shared" si="82"/>
        <v>0</v>
      </c>
      <c r="AB636" s="178" t="str">
        <f t="shared" si="83"/>
        <v>TinSmelter not listed</v>
      </c>
    </row>
    <row r="637" spans="1:28" s="140" customFormat="1" ht="51">
      <c r="A637" s="167"/>
      <c r="B637" s="168" t="s">
        <v>131</v>
      </c>
      <c r="C637" s="169" t="s">
        <v>209</v>
      </c>
      <c r="D637" s="170" t="s">
        <v>17810</v>
      </c>
      <c r="E637" s="168" t="s">
        <v>253</v>
      </c>
      <c r="F637" s="168" t="s">
        <v>17659</v>
      </c>
      <c r="G637" s="168" t="s">
        <v>142</v>
      </c>
      <c r="H637" s="171" t="s">
        <v>114</v>
      </c>
      <c r="I637" s="172" t="s">
        <v>17999</v>
      </c>
      <c r="J637" s="172" t="s">
        <v>833</v>
      </c>
      <c r="K637" s="173" t="s">
        <v>18000</v>
      </c>
      <c r="L637" s="173" t="s">
        <v>18001</v>
      </c>
      <c r="M637" s="173"/>
      <c r="N637" s="173" t="s">
        <v>174</v>
      </c>
      <c r="O637" s="173" t="s">
        <v>18002</v>
      </c>
      <c r="P637" s="174" t="s">
        <v>117</v>
      </c>
      <c r="Q637" s="175" t="s">
        <v>18003</v>
      </c>
      <c r="R637" s="168" t="str">
        <f ca="1">IF(ISERROR($V637),"",OFFSET('Smelter Look-up'!$C$4,$V637-4,0)&amp;"")</f>
        <v/>
      </c>
      <c r="S637" s="167" t="str">
        <f t="shared" ca="1" si="81"/>
        <v>ID</v>
      </c>
      <c r="T637" s="167" t="str">
        <f ca="1">IF(B637="","",IF(ISERROR(MATCH($J637,SorP!$B$1:$B$6230,0)),"",INDIRECT("'SorP'!$A$"&amp;MATCH($J637,SorP!$B$1:$B$6230,0))))</f>
        <v>ID-BB</v>
      </c>
      <c r="U637" s="176"/>
      <c r="V637" s="177" t="e">
        <f>IF(C637="",NA(),IF(OR(C637="Smelter not listed",C637="Smelter not yet identified"),MATCH($B637&amp;$D637,'Smelter Look-up'!$J:$J,0),MATCH($B637&amp;$C637,'Smelter Look-up'!$J:$J,0)))</f>
        <v>#N/A</v>
      </c>
      <c r="X637" s="140">
        <f t="shared" si="82"/>
        <v>0</v>
      </c>
      <c r="AB637" s="178" t="str">
        <f t="shared" si="83"/>
        <v>TinSmelter not listed</v>
      </c>
    </row>
    <row r="638" spans="1:28" s="140" customFormat="1" ht="38.25">
      <c r="A638" s="167"/>
      <c r="B638" s="168" t="s">
        <v>131</v>
      </c>
      <c r="C638" s="169" t="s">
        <v>209</v>
      </c>
      <c r="D638" s="170" t="s">
        <v>17811</v>
      </c>
      <c r="E638" s="168" t="s">
        <v>253</v>
      </c>
      <c r="F638" s="168" t="s">
        <v>17660</v>
      </c>
      <c r="G638" s="168" t="s">
        <v>142</v>
      </c>
      <c r="H638" s="171" t="s">
        <v>114</v>
      </c>
      <c r="I638" s="172" t="s">
        <v>196</v>
      </c>
      <c r="J638" s="172" t="s">
        <v>196</v>
      </c>
      <c r="K638" s="173"/>
      <c r="L638" s="173"/>
      <c r="M638" s="173"/>
      <c r="N638" s="173" t="s">
        <v>121</v>
      </c>
      <c r="O638" s="173" t="s">
        <v>121</v>
      </c>
      <c r="P638" s="174" t="s">
        <v>121</v>
      </c>
      <c r="Q638" s="175"/>
      <c r="R638" s="168" t="str">
        <f ca="1">IF(ISERROR($V638),"",OFFSET('Smelter Look-up'!$C$4,$V638-4,0)&amp;"")</f>
        <v/>
      </c>
      <c r="S638" s="167" t="str">
        <f t="shared" ca="1" si="81"/>
        <v>ID</v>
      </c>
      <c r="T638" s="167" t="str">
        <f ca="1">IF(B638="","",IF(ISERROR(MATCH($J638,SorP!$B$1:$B$6230,0)),"",INDIRECT("'SorP'!$A$"&amp;MATCH($J638,SorP!$B$1:$B$6230,0))))</f>
        <v/>
      </c>
      <c r="U638" s="176"/>
      <c r="V638" s="177" t="e">
        <f>IF(C638="",NA(),IF(OR(C638="Smelter not listed",C638="Smelter not yet identified"),MATCH($B638&amp;$D638,'Smelter Look-up'!$J:$J,0),MATCH($B638&amp;$C638,'Smelter Look-up'!$J:$J,0)))</f>
        <v>#N/A</v>
      </c>
      <c r="X638" s="140">
        <f t="shared" si="82"/>
        <v>0</v>
      </c>
      <c r="AB638" s="178" t="str">
        <f t="shared" si="83"/>
        <v>TinSmelter not listed</v>
      </c>
    </row>
    <row r="639" spans="1:28" s="140" customFormat="1" ht="38.25">
      <c r="A639" s="167"/>
      <c r="B639" s="168" t="s">
        <v>131</v>
      </c>
      <c r="C639" s="169" t="s">
        <v>209</v>
      </c>
      <c r="D639" s="170" t="s">
        <v>17812</v>
      </c>
      <c r="E639" s="168" t="s">
        <v>253</v>
      </c>
      <c r="F639" s="168" t="s">
        <v>17661</v>
      </c>
      <c r="G639" s="168" t="s">
        <v>169</v>
      </c>
      <c r="H639" s="171" t="s">
        <v>114</v>
      </c>
      <c r="I639" s="172" t="s">
        <v>18004</v>
      </c>
      <c r="J639" s="172" t="s">
        <v>2537</v>
      </c>
      <c r="K639" s="173"/>
      <c r="L639" s="173"/>
      <c r="M639" s="173"/>
      <c r="N639" s="173" t="s">
        <v>121</v>
      </c>
      <c r="O639" s="173" t="s">
        <v>17915</v>
      </c>
      <c r="P639" s="174" t="s">
        <v>175</v>
      </c>
      <c r="Q639" s="175" t="s">
        <v>17916</v>
      </c>
      <c r="R639" s="168" t="str">
        <f ca="1">IF(ISERROR($V639),"",OFFSET('Smelter Look-up'!$C$4,$V639-4,0)&amp;"")</f>
        <v/>
      </c>
      <c r="S639" s="167" t="str">
        <f t="shared" ca="1" si="81"/>
        <v>ID</v>
      </c>
      <c r="T639" s="167" t="str">
        <f ca="1">IF(B639="","",IF(ISERROR(MATCH($J639,SorP!$B$1:$B$6230,0)),"",INDIRECT("'SorP'!$A$"&amp;MATCH($J639,SorP!$B$1:$B$6230,0))))</f>
        <v>ID-JB</v>
      </c>
      <c r="U639" s="176"/>
      <c r="V639" s="177" t="e">
        <f>IF(C639="",NA(),IF(OR(C639="Smelter not listed",C639="Smelter not yet identified"),MATCH($B639&amp;$D639,'Smelter Look-up'!$J:$J,0),MATCH($B639&amp;$C639,'Smelter Look-up'!$J:$J,0)))</f>
        <v>#N/A</v>
      </c>
      <c r="X639" s="140">
        <f t="shared" si="82"/>
        <v>0</v>
      </c>
      <c r="AB639" s="178" t="str">
        <f t="shared" si="83"/>
        <v>TinSmelter not listed</v>
      </c>
    </row>
    <row r="640" spans="1:28" s="140" customFormat="1" ht="51">
      <c r="A640" s="167"/>
      <c r="B640" s="168" t="s">
        <v>131</v>
      </c>
      <c r="C640" s="169" t="s">
        <v>209</v>
      </c>
      <c r="D640" s="170" t="s">
        <v>17813</v>
      </c>
      <c r="E640" s="168" t="s">
        <v>253</v>
      </c>
      <c r="F640" s="168" t="s">
        <v>17527</v>
      </c>
      <c r="G640" s="168" t="s">
        <v>142</v>
      </c>
      <c r="H640" s="171" t="s">
        <v>114</v>
      </c>
      <c r="I640" s="172" t="s">
        <v>17875</v>
      </c>
      <c r="J640" s="172" t="s">
        <v>18005</v>
      </c>
      <c r="K640" s="173" t="s">
        <v>18006</v>
      </c>
      <c r="L640" s="173" t="s">
        <v>18007</v>
      </c>
      <c r="M640" s="173"/>
      <c r="N640" s="173" t="s">
        <v>121</v>
      </c>
      <c r="O640" s="173" t="s">
        <v>18008</v>
      </c>
      <c r="P640" s="174" t="s">
        <v>175</v>
      </c>
      <c r="Q640" s="175" t="s">
        <v>397</v>
      </c>
      <c r="R640" s="168" t="str">
        <f ca="1">IF(ISERROR($V640),"",OFFSET('Smelter Look-up'!$C$4,$V640-4,0)&amp;"")</f>
        <v/>
      </c>
      <c r="S640" s="167" t="str">
        <f t="shared" ca="1" si="81"/>
        <v>ID</v>
      </c>
      <c r="T640" s="167" t="str">
        <f ca="1">IF(B640="","",IF(ISERROR(MATCH($J640,SorP!$B$1:$B$6230,0)),"",INDIRECT("'SorP'!$A$"&amp;MATCH($J640,SorP!$B$1:$B$6230,0))))</f>
        <v/>
      </c>
      <c r="U640" s="176"/>
      <c r="V640" s="177" t="e">
        <f>IF(C640="",NA(),IF(OR(C640="Smelter not listed",C640="Smelter not yet identified"),MATCH($B640&amp;$D640,'Smelter Look-up'!$J:$J,0),MATCH($B640&amp;$C640,'Smelter Look-up'!$J:$J,0)))</f>
        <v>#N/A</v>
      </c>
      <c r="X640" s="140">
        <f t="shared" si="82"/>
        <v>0</v>
      </c>
      <c r="AB640" s="178" t="str">
        <f t="shared" si="83"/>
        <v>TinSmelter not listed</v>
      </c>
    </row>
    <row r="641" spans="1:28" s="140" customFormat="1" ht="409.5">
      <c r="A641" s="167"/>
      <c r="B641" s="168" t="s">
        <v>131</v>
      </c>
      <c r="C641" s="169" t="s">
        <v>209</v>
      </c>
      <c r="D641" s="170" t="s">
        <v>17814</v>
      </c>
      <c r="E641" s="168" t="s">
        <v>253</v>
      </c>
      <c r="F641" s="168" t="s">
        <v>17528</v>
      </c>
      <c r="G641" s="168" t="s">
        <v>142</v>
      </c>
      <c r="H641" s="171" t="s">
        <v>114</v>
      </c>
      <c r="I641" s="172" t="s">
        <v>1071</v>
      </c>
      <c r="J641" s="172" t="s">
        <v>833</v>
      </c>
      <c r="K641" s="173" t="s">
        <v>18009</v>
      </c>
      <c r="L641" s="173" t="s">
        <v>18010</v>
      </c>
      <c r="M641" s="173"/>
      <c r="N641" s="173" t="s">
        <v>18011</v>
      </c>
      <c r="O641" s="173" t="s">
        <v>18012</v>
      </c>
      <c r="P641" s="174" t="s">
        <v>175</v>
      </c>
      <c r="Q641" s="175" t="s">
        <v>18013</v>
      </c>
      <c r="R641" s="168" t="str">
        <f ca="1">IF(ISERROR($V641),"",OFFSET('Smelter Look-up'!$C$4,$V641-4,0)&amp;"")</f>
        <v/>
      </c>
      <c r="S641" s="167" t="str">
        <f t="shared" ca="1" si="81"/>
        <v>ID</v>
      </c>
      <c r="T641" s="167" t="str">
        <f ca="1">IF(B641="","",IF(ISERROR(MATCH($J641,SorP!$B$1:$B$6230,0)),"",INDIRECT("'SorP'!$A$"&amp;MATCH($J641,SorP!$B$1:$B$6230,0))))</f>
        <v>ID-BB</v>
      </c>
      <c r="U641" s="176"/>
      <c r="V641" s="177" t="e">
        <f>IF(C641="",NA(),IF(OR(C641="Smelter not listed",C641="Smelter not yet identified"),MATCH($B641&amp;$D641,'Smelter Look-up'!$J:$J,0),MATCH($B641&amp;$C641,'Smelter Look-up'!$J:$J,0)))</f>
        <v>#N/A</v>
      </c>
      <c r="X641" s="140">
        <f t="shared" si="82"/>
        <v>0</v>
      </c>
      <c r="AB641" s="178" t="str">
        <f t="shared" si="83"/>
        <v>TinSmelter not listed</v>
      </c>
    </row>
    <row r="642" spans="1:28" s="140" customFormat="1" ht="51">
      <c r="A642" s="167"/>
      <c r="B642" s="168" t="s">
        <v>131</v>
      </c>
      <c r="C642" s="169" t="s">
        <v>209</v>
      </c>
      <c r="D642" s="170" t="s">
        <v>2475</v>
      </c>
      <c r="E642" s="168" t="s">
        <v>253</v>
      </c>
      <c r="F642" s="168" t="s">
        <v>17662</v>
      </c>
      <c r="G642" s="168" t="s">
        <v>169</v>
      </c>
      <c r="H642" s="171" t="s">
        <v>114</v>
      </c>
      <c r="I642" s="172" t="s">
        <v>1056</v>
      </c>
      <c r="J642" s="172" t="s">
        <v>833</v>
      </c>
      <c r="K642" s="173" t="s">
        <v>18014</v>
      </c>
      <c r="L642" s="173" t="s">
        <v>18015</v>
      </c>
      <c r="M642" s="173"/>
      <c r="N642" s="173" t="s">
        <v>18016</v>
      </c>
      <c r="O642" s="173" t="s">
        <v>18017</v>
      </c>
      <c r="P642" s="174" t="s">
        <v>117</v>
      </c>
      <c r="Q642" s="175" t="s">
        <v>17891</v>
      </c>
      <c r="R642" s="168" t="str">
        <f ca="1">IF(ISERROR($V642),"",OFFSET('Smelter Look-up'!$C$4,$V642-4,0)&amp;"")</f>
        <v>PT Refined Bangka Tin</v>
      </c>
      <c r="S642" s="167" t="str">
        <f t="shared" ca="1" si="81"/>
        <v>ID</v>
      </c>
      <c r="T642" s="167" t="str">
        <f ca="1">IF(B642="","",IF(ISERROR(MATCH($J642,SorP!$B$1:$B$6230,0)),"",INDIRECT("'SorP'!$A$"&amp;MATCH($J642,SorP!$B$1:$B$6230,0))))</f>
        <v>ID-BB</v>
      </c>
      <c r="U642" s="176"/>
      <c r="V642" s="177">
        <f>IF(C642="",NA(),IF(OR(C642="Smelter not listed",C642="Smelter not yet identified"),MATCH($B642&amp;$D642,'Smelter Look-up'!$J:$J,0),MATCH($B642&amp;$C642,'Smelter Look-up'!$J:$J,0)))</f>
        <v>502</v>
      </c>
      <c r="X642" s="140">
        <f t="shared" si="82"/>
        <v>0</v>
      </c>
      <c r="AB642" s="178" t="str">
        <f t="shared" si="83"/>
        <v>TinSmelter not listed</v>
      </c>
    </row>
    <row r="643" spans="1:28" s="140" customFormat="1" ht="38.25">
      <c r="A643" s="167"/>
      <c r="B643" s="168" t="s">
        <v>131</v>
      </c>
      <c r="C643" s="169" t="s">
        <v>209</v>
      </c>
      <c r="D643" s="170" t="s">
        <v>17815</v>
      </c>
      <c r="E643" s="168" t="s">
        <v>253</v>
      </c>
      <c r="F643" s="168" t="s">
        <v>17663</v>
      </c>
      <c r="G643" s="168" t="s">
        <v>142</v>
      </c>
      <c r="H643" s="171" t="s">
        <v>114</v>
      </c>
      <c r="I643" s="172" t="s">
        <v>1071</v>
      </c>
      <c r="J643" s="172" t="s">
        <v>833</v>
      </c>
      <c r="K643" s="173" t="s">
        <v>18018</v>
      </c>
      <c r="L643" s="173" t="s">
        <v>18019</v>
      </c>
      <c r="M643" s="173"/>
      <c r="N643" s="173" t="s">
        <v>17869</v>
      </c>
      <c r="O643" s="173" t="s">
        <v>18020</v>
      </c>
      <c r="P643" s="174" t="s">
        <v>121</v>
      </c>
      <c r="Q643" s="175" t="s">
        <v>17995</v>
      </c>
      <c r="R643" s="168" t="str">
        <f ca="1">IF(ISERROR($V643),"",OFFSET('Smelter Look-up'!$C$4,$V643-4,0)&amp;"")</f>
        <v/>
      </c>
      <c r="S643" s="167" t="str">
        <f t="shared" ca="1" si="81"/>
        <v>ID</v>
      </c>
      <c r="T643" s="167" t="str">
        <f ca="1">IF(B643="","",IF(ISERROR(MATCH($J643,SorP!$B$1:$B$6230,0)),"",INDIRECT("'SorP'!$A$"&amp;MATCH($J643,SorP!$B$1:$B$6230,0))))</f>
        <v>ID-BB</v>
      </c>
      <c r="U643" s="176"/>
      <c r="V643" s="177" t="e">
        <f>IF(C643="",NA(),IF(OR(C643="Smelter not listed",C643="Smelter not yet identified"),MATCH($B643&amp;$D643,'Smelter Look-up'!$J:$J,0),MATCH($B643&amp;$C643,'Smelter Look-up'!$J:$J,0)))</f>
        <v>#N/A</v>
      </c>
      <c r="X643" s="140">
        <f t="shared" si="82"/>
        <v>0</v>
      </c>
      <c r="AB643" s="178" t="str">
        <f t="shared" si="83"/>
        <v>TinSmelter not listed</v>
      </c>
    </row>
    <row r="644" spans="1:28" s="140" customFormat="1" ht="38.25">
      <c r="A644" s="167"/>
      <c r="B644" s="168" t="s">
        <v>131</v>
      </c>
      <c r="C644" s="169" t="s">
        <v>209</v>
      </c>
      <c r="D644" s="170" t="s">
        <v>17816</v>
      </c>
      <c r="E644" s="168" t="s">
        <v>253</v>
      </c>
      <c r="F644" s="168" t="s">
        <v>17664</v>
      </c>
      <c r="G644" s="168" t="s">
        <v>169</v>
      </c>
      <c r="H644" s="171" t="s">
        <v>114</v>
      </c>
      <c r="I644" s="172" t="s">
        <v>18021</v>
      </c>
      <c r="J644" s="172" t="s">
        <v>18022</v>
      </c>
      <c r="K644" s="173"/>
      <c r="L644" s="173"/>
      <c r="M644" s="173"/>
      <c r="N644" s="173" t="s">
        <v>121</v>
      </c>
      <c r="O644" s="173" t="s">
        <v>121</v>
      </c>
      <c r="P644" s="174" t="s">
        <v>121</v>
      </c>
      <c r="Q644" s="175" t="s">
        <v>1067</v>
      </c>
      <c r="R644" s="168" t="str">
        <f ca="1">IF(ISERROR($V644),"",OFFSET('Smelter Look-up'!$C$4,$V644-4,0)&amp;"")</f>
        <v/>
      </c>
      <c r="S644" s="167" t="str">
        <f t="shared" ca="1" si="81"/>
        <v>ID</v>
      </c>
      <c r="T644" s="167" t="str">
        <f ca="1">IF(B644="","",IF(ISERROR(MATCH($J644,SorP!$B$1:$B$6230,0)),"",INDIRECT("'SorP'!$A$"&amp;MATCH($J644,SorP!$B$1:$B$6230,0))))</f>
        <v/>
      </c>
      <c r="U644" s="176"/>
      <c r="V644" s="177" t="e">
        <f>IF(C644="",NA(),IF(OR(C644="Smelter not listed",C644="Smelter not yet identified"),MATCH($B644&amp;$D644,'Smelter Look-up'!$J:$J,0),MATCH($B644&amp;$C644,'Smelter Look-up'!$J:$J,0)))</f>
        <v>#N/A</v>
      </c>
      <c r="X644" s="140">
        <f t="shared" si="82"/>
        <v>0</v>
      </c>
      <c r="AB644" s="178" t="str">
        <f t="shared" si="83"/>
        <v>TinSmelter not listed</v>
      </c>
    </row>
    <row r="645" spans="1:28" s="140" customFormat="1" ht="38.25">
      <c r="A645" s="167"/>
      <c r="B645" s="168" t="s">
        <v>133</v>
      </c>
      <c r="C645" s="169" t="s">
        <v>209</v>
      </c>
      <c r="D645" s="170" t="s">
        <v>17817</v>
      </c>
      <c r="E645" s="168" t="s">
        <v>192</v>
      </c>
      <c r="F645" s="168" t="s">
        <v>17665</v>
      </c>
      <c r="G645" s="168" t="s">
        <v>142</v>
      </c>
      <c r="H645" s="171" t="s">
        <v>114</v>
      </c>
      <c r="I645" s="172" t="s">
        <v>196</v>
      </c>
      <c r="J645" s="172" t="s">
        <v>196</v>
      </c>
      <c r="K645" s="173"/>
      <c r="L645" s="173"/>
      <c r="M645" s="173"/>
      <c r="N645" s="173" t="s">
        <v>121</v>
      </c>
      <c r="O645" s="173" t="s">
        <v>121</v>
      </c>
      <c r="P645" s="174" t="s">
        <v>121</v>
      </c>
      <c r="Q645" s="175"/>
      <c r="R645" s="168" t="str">
        <f ca="1">IF(ISERROR($V645),"",OFFSET('Smelter Look-up'!$C$4,$V645-4,0)&amp;"")</f>
        <v/>
      </c>
      <c r="S645" s="167" t="str">
        <f t="shared" ca="1" si="81"/>
        <v>CN</v>
      </c>
      <c r="T645" s="167" t="str">
        <f ca="1">IF(B645="","",IF(ISERROR(MATCH($J645,SorP!$B$1:$B$6230,0)),"",INDIRECT("'SorP'!$A$"&amp;MATCH($J645,SorP!$B$1:$B$6230,0))))</f>
        <v/>
      </c>
      <c r="U645" s="176"/>
      <c r="V645" s="177" t="e">
        <f>IF(C645="",NA(),IF(OR(C645="Smelter not listed",C645="Smelter not yet identified"),MATCH($B645&amp;$D645,'Smelter Look-up'!$J:$J,0),MATCH($B645&amp;$C645,'Smelter Look-up'!$J:$J,0)))</f>
        <v>#N/A</v>
      </c>
      <c r="X645" s="140">
        <f t="shared" si="82"/>
        <v>0</v>
      </c>
      <c r="AB645" s="178" t="str">
        <f t="shared" si="83"/>
        <v>GoldSmelter not listed</v>
      </c>
    </row>
    <row r="646" spans="1:28" s="140" customFormat="1" ht="38.25">
      <c r="A646" s="167"/>
      <c r="B646" s="168" t="s">
        <v>133</v>
      </c>
      <c r="C646" s="169" t="s">
        <v>209</v>
      </c>
      <c r="D646" s="170" t="s">
        <v>17818</v>
      </c>
      <c r="E646" s="168" t="s">
        <v>141</v>
      </c>
      <c r="F646" s="168" t="s">
        <v>17666</v>
      </c>
      <c r="G646" s="168" t="s">
        <v>142</v>
      </c>
      <c r="H646" s="171" t="s">
        <v>114</v>
      </c>
      <c r="I646" s="172" t="s">
        <v>18023</v>
      </c>
      <c r="J646" s="172" t="s">
        <v>856</v>
      </c>
      <c r="K646" s="173" t="s">
        <v>18024</v>
      </c>
      <c r="L646" s="173" t="s">
        <v>18025</v>
      </c>
      <c r="M646" s="173"/>
      <c r="N646" s="173" t="s">
        <v>121</v>
      </c>
      <c r="O646" s="173" t="s">
        <v>18026</v>
      </c>
      <c r="P646" s="174" t="s">
        <v>175</v>
      </c>
      <c r="Q646" s="175" t="s">
        <v>17944</v>
      </c>
      <c r="R646" s="168" t="str">
        <f ca="1">IF(ISERROR($V646),"",OFFSET('Smelter Look-up'!$C$4,$V646-4,0)&amp;"")</f>
        <v/>
      </c>
      <c r="S646" s="167" t="str">
        <f t="shared" ca="1" si="81"/>
        <v>US</v>
      </c>
      <c r="T646" s="167" t="str">
        <f ca="1">IF(B646="","",IF(ISERROR(MATCH($J646,SorP!$B$1:$B$6230,0)),"",INDIRECT("'SorP'!$A$"&amp;MATCH($J646,SorP!$B$1:$B$6230,0))))</f>
        <v>US-FL</v>
      </c>
      <c r="U646" s="176"/>
      <c r="V646" s="177" t="e">
        <f>IF(C646="",NA(),IF(OR(C646="Smelter not listed",C646="Smelter not yet identified"),MATCH($B646&amp;$D646,'Smelter Look-up'!$J:$J,0),MATCH($B646&amp;$C646,'Smelter Look-up'!$J:$J,0)))</f>
        <v>#N/A</v>
      </c>
      <c r="X646" s="140">
        <f t="shared" si="82"/>
        <v>0</v>
      </c>
      <c r="AB646" s="178" t="str">
        <f t="shared" si="83"/>
        <v>GoldSmelter not listed</v>
      </c>
    </row>
    <row r="647" spans="1:28" s="140" customFormat="1" ht="38.25">
      <c r="A647" s="167"/>
      <c r="B647" s="168" t="s">
        <v>133</v>
      </c>
      <c r="C647" s="169" t="s">
        <v>209</v>
      </c>
      <c r="D647" s="170" t="s">
        <v>17819</v>
      </c>
      <c r="E647" s="168" t="s">
        <v>474</v>
      </c>
      <c r="F647" s="168" t="s">
        <v>17667</v>
      </c>
      <c r="G647" s="168" t="s">
        <v>142</v>
      </c>
      <c r="H647" s="171" t="s">
        <v>114</v>
      </c>
      <c r="I647" s="172" t="s">
        <v>196</v>
      </c>
      <c r="J647" s="172" t="s">
        <v>196</v>
      </c>
      <c r="K647" s="173"/>
      <c r="L647" s="173"/>
      <c r="M647" s="173"/>
      <c r="N647" s="173" t="s">
        <v>121</v>
      </c>
      <c r="O647" s="173" t="s">
        <v>121</v>
      </c>
      <c r="P647" s="174" t="s">
        <v>121</v>
      </c>
      <c r="Q647" s="175"/>
      <c r="R647" s="168" t="str">
        <f ca="1">IF(ISERROR($V647),"",OFFSET('Smelter Look-up'!$C$4,$V647-4,0)&amp;"")</f>
        <v/>
      </c>
      <c r="S647" s="167" t="str">
        <f t="shared" ca="1" si="81"/>
        <v>AU</v>
      </c>
      <c r="T647" s="167" t="str">
        <f ca="1">IF(B647="","",IF(ISERROR(MATCH($J647,SorP!$B$1:$B$6230,0)),"",INDIRECT("'SorP'!$A$"&amp;MATCH($J647,SorP!$B$1:$B$6230,0))))</f>
        <v/>
      </c>
      <c r="U647" s="176"/>
      <c r="V647" s="177" t="e">
        <f>IF(C647="",NA(),IF(OR(C647="Smelter not listed",C647="Smelter not yet identified"),MATCH($B647&amp;$D647,'Smelter Look-up'!$J:$J,0),MATCH($B647&amp;$C647,'Smelter Look-up'!$J:$J,0)))</f>
        <v>#N/A</v>
      </c>
      <c r="X647" s="140">
        <f t="shared" si="82"/>
        <v>0</v>
      </c>
      <c r="AB647" s="178" t="str">
        <f t="shared" si="83"/>
        <v>GoldSmelter not listed</v>
      </c>
    </row>
    <row r="648" spans="1:28" s="140" customFormat="1" ht="51">
      <c r="A648" s="167"/>
      <c r="B648" s="168" t="s">
        <v>132</v>
      </c>
      <c r="C648" s="169" t="s">
        <v>209</v>
      </c>
      <c r="D648" s="170" t="s">
        <v>17820</v>
      </c>
      <c r="E648" s="168" t="s">
        <v>1125</v>
      </c>
      <c r="F648" s="168" t="s">
        <v>17668</v>
      </c>
      <c r="G648" s="168" t="s">
        <v>169</v>
      </c>
      <c r="H648" s="171" t="s">
        <v>114</v>
      </c>
      <c r="I648" s="172" t="s">
        <v>18027</v>
      </c>
      <c r="J648" s="172" t="s">
        <v>18028</v>
      </c>
      <c r="K648" s="173"/>
      <c r="L648" s="173"/>
      <c r="M648" s="173"/>
      <c r="N648" s="173"/>
      <c r="O648" s="173"/>
      <c r="P648" s="174"/>
      <c r="Q648" s="175"/>
      <c r="R648" s="168" t="str">
        <f ca="1">IF(ISERROR($V648),"",OFFSET('Smelter Look-up'!$C$4,$V648-4,0)&amp;"")</f>
        <v/>
      </c>
      <c r="S648" s="167" t="str">
        <f t="shared" ca="1" si="81"/>
        <v>VN</v>
      </c>
      <c r="T648" s="167" t="str">
        <f ca="1">IF(B648="","",IF(ISERROR(MATCH($J648,SorP!$B$1:$B$6230,0)),"",INDIRECT("'SorP'!$A$"&amp;MATCH($J648,SorP!$B$1:$B$6230,0))))</f>
        <v/>
      </c>
      <c r="U648" s="176"/>
      <c r="V648" s="177" t="e">
        <f>IF(C648="",NA(),IF(OR(C648="Smelter not listed",C648="Smelter not yet identified"),MATCH($B648&amp;$D648,'Smelter Look-up'!$J:$J,0),MATCH($B648&amp;$C648,'Smelter Look-up'!$J:$J,0)))</f>
        <v>#N/A</v>
      </c>
      <c r="X648" s="140">
        <f t="shared" si="82"/>
        <v>0</v>
      </c>
      <c r="AB648" s="178" t="str">
        <f t="shared" si="83"/>
        <v>TungstenSmelter not listed</v>
      </c>
    </row>
    <row r="649" spans="1:28" s="140" customFormat="1" ht="38.25">
      <c r="A649" s="167"/>
      <c r="B649" s="168" t="s">
        <v>133</v>
      </c>
      <c r="C649" s="169" t="s">
        <v>209</v>
      </c>
      <c r="D649" s="170" t="s">
        <v>17821</v>
      </c>
      <c r="E649" s="168" t="s">
        <v>192</v>
      </c>
      <c r="F649" s="168" t="s">
        <v>17669</v>
      </c>
      <c r="G649" s="168"/>
      <c r="H649" s="171" t="s">
        <v>114</v>
      </c>
      <c r="I649" s="172" t="s">
        <v>196</v>
      </c>
      <c r="J649" s="172" t="s">
        <v>196</v>
      </c>
      <c r="K649" s="173"/>
      <c r="L649" s="173"/>
      <c r="M649" s="173"/>
      <c r="N649" s="173"/>
      <c r="O649" s="173"/>
      <c r="P649" s="174"/>
      <c r="Q649" s="175"/>
      <c r="R649" s="168" t="str">
        <f ca="1">IF(ISERROR($V649),"",OFFSET('Smelter Look-up'!$C$4,$V649-4,0)&amp;"")</f>
        <v/>
      </c>
      <c r="S649" s="167" t="str">
        <f t="shared" ca="1" si="81"/>
        <v>CN</v>
      </c>
      <c r="T649" s="167" t="str">
        <f ca="1">IF(B649="","",IF(ISERROR(MATCH($J649,SorP!$B$1:$B$6230,0)),"",INDIRECT("'SorP'!$A$"&amp;MATCH($J649,SorP!$B$1:$B$6230,0))))</f>
        <v/>
      </c>
      <c r="U649" s="176"/>
      <c r="V649" s="177" t="e">
        <f>IF(C649="",NA(),IF(OR(C649="Smelter not listed",C649="Smelter not yet identified"),MATCH($B649&amp;$D649,'Smelter Look-up'!$J:$J,0),MATCH($B649&amp;$C649,'Smelter Look-up'!$J:$J,0)))</f>
        <v>#N/A</v>
      </c>
      <c r="X649" s="140">
        <f t="shared" si="82"/>
        <v>0</v>
      </c>
      <c r="AB649" s="178" t="str">
        <f t="shared" si="83"/>
        <v>GoldSmelter not listed</v>
      </c>
    </row>
    <row r="650" spans="1:28" s="140" customFormat="1" ht="38.25">
      <c r="A650" s="167"/>
      <c r="B650" s="168" t="s">
        <v>133</v>
      </c>
      <c r="C650" s="169" t="s">
        <v>209</v>
      </c>
      <c r="D650" s="170" t="s">
        <v>17822</v>
      </c>
      <c r="E650" s="168" t="s">
        <v>786</v>
      </c>
      <c r="F650" s="168" t="s">
        <v>17670</v>
      </c>
      <c r="G650" s="168" t="s">
        <v>169</v>
      </c>
      <c r="H650" s="171" t="s">
        <v>114</v>
      </c>
      <c r="I650" s="172" t="s">
        <v>18029</v>
      </c>
      <c r="J650" s="172" t="s">
        <v>787</v>
      </c>
      <c r="K650" s="173" t="s">
        <v>18030</v>
      </c>
      <c r="L650" s="173" t="s">
        <v>18031</v>
      </c>
      <c r="M650" s="173"/>
      <c r="N650" s="173" t="s">
        <v>121</v>
      </c>
      <c r="O650" s="173" t="s">
        <v>18032</v>
      </c>
      <c r="P650" s="174" t="s">
        <v>121</v>
      </c>
      <c r="Q650" s="175" t="s">
        <v>788</v>
      </c>
      <c r="R650" s="168" t="str">
        <f ca="1">IF(ISERROR($V650),"",OFFSET('Smelter Look-up'!$C$4,$V650-4,0)&amp;"")</f>
        <v/>
      </c>
      <c r="S650" s="167" t="str">
        <f t="shared" ca="1" si="81"/>
        <v>NL</v>
      </c>
      <c r="T650" s="167" t="str">
        <f ca="1">IF(B650="","",IF(ISERROR(MATCH($J650,SorP!$B$1:$B$6230,0)),"",INDIRECT("'SorP'!$A$"&amp;MATCH($J650,SorP!$B$1:$B$6230,0))))</f>
        <v>NL-NH</v>
      </c>
      <c r="U650" s="176"/>
      <c r="V650" s="177" t="e">
        <f>IF(C650="",NA(),IF(OR(C650="Smelter not listed",C650="Smelter not yet identified"),MATCH($B650&amp;$D650,'Smelter Look-up'!$J:$J,0),MATCH($B650&amp;$C650,'Smelter Look-up'!$J:$J,0)))</f>
        <v>#N/A</v>
      </c>
      <c r="X650" s="140">
        <f t="shared" si="82"/>
        <v>0</v>
      </c>
      <c r="AB650" s="178" t="str">
        <f t="shared" si="83"/>
        <v>GoldSmelter not listed</v>
      </c>
    </row>
    <row r="651" spans="1:28" s="140" customFormat="1" ht="38.25">
      <c r="A651" s="167"/>
      <c r="B651" s="168" t="s">
        <v>133</v>
      </c>
      <c r="C651" s="169" t="s">
        <v>209</v>
      </c>
      <c r="D651" s="170" t="s">
        <v>806</v>
      </c>
      <c r="E651" s="168" t="s">
        <v>192</v>
      </c>
      <c r="F651" s="168" t="s">
        <v>17671</v>
      </c>
      <c r="G651" s="168" t="s">
        <v>142</v>
      </c>
      <c r="H651" s="171" t="s">
        <v>114</v>
      </c>
      <c r="I651" s="172" t="s">
        <v>196</v>
      </c>
      <c r="J651" s="172" t="s">
        <v>196</v>
      </c>
      <c r="K651" s="173"/>
      <c r="L651" s="173"/>
      <c r="M651" s="173"/>
      <c r="N651" s="173" t="s">
        <v>121</v>
      </c>
      <c r="O651" s="173" t="s">
        <v>121</v>
      </c>
      <c r="P651" s="174" t="s">
        <v>121</v>
      </c>
      <c r="Q651" s="175"/>
      <c r="R651" s="168" t="str">
        <f ca="1">IF(ISERROR($V651),"",OFFSET('Smelter Look-up'!$C$4,$V651-4,0)&amp;"")</f>
        <v>Shandong Gold Smelting Co., Ltd.</v>
      </c>
      <c r="S651" s="167" t="str">
        <f t="shared" ca="1" si="81"/>
        <v>CN</v>
      </c>
      <c r="T651" s="167" t="str">
        <f ca="1">IF(B651="","",IF(ISERROR(MATCH($J651,SorP!$B$1:$B$6230,0)),"",INDIRECT("'SorP'!$A$"&amp;MATCH($J651,SorP!$B$1:$B$6230,0))))</f>
        <v/>
      </c>
      <c r="U651" s="176"/>
      <c r="V651" s="177">
        <f>IF(C651="",NA(),IF(OR(C651="Smelter not listed",C651="Smelter not yet identified"),MATCH($B651&amp;$D651,'Smelter Look-up'!$J:$J,0),MATCH($B651&amp;$C651,'Smelter Look-up'!$J:$J,0)))</f>
        <v>237</v>
      </c>
      <c r="X651" s="140">
        <f t="shared" si="82"/>
        <v>0</v>
      </c>
      <c r="AB651" s="178" t="str">
        <f t="shared" si="83"/>
        <v>GoldSmelter not listed</v>
      </c>
    </row>
    <row r="652" spans="1:28" s="140" customFormat="1" ht="38.25">
      <c r="A652" s="167"/>
      <c r="B652" s="168" t="s">
        <v>131</v>
      </c>
      <c r="C652" s="169" t="s">
        <v>209</v>
      </c>
      <c r="D652" s="170" t="s">
        <v>17823</v>
      </c>
      <c r="E652" s="168" t="s">
        <v>192</v>
      </c>
      <c r="F652" s="168" t="s">
        <v>17672</v>
      </c>
      <c r="G652" s="168" t="s">
        <v>142</v>
      </c>
      <c r="H652" s="171" t="s">
        <v>114</v>
      </c>
      <c r="I652" s="172" t="s">
        <v>196</v>
      </c>
      <c r="J652" s="172" t="s">
        <v>196</v>
      </c>
      <c r="K652" s="173"/>
      <c r="L652" s="173"/>
      <c r="M652" s="173"/>
      <c r="N652" s="173" t="s">
        <v>121</v>
      </c>
      <c r="O652" s="173" t="s">
        <v>121</v>
      </c>
      <c r="P652" s="174" t="s">
        <v>121</v>
      </c>
      <c r="Q652" s="175"/>
      <c r="R652" s="168" t="str">
        <f ca="1">IF(ISERROR($V652),"",OFFSET('Smelter Look-up'!$C$4,$V652-4,0)&amp;"")</f>
        <v/>
      </c>
      <c r="S652" s="167" t="str">
        <f t="shared" ca="1" si="81"/>
        <v>CN</v>
      </c>
      <c r="T652" s="167" t="str">
        <f ca="1">IF(B652="","",IF(ISERROR(MATCH($J652,SorP!$B$1:$B$6230,0)),"",INDIRECT("'SorP'!$A$"&amp;MATCH($J652,SorP!$B$1:$B$6230,0))))</f>
        <v/>
      </c>
      <c r="U652" s="176"/>
      <c r="V652" s="177" t="e">
        <f>IF(C652="",NA(),IF(OR(C652="Smelter not listed",C652="Smelter not yet identified"),MATCH($B652&amp;$D652,'Smelter Look-up'!$J:$J,0),MATCH($B652&amp;$C652,'Smelter Look-up'!$J:$J,0)))</f>
        <v>#N/A</v>
      </c>
      <c r="X652" s="140">
        <f t="shared" si="82"/>
        <v>0</v>
      </c>
      <c r="AB652" s="178" t="str">
        <f t="shared" si="83"/>
        <v>TinSmelter not listed</v>
      </c>
    </row>
    <row r="653" spans="1:28" s="140" customFormat="1" ht="38.25">
      <c r="A653" s="167"/>
      <c r="B653" s="168" t="s">
        <v>133</v>
      </c>
      <c r="C653" s="169" t="s">
        <v>209</v>
      </c>
      <c r="D653" s="170" t="s">
        <v>17823</v>
      </c>
      <c r="E653" s="168" t="s">
        <v>192</v>
      </c>
      <c r="F653" s="168" t="s">
        <v>17673</v>
      </c>
      <c r="G653" s="168" t="s">
        <v>142</v>
      </c>
      <c r="H653" s="171" t="s">
        <v>114</v>
      </c>
      <c r="I653" s="172" t="s">
        <v>196</v>
      </c>
      <c r="J653" s="172" t="s">
        <v>196</v>
      </c>
      <c r="K653" s="173"/>
      <c r="L653" s="173"/>
      <c r="M653" s="173"/>
      <c r="N653" s="173" t="s">
        <v>121</v>
      </c>
      <c r="O653" s="173" t="s">
        <v>121</v>
      </c>
      <c r="P653" s="174" t="s">
        <v>121</v>
      </c>
      <c r="Q653" s="175"/>
      <c r="R653" s="168" t="str">
        <f ca="1">IF(ISERROR($V653),"",OFFSET('Smelter Look-up'!$C$4,$V653-4,0)&amp;"")</f>
        <v/>
      </c>
      <c r="S653" s="167" t="str">
        <f t="shared" ca="1" si="81"/>
        <v>CN</v>
      </c>
      <c r="T653" s="167" t="str">
        <f ca="1">IF(B653="","",IF(ISERROR(MATCH($J653,SorP!$B$1:$B$6230,0)),"",INDIRECT("'SorP'!$A$"&amp;MATCH($J653,SorP!$B$1:$B$6230,0))))</f>
        <v/>
      </c>
      <c r="U653" s="176"/>
      <c r="V653" s="177" t="e">
        <f>IF(C653="",NA(),IF(OR(C653="Smelter not listed",C653="Smelter not yet identified"),MATCH($B653&amp;$D653,'Smelter Look-up'!$J:$J,0),MATCH($B653&amp;$C653,'Smelter Look-up'!$J:$J,0)))</f>
        <v>#N/A</v>
      </c>
      <c r="X653" s="140">
        <f t="shared" si="82"/>
        <v>0</v>
      </c>
      <c r="AB653" s="178" t="str">
        <f t="shared" si="83"/>
        <v>GoldSmelter not listed</v>
      </c>
    </row>
    <row r="654" spans="1:28" s="140" customFormat="1" ht="38.25">
      <c r="A654" s="167"/>
      <c r="B654" s="168" t="s">
        <v>133</v>
      </c>
      <c r="C654" s="169" t="s">
        <v>209</v>
      </c>
      <c r="D654" s="170" t="s">
        <v>17824</v>
      </c>
      <c r="E654" s="168" t="s">
        <v>192</v>
      </c>
      <c r="F654" s="168" t="s">
        <v>17674</v>
      </c>
      <c r="G654" s="168" t="s">
        <v>142</v>
      </c>
      <c r="H654" s="171" t="s">
        <v>114</v>
      </c>
      <c r="I654" s="172" t="s">
        <v>196</v>
      </c>
      <c r="J654" s="172" t="s">
        <v>196</v>
      </c>
      <c r="K654" s="173"/>
      <c r="L654" s="173"/>
      <c r="M654" s="173"/>
      <c r="N654" s="173" t="s">
        <v>121</v>
      </c>
      <c r="O654" s="173" t="s">
        <v>121</v>
      </c>
      <c r="P654" s="174" t="s">
        <v>121</v>
      </c>
      <c r="Q654" s="175"/>
      <c r="R654" s="168" t="str">
        <f ca="1">IF(ISERROR($V654),"",OFFSET('Smelter Look-up'!$C$4,$V654-4,0)&amp;"")</f>
        <v/>
      </c>
      <c r="S654" s="167" t="str">
        <f t="shared" ca="1" si="81"/>
        <v>CN</v>
      </c>
      <c r="T654" s="167" t="str">
        <f ca="1">IF(B654="","",IF(ISERROR(MATCH($J654,SorP!$B$1:$B$6230,0)),"",INDIRECT("'SorP'!$A$"&amp;MATCH($J654,SorP!$B$1:$B$6230,0))))</f>
        <v/>
      </c>
      <c r="U654" s="176"/>
      <c r="V654" s="177" t="e">
        <f>IF(C654="",NA(),IF(OR(C654="Smelter not listed",C654="Smelter not yet identified"),MATCH($B654&amp;$D654,'Smelter Look-up'!$J:$J,0),MATCH($B654&amp;$C654,'Smelter Look-up'!$J:$J,0)))</f>
        <v>#N/A</v>
      </c>
      <c r="X654" s="140">
        <f t="shared" si="82"/>
        <v>0</v>
      </c>
      <c r="AB654" s="178" t="str">
        <f t="shared" si="83"/>
        <v>GoldSmelter not listed</v>
      </c>
    </row>
    <row r="655" spans="1:28" s="140" customFormat="1" ht="38.25">
      <c r="A655" s="167"/>
      <c r="B655" s="168" t="s">
        <v>133</v>
      </c>
      <c r="C655" s="169" t="s">
        <v>209</v>
      </c>
      <c r="D655" s="170" t="s">
        <v>17825</v>
      </c>
      <c r="E655" s="168" t="s">
        <v>192</v>
      </c>
      <c r="F655" s="168" t="s">
        <v>17675</v>
      </c>
      <c r="G655" s="168" t="s">
        <v>142</v>
      </c>
      <c r="H655" s="171" t="s">
        <v>114</v>
      </c>
      <c r="I655" s="172" t="s">
        <v>196</v>
      </c>
      <c r="J655" s="172" t="s">
        <v>196</v>
      </c>
      <c r="K655" s="173"/>
      <c r="L655" s="173"/>
      <c r="M655" s="173"/>
      <c r="N655" s="173" t="s">
        <v>121</v>
      </c>
      <c r="O655" s="173" t="s">
        <v>121</v>
      </c>
      <c r="P655" s="174" t="s">
        <v>121</v>
      </c>
      <c r="Q655" s="175"/>
      <c r="R655" s="168" t="str">
        <f ca="1">IF(ISERROR($V655),"",OFFSET('Smelter Look-up'!$C$4,$V655-4,0)&amp;"")</f>
        <v/>
      </c>
      <c r="S655" s="167" t="str">
        <f t="shared" ca="1" si="81"/>
        <v>CN</v>
      </c>
      <c r="T655" s="167" t="str">
        <f ca="1">IF(B655="","",IF(ISERROR(MATCH($J655,SorP!$B$1:$B$6230,0)),"",INDIRECT("'SorP'!$A$"&amp;MATCH($J655,SorP!$B$1:$B$6230,0))))</f>
        <v/>
      </c>
      <c r="U655" s="176"/>
      <c r="V655" s="177" t="e">
        <f>IF(C655="",NA(),IF(OR(C655="Smelter not listed",C655="Smelter not yet identified"),MATCH($B655&amp;$D655,'Smelter Look-up'!$J:$J,0),MATCH($B655&amp;$C655,'Smelter Look-up'!$J:$J,0)))</f>
        <v>#N/A</v>
      </c>
      <c r="X655" s="140">
        <f t="shared" si="82"/>
        <v>0</v>
      </c>
      <c r="AB655" s="178" t="str">
        <f t="shared" si="83"/>
        <v>GoldSmelter not listed</v>
      </c>
    </row>
    <row r="656" spans="1:28" s="140" customFormat="1" ht="38.25">
      <c r="A656" s="167"/>
      <c r="B656" s="168" t="s">
        <v>133</v>
      </c>
      <c r="C656" s="169" t="s">
        <v>209</v>
      </c>
      <c r="D656" s="170" t="s">
        <v>17826</v>
      </c>
      <c r="E656" s="168" t="s">
        <v>192</v>
      </c>
      <c r="F656" s="168" t="s">
        <v>17676</v>
      </c>
      <c r="G656" s="168" t="s">
        <v>142</v>
      </c>
      <c r="H656" s="171" t="s">
        <v>114</v>
      </c>
      <c r="I656" s="172" t="s">
        <v>196</v>
      </c>
      <c r="J656" s="172" t="s">
        <v>196</v>
      </c>
      <c r="K656" s="173"/>
      <c r="L656" s="173"/>
      <c r="M656" s="173"/>
      <c r="N656" s="173" t="s">
        <v>121</v>
      </c>
      <c r="O656" s="173" t="s">
        <v>121</v>
      </c>
      <c r="P656" s="174" t="s">
        <v>121</v>
      </c>
      <c r="Q656" s="175"/>
      <c r="R656" s="168" t="str">
        <f ca="1">IF(ISERROR($V656),"",OFFSET('Smelter Look-up'!$C$4,$V656-4,0)&amp;"")</f>
        <v/>
      </c>
      <c r="S656" s="167" t="str">
        <f t="shared" ca="1" si="81"/>
        <v>CN</v>
      </c>
      <c r="T656" s="167" t="str">
        <f ca="1">IF(B656="","",IF(ISERROR(MATCH($J656,SorP!$B$1:$B$6230,0)),"",INDIRECT("'SorP'!$A$"&amp;MATCH($J656,SorP!$B$1:$B$6230,0))))</f>
        <v/>
      </c>
      <c r="U656" s="176"/>
      <c r="V656" s="177" t="e">
        <f>IF(C656="",NA(),IF(OR(C656="Smelter not listed",C656="Smelter not yet identified"),MATCH($B656&amp;$D656,'Smelter Look-up'!$J:$J,0),MATCH($B656&amp;$C656,'Smelter Look-up'!$J:$J,0)))</f>
        <v>#N/A</v>
      </c>
      <c r="X656" s="140">
        <f t="shared" si="82"/>
        <v>0</v>
      </c>
      <c r="AB656" s="178" t="str">
        <f t="shared" si="83"/>
        <v>GoldSmelter not listed</v>
      </c>
    </row>
    <row r="657" spans="1:28" s="140" customFormat="1" ht="38.25">
      <c r="A657" s="167"/>
      <c r="B657" s="168" t="s">
        <v>133</v>
      </c>
      <c r="C657" s="169" t="s">
        <v>209</v>
      </c>
      <c r="D657" s="170" t="s">
        <v>17827</v>
      </c>
      <c r="E657" s="168" t="s">
        <v>192</v>
      </c>
      <c r="F657" s="168" t="s">
        <v>17677</v>
      </c>
      <c r="G657" s="168" t="s">
        <v>142</v>
      </c>
      <c r="H657" s="171" t="s">
        <v>114</v>
      </c>
      <c r="I657" s="172" t="s">
        <v>196</v>
      </c>
      <c r="J657" s="172" t="s">
        <v>196</v>
      </c>
      <c r="K657" s="173"/>
      <c r="L657" s="173"/>
      <c r="M657" s="173"/>
      <c r="N657" s="173" t="s">
        <v>121</v>
      </c>
      <c r="O657" s="173" t="s">
        <v>121</v>
      </c>
      <c r="P657" s="174" t="s">
        <v>121</v>
      </c>
      <c r="Q657" s="175"/>
      <c r="R657" s="168" t="str">
        <f ca="1">IF(ISERROR($V657),"",OFFSET('Smelter Look-up'!$C$4,$V657-4,0)&amp;"")</f>
        <v/>
      </c>
      <c r="S657" s="167" t="str">
        <f t="shared" ca="1" si="81"/>
        <v>CN</v>
      </c>
      <c r="T657" s="167" t="str">
        <f ca="1">IF(B657="","",IF(ISERROR(MATCH($J657,SorP!$B$1:$B$6230,0)),"",INDIRECT("'SorP'!$A$"&amp;MATCH($J657,SorP!$B$1:$B$6230,0))))</f>
        <v/>
      </c>
      <c r="U657" s="176"/>
      <c r="V657" s="177" t="e">
        <f>IF(C657="",NA(),IF(OR(C657="Smelter not listed",C657="Smelter not yet identified"),MATCH($B657&amp;$D657,'Smelter Look-up'!$J:$J,0),MATCH($B657&amp;$C657,'Smelter Look-up'!$J:$J,0)))</f>
        <v>#N/A</v>
      </c>
      <c r="X657" s="140">
        <f t="shared" si="82"/>
        <v>0</v>
      </c>
      <c r="AB657" s="178" t="str">
        <f t="shared" si="83"/>
        <v>GoldSmelter not listed</v>
      </c>
    </row>
    <row r="658" spans="1:28" s="140" customFormat="1" ht="51">
      <c r="A658" s="167"/>
      <c r="B658" s="168" t="s">
        <v>130</v>
      </c>
      <c r="C658" s="169" t="s">
        <v>209</v>
      </c>
      <c r="D658" s="170" t="s">
        <v>17828</v>
      </c>
      <c r="E658" s="168" t="s">
        <v>192</v>
      </c>
      <c r="F658" s="168" t="s">
        <v>17678</v>
      </c>
      <c r="G658" s="168" t="s">
        <v>142</v>
      </c>
      <c r="H658" s="171" t="s">
        <v>114</v>
      </c>
      <c r="I658" s="172" t="s">
        <v>196</v>
      </c>
      <c r="J658" s="172" t="s">
        <v>196</v>
      </c>
      <c r="K658" s="173"/>
      <c r="L658" s="173"/>
      <c r="M658" s="173"/>
      <c r="N658" s="173" t="s">
        <v>121</v>
      </c>
      <c r="O658" s="173" t="s">
        <v>121</v>
      </c>
      <c r="P658" s="174" t="s">
        <v>121</v>
      </c>
      <c r="Q658" s="175"/>
      <c r="R658" s="168" t="str">
        <f ca="1">IF(ISERROR($V658),"",OFFSET('Smelter Look-up'!$C$4,$V658-4,0)&amp;"")</f>
        <v/>
      </c>
      <c r="S658" s="167" t="str">
        <f t="shared" ca="1" si="81"/>
        <v>CN</v>
      </c>
      <c r="T658" s="167" t="str">
        <f ca="1">IF(B658="","",IF(ISERROR(MATCH($J658,SorP!$B$1:$B$6230,0)),"",INDIRECT("'SorP'!$A$"&amp;MATCH($J658,SorP!$B$1:$B$6230,0))))</f>
        <v/>
      </c>
      <c r="U658" s="176"/>
      <c r="V658" s="177" t="e">
        <f>IF(C658="",NA(),IF(OR(C658="Smelter not listed",C658="Smelter not yet identified"),MATCH($B658&amp;$D658,'Smelter Look-up'!$J:$J,0),MATCH($B658&amp;$C658,'Smelter Look-up'!$J:$J,0)))</f>
        <v>#N/A</v>
      </c>
      <c r="X658" s="140">
        <f t="shared" si="82"/>
        <v>0</v>
      </c>
      <c r="AB658" s="178" t="str">
        <f t="shared" si="83"/>
        <v>TantalumSmelter not listed</v>
      </c>
    </row>
    <row r="659" spans="1:28" s="140" customFormat="1" ht="38.25">
      <c r="A659" s="167"/>
      <c r="B659" s="168" t="s">
        <v>133</v>
      </c>
      <c r="C659" s="169" t="s">
        <v>209</v>
      </c>
      <c r="D659" s="170" t="s">
        <v>17829</v>
      </c>
      <c r="E659" s="168" t="s">
        <v>192</v>
      </c>
      <c r="F659" s="168" t="s">
        <v>17679</v>
      </c>
      <c r="G659" s="168" t="s">
        <v>142</v>
      </c>
      <c r="H659" s="171" t="s">
        <v>114</v>
      </c>
      <c r="I659" s="172" t="s">
        <v>196</v>
      </c>
      <c r="J659" s="172" t="s">
        <v>196</v>
      </c>
      <c r="K659" s="173"/>
      <c r="L659" s="173"/>
      <c r="M659" s="173"/>
      <c r="N659" s="173" t="s">
        <v>121</v>
      </c>
      <c r="O659" s="173" t="s">
        <v>121</v>
      </c>
      <c r="P659" s="174" t="s">
        <v>121</v>
      </c>
      <c r="Q659" s="175"/>
      <c r="R659" s="168" t="str">
        <f ca="1">IF(ISERROR($V659),"",OFFSET('Smelter Look-up'!$C$4,$V659-4,0)&amp;"")</f>
        <v/>
      </c>
      <c r="S659" s="167" t="str">
        <f t="shared" ca="1" si="81"/>
        <v>CN</v>
      </c>
      <c r="T659" s="167" t="str">
        <f ca="1">IF(B659="","",IF(ISERROR(MATCH($J659,SorP!$B$1:$B$6230,0)),"",INDIRECT("'SorP'!$A$"&amp;MATCH($J659,SorP!$B$1:$B$6230,0))))</f>
        <v/>
      </c>
      <c r="U659" s="176"/>
      <c r="V659" s="177" t="e">
        <f>IF(C659="",NA(),IF(OR(C659="Smelter not listed",C659="Smelter not yet identified"),MATCH($B659&amp;$D659,'Smelter Look-up'!$J:$J,0),MATCH($B659&amp;$C659,'Smelter Look-up'!$J:$J,0)))</f>
        <v>#N/A</v>
      </c>
      <c r="X659" s="140">
        <f t="shared" si="82"/>
        <v>0</v>
      </c>
      <c r="AB659" s="178" t="str">
        <f t="shared" si="83"/>
        <v>GoldSmelter not listed</v>
      </c>
    </row>
    <row r="660" spans="1:28" s="140" customFormat="1" ht="38.25">
      <c r="A660" s="167"/>
      <c r="B660" s="168" t="s">
        <v>131</v>
      </c>
      <c r="C660" s="169" t="s">
        <v>209</v>
      </c>
      <c r="D660" s="170" t="s">
        <v>17830</v>
      </c>
      <c r="E660" s="168" t="s">
        <v>192</v>
      </c>
      <c r="F660" s="168" t="s">
        <v>17680</v>
      </c>
      <c r="G660" s="168" t="s">
        <v>142</v>
      </c>
      <c r="H660" s="171" t="s">
        <v>114</v>
      </c>
      <c r="I660" s="172" t="s">
        <v>196</v>
      </c>
      <c r="J660" s="172" t="s">
        <v>196</v>
      </c>
      <c r="K660" s="173"/>
      <c r="L660" s="173"/>
      <c r="M660" s="173"/>
      <c r="N660" s="173" t="s">
        <v>121</v>
      </c>
      <c r="O660" s="173" t="s">
        <v>121</v>
      </c>
      <c r="P660" s="174" t="s">
        <v>121</v>
      </c>
      <c r="Q660" s="175"/>
      <c r="R660" s="168" t="str">
        <f ca="1">IF(ISERROR($V660),"",OFFSET('Smelter Look-up'!$C$4,$V660-4,0)&amp;"")</f>
        <v/>
      </c>
      <c r="S660" s="167" t="str">
        <f t="shared" ca="1" si="81"/>
        <v>CN</v>
      </c>
      <c r="T660" s="167" t="str">
        <f ca="1">IF(B660="","",IF(ISERROR(MATCH($J660,SorP!$B$1:$B$6230,0)),"",INDIRECT("'SorP'!$A$"&amp;MATCH($J660,SorP!$B$1:$B$6230,0))))</f>
        <v/>
      </c>
      <c r="U660" s="176"/>
      <c r="V660" s="177" t="e">
        <f>IF(C660="",NA(),IF(OR(C660="Smelter not listed",C660="Smelter not yet identified"),MATCH($B660&amp;$D660,'Smelter Look-up'!$J:$J,0),MATCH($B660&amp;$C660,'Smelter Look-up'!$J:$J,0)))</f>
        <v>#N/A</v>
      </c>
      <c r="X660" s="140">
        <f t="shared" si="82"/>
        <v>0</v>
      </c>
      <c r="AB660" s="178" t="str">
        <f t="shared" si="83"/>
        <v>TinSmelter not listed</v>
      </c>
    </row>
    <row r="661" spans="1:28" s="140" customFormat="1" ht="38.25">
      <c r="A661" s="167"/>
      <c r="B661" s="168" t="s">
        <v>131</v>
      </c>
      <c r="C661" s="169" t="s">
        <v>209</v>
      </c>
      <c r="D661" s="170" t="s">
        <v>17831</v>
      </c>
      <c r="E661" s="168" t="s">
        <v>192</v>
      </c>
      <c r="F661" s="168" t="s">
        <v>17681</v>
      </c>
      <c r="G661" s="168" t="s">
        <v>142</v>
      </c>
      <c r="H661" s="171" t="s">
        <v>114</v>
      </c>
      <c r="I661" s="172" t="s">
        <v>196</v>
      </c>
      <c r="J661" s="172" t="s">
        <v>196</v>
      </c>
      <c r="K661" s="173"/>
      <c r="L661" s="173"/>
      <c r="M661" s="173"/>
      <c r="N661" s="173" t="s">
        <v>121</v>
      </c>
      <c r="O661" s="173" t="s">
        <v>121</v>
      </c>
      <c r="P661" s="174" t="s">
        <v>121</v>
      </c>
      <c r="Q661" s="175"/>
      <c r="R661" s="168" t="str">
        <f ca="1">IF(ISERROR($V661),"",OFFSET('Smelter Look-up'!$C$4,$V661-4,0)&amp;"")</f>
        <v/>
      </c>
      <c r="S661" s="167" t="str">
        <f t="shared" ca="1" si="81"/>
        <v>CN</v>
      </c>
      <c r="T661" s="167" t="str">
        <f ca="1">IF(B661="","",IF(ISERROR(MATCH($J661,SorP!$B$1:$B$6230,0)),"",INDIRECT("'SorP'!$A$"&amp;MATCH($J661,SorP!$B$1:$B$6230,0))))</f>
        <v/>
      </c>
      <c r="U661" s="176"/>
      <c r="V661" s="177" t="e">
        <f>IF(C661="",NA(),IF(OR(C661="Smelter not listed",C661="Smelter not yet identified"),MATCH($B661&amp;$D661,'Smelter Look-up'!$J:$J,0),MATCH($B661&amp;$C661,'Smelter Look-up'!$J:$J,0)))</f>
        <v>#N/A</v>
      </c>
      <c r="X661" s="140">
        <f t="shared" si="82"/>
        <v>0</v>
      </c>
      <c r="AB661" s="178" t="str">
        <f t="shared" si="83"/>
        <v>TinSmelter not listed</v>
      </c>
    </row>
    <row r="662" spans="1:28" s="140" customFormat="1" ht="38.25">
      <c r="A662" s="167"/>
      <c r="B662" s="168" t="s">
        <v>131</v>
      </c>
      <c r="C662" s="169" t="s">
        <v>209</v>
      </c>
      <c r="D662" s="170" t="s">
        <v>17832</v>
      </c>
      <c r="E662" s="168" t="s">
        <v>192</v>
      </c>
      <c r="F662" s="168" t="s">
        <v>17682</v>
      </c>
      <c r="G662" s="168" t="s">
        <v>142</v>
      </c>
      <c r="H662" s="171" t="s">
        <v>114</v>
      </c>
      <c r="I662" s="172" t="s">
        <v>196</v>
      </c>
      <c r="J662" s="172" t="s">
        <v>196</v>
      </c>
      <c r="K662" s="173"/>
      <c r="L662" s="173"/>
      <c r="M662" s="173"/>
      <c r="N662" s="173" t="s">
        <v>121</v>
      </c>
      <c r="O662" s="173" t="s">
        <v>121</v>
      </c>
      <c r="P662" s="174" t="s">
        <v>121</v>
      </c>
      <c r="Q662" s="175"/>
      <c r="R662" s="168" t="str">
        <f ca="1">IF(ISERROR($V662),"",OFFSET('Smelter Look-up'!$C$4,$V662-4,0)&amp;"")</f>
        <v/>
      </c>
      <c r="S662" s="167" t="str">
        <f t="shared" ca="1" si="81"/>
        <v>CN</v>
      </c>
      <c r="T662" s="167" t="str">
        <f ca="1">IF(B662="","",IF(ISERROR(MATCH($J662,SorP!$B$1:$B$6230,0)),"",INDIRECT("'SorP'!$A$"&amp;MATCH($J662,SorP!$B$1:$B$6230,0))))</f>
        <v/>
      </c>
      <c r="U662" s="176"/>
      <c r="V662" s="177" t="e">
        <f>IF(C662="",NA(),IF(OR(C662="Smelter not listed",C662="Smelter not yet identified"),MATCH($B662&amp;$D662,'Smelter Look-up'!$J:$J,0),MATCH($B662&amp;$C662,'Smelter Look-up'!$J:$J,0)))</f>
        <v>#N/A</v>
      </c>
      <c r="X662" s="140">
        <f t="shared" si="82"/>
        <v>0</v>
      </c>
      <c r="AB662" s="178" t="str">
        <f t="shared" si="83"/>
        <v>TinSmelter not listed</v>
      </c>
    </row>
    <row r="663" spans="1:28" s="140" customFormat="1" ht="38.25">
      <c r="A663" s="167"/>
      <c r="B663" s="168" t="s">
        <v>133</v>
      </c>
      <c r="C663" s="169" t="s">
        <v>209</v>
      </c>
      <c r="D663" s="170" t="s">
        <v>17833</v>
      </c>
      <c r="E663" s="168" t="s">
        <v>192</v>
      </c>
      <c r="F663" s="168" t="s">
        <v>17683</v>
      </c>
      <c r="G663" s="168" t="s">
        <v>142</v>
      </c>
      <c r="H663" s="171" t="s">
        <v>114</v>
      </c>
      <c r="I663" s="172" t="s">
        <v>196</v>
      </c>
      <c r="J663" s="172" t="s">
        <v>196</v>
      </c>
      <c r="K663" s="173"/>
      <c r="L663" s="173"/>
      <c r="M663" s="173"/>
      <c r="N663" s="173" t="s">
        <v>121</v>
      </c>
      <c r="O663" s="173" t="s">
        <v>121</v>
      </c>
      <c r="P663" s="174" t="s">
        <v>121</v>
      </c>
      <c r="Q663" s="175"/>
      <c r="R663" s="168" t="str">
        <f ca="1">IF(ISERROR($V663),"",OFFSET('Smelter Look-up'!$C$4,$V663-4,0)&amp;"")</f>
        <v/>
      </c>
      <c r="S663" s="167" t="str">
        <f t="shared" ca="1" si="81"/>
        <v>CN</v>
      </c>
      <c r="T663" s="167" t="str">
        <f ca="1">IF(B663="","",IF(ISERROR(MATCH($J663,SorP!$B$1:$B$6230,0)),"",INDIRECT("'SorP'!$A$"&amp;MATCH($J663,SorP!$B$1:$B$6230,0))))</f>
        <v/>
      </c>
      <c r="U663" s="176"/>
      <c r="V663" s="177" t="e">
        <f>IF(C663="",NA(),IF(OR(C663="Smelter not listed",C663="Smelter not yet identified"),MATCH($B663&amp;$D663,'Smelter Look-up'!$J:$J,0),MATCH($B663&amp;$C663,'Smelter Look-up'!$J:$J,0)))</f>
        <v>#N/A</v>
      </c>
      <c r="X663" s="140">
        <f t="shared" si="82"/>
        <v>0</v>
      </c>
      <c r="AB663" s="178" t="str">
        <f t="shared" si="83"/>
        <v>GoldSmelter not listed</v>
      </c>
    </row>
    <row r="664" spans="1:28" s="140" customFormat="1" ht="38.25">
      <c r="A664" s="167"/>
      <c r="B664" s="168" t="s">
        <v>131</v>
      </c>
      <c r="C664" s="169" t="s">
        <v>209</v>
      </c>
      <c r="D664" s="170" t="s">
        <v>17834</v>
      </c>
      <c r="E664" s="168" t="s">
        <v>2827</v>
      </c>
      <c r="F664" s="168" t="s">
        <v>17684</v>
      </c>
      <c r="G664" s="168" t="s">
        <v>142</v>
      </c>
      <c r="H664" s="171" t="s">
        <v>114</v>
      </c>
      <c r="I664" s="172" t="s">
        <v>196</v>
      </c>
      <c r="J664" s="172" t="s">
        <v>196</v>
      </c>
      <c r="K664" s="173" t="s">
        <v>18033</v>
      </c>
      <c r="L664" s="173" t="s">
        <v>18034</v>
      </c>
      <c r="M664" s="173"/>
      <c r="N664" s="173" t="s">
        <v>121</v>
      </c>
      <c r="O664" s="173" t="s">
        <v>121</v>
      </c>
      <c r="P664" s="174" t="s">
        <v>121</v>
      </c>
      <c r="Q664" s="175"/>
      <c r="R664" s="168" t="str">
        <f ca="1">IF(ISERROR($V664),"",OFFSET('Smelter Look-up'!$C$4,$V664-4,0)&amp;"")</f>
        <v/>
      </c>
      <c r="S664" s="167" t="str">
        <f t="shared" ca="1" si="81"/>
        <v>SG</v>
      </c>
      <c r="T664" s="167" t="str">
        <f ca="1">IF(B664="","",IF(ISERROR(MATCH($J664,SorP!$B$1:$B$6230,0)),"",INDIRECT("'SorP'!$A$"&amp;MATCH($J664,SorP!$B$1:$B$6230,0))))</f>
        <v/>
      </c>
      <c r="U664" s="176"/>
      <c r="V664" s="177" t="e">
        <f>IF(C664="",NA(),IF(OR(C664="Smelter not listed",C664="Smelter not yet identified"),MATCH($B664&amp;$D664,'Smelter Look-up'!$J:$J,0),MATCH($B664&amp;$C664,'Smelter Look-up'!$J:$J,0)))</f>
        <v>#N/A</v>
      </c>
      <c r="X664" s="140">
        <f t="shared" si="82"/>
        <v>0</v>
      </c>
      <c r="AB664" s="178" t="str">
        <f t="shared" si="83"/>
        <v>TinSmelter not listed</v>
      </c>
    </row>
    <row r="665" spans="1:28" s="140" customFormat="1" ht="38.25">
      <c r="A665" s="167"/>
      <c r="B665" s="168" t="s">
        <v>133</v>
      </c>
      <c r="C665" s="169" t="s">
        <v>209</v>
      </c>
      <c r="D665" s="170" t="s">
        <v>17835</v>
      </c>
      <c r="E665" s="168" t="s">
        <v>17702</v>
      </c>
      <c r="F665" s="168" t="s">
        <v>17685</v>
      </c>
      <c r="G665" s="168" t="s">
        <v>114</v>
      </c>
      <c r="H665" s="171" t="s">
        <v>114</v>
      </c>
      <c r="I665" s="172"/>
      <c r="J665" s="172" t="s">
        <v>114</v>
      </c>
      <c r="K665" s="173"/>
      <c r="L665" s="173"/>
      <c r="M665" s="173"/>
      <c r="N665" s="173"/>
      <c r="O665" s="173"/>
      <c r="P665" s="174"/>
      <c r="Q665" s="175"/>
      <c r="R665" s="168" t="str">
        <f ca="1">IF(ISERROR($V665),"",OFFSET('Smelter Look-up'!$C$4,$V665-4,0)&amp;"")</f>
        <v/>
      </c>
      <c r="S665" s="167" t="str">
        <f t="shared" ca="1" si="81"/>
        <v>HK</v>
      </c>
      <c r="T665" s="167" t="str">
        <f ca="1">IF(B665="","",IF(ISERROR(MATCH($J665,SorP!$B$1:$B$6230,0)),"",INDIRECT("'SorP'!$A$"&amp;MATCH($J665,SorP!$B$1:$B$6230,0))))</f>
        <v/>
      </c>
      <c r="U665" s="176"/>
      <c r="V665" s="177" t="e">
        <f>IF(C665="",NA(),IF(OR(C665="Smelter not listed",C665="Smelter not yet identified"),MATCH($B665&amp;$D665,'Smelter Look-up'!$J:$J,0),MATCH($B665&amp;$C665,'Smelter Look-up'!$J:$J,0)))</f>
        <v>#N/A</v>
      </c>
      <c r="X665" s="140">
        <f t="shared" si="82"/>
        <v>0</v>
      </c>
      <c r="AB665" s="178" t="str">
        <f t="shared" si="83"/>
        <v>GoldSmelter not listed</v>
      </c>
    </row>
    <row r="666" spans="1:28" s="140" customFormat="1" ht="38.25">
      <c r="A666" s="167"/>
      <c r="B666" s="168" t="s">
        <v>133</v>
      </c>
      <c r="C666" s="169" t="s">
        <v>209</v>
      </c>
      <c r="D666" s="170" t="s">
        <v>17836</v>
      </c>
      <c r="E666" s="168" t="s">
        <v>192</v>
      </c>
      <c r="F666" s="168" t="s">
        <v>17686</v>
      </c>
      <c r="G666" s="168" t="s">
        <v>169</v>
      </c>
      <c r="H666" s="171" t="s">
        <v>114</v>
      </c>
      <c r="I666" s="172" t="s">
        <v>196</v>
      </c>
      <c r="J666" s="172" t="s">
        <v>196</v>
      </c>
      <c r="K666" s="173"/>
      <c r="L666" s="173"/>
      <c r="M666" s="173"/>
      <c r="N666" s="173"/>
      <c r="O666" s="173"/>
      <c r="P666" s="174"/>
      <c r="Q666" s="175"/>
      <c r="R666" s="168" t="str">
        <f ca="1">IF(ISERROR($V666),"",OFFSET('Smelter Look-up'!$C$4,$V666-4,0)&amp;"")</f>
        <v/>
      </c>
      <c r="S666" s="167" t="str">
        <f t="shared" ca="1" si="81"/>
        <v>CN</v>
      </c>
      <c r="T666" s="167" t="str">
        <f ca="1">IF(B666="","",IF(ISERROR(MATCH($J666,SorP!$B$1:$B$6230,0)),"",INDIRECT("'SorP'!$A$"&amp;MATCH($J666,SorP!$B$1:$B$6230,0))))</f>
        <v/>
      </c>
      <c r="U666" s="176"/>
      <c r="V666" s="177" t="e">
        <f>IF(C666="",NA(),IF(OR(C666="Smelter not listed",C666="Smelter not yet identified"),MATCH($B666&amp;$D666,'Smelter Look-up'!$J:$J,0),MATCH($B666&amp;$C666,'Smelter Look-up'!$J:$J,0)))</f>
        <v>#N/A</v>
      </c>
      <c r="X666" s="140">
        <f t="shared" si="82"/>
        <v>0</v>
      </c>
      <c r="AB666" s="178" t="str">
        <f t="shared" si="83"/>
        <v>GoldSmelter not listed</v>
      </c>
    </row>
    <row r="667" spans="1:28" s="140" customFormat="1" ht="51">
      <c r="A667" s="167"/>
      <c r="B667" s="168" t="s">
        <v>132</v>
      </c>
      <c r="C667" s="169" t="s">
        <v>209</v>
      </c>
      <c r="D667" s="170" t="s">
        <v>17837</v>
      </c>
      <c r="E667" s="168" t="s">
        <v>256</v>
      </c>
      <c r="F667" s="168" t="s">
        <v>17542</v>
      </c>
      <c r="G667" s="168" t="s">
        <v>114</v>
      </c>
      <c r="H667" s="171" t="s">
        <v>114</v>
      </c>
      <c r="I667" s="172"/>
      <c r="J667" s="172" t="s">
        <v>114</v>
      </c>
      <c r="K667" s="173"/>
      <c r="L667" s="173"/>
      <c r="M667" s="173"/>
      <c r="N667" s="173"/>
      <c r="O667" s="173"/>
      <c r="P667" s="174"/>
      <c r="Q667" s="175"/>
      <c r="R667" s="168" t="str">
        <f ca="1">IF(ISERROR($V667),"",OFFSET('Smelter Look-up'!$C$4,$V667-4,0)&amp;"")</f>
        <v/>
      </c>
      <c r="S667" s="167" t="str">
        <f t="shared" ca="1" si="81"/>
        <v>KR</v>
      </c>
      <c r="T667" s="167" t="str">
        <f ca="1">IF(B667="","",IF(ISERROR(MATCH($J667,SorP!$B$1:$B$6230,0)),"",INDIRECT("'SorP'!$A$"&amp;MATCH($J667,SorP!$B$1:$B$6230,0))))</f>
        <v/>
      </c>
      <c r="U667" s="176"/>
      <c r="V667" s="177" t="e">
        <f>IF(C667="",NA(),IF(OR(C667="Smelter not listed",C667="Smelter not yet identified"),MATCH($B667&amp;$D667,'Smelter Look-up'!$J:$J,0),MATCH($B667&amp;$C667,'Smelter Look-up'!$J:$J,0)))</f>
        <v>#N/A</v>
      </c>
      <c r="X667" s="140">
        <f t="shared" si="82"/>
        <v>0</v>
      </c>
      <c r="AB667" s="178" t="str">
        <f t="shared" si="83"/>
        <v>TungstenSmelter not listed</v>
      </c>
    </row>
    <row r="668" spans="1:28" s="140" customFormat="1" ht="51">
      <c r="A668" s="167"/>
      <c r="B668" s="168" t="s">
        <v>130</v>
      </c>
      <c r="C668" s="169" t="s">
        <v>209</v>
      </c>
      <c r="D668" s="170" t="s">
        <v>17838</v>
      </c>
      <c r="E668" s="168" t="s">
        <v>644</v>
      </c>
      <c r="F668" s="168" t="s">
        <v>17520</v>
      </c>
      <c r="G668" s="168" t="s">
        <v>169</v>
      </c>
      <c r="H668" s="171" t="s">
        <v>114</v>
      </c>
      <c r="I668" s="172" t="s">
        <v>196</v>
      </c>
      <c r="J668" s="172" t="s">
        <v>196</v>
      </c>
      <c r="K668" s="173"/>
      <c r="L668" s="173"/>
      <c r="M668" s="173"/>
      <c r="N668" s="173"/>
      <c r="O668" s="173"/>
      <c r="P668" s="174"/>
      <c r="Q668" s="175"/>
      <c r="R668" s="168" t="str">
        <f ca="1">IF(ISERROR($V668),"",OFFSET('Smelter Look-up'!$C$4,$V668-4,0)&amp;"")</f>
        <v/>
      </c>
      <c r="S668" s="167" t="str">
        <f t="shared" ca="1" si="81"/>
        <v>ZA</v>
      </c>
      <c r="T668" s="167" t="str">
        <f ca="1">IF(B668="","",IF(ISERROR(MATCH($J668,SorP!$B$1:$B$6230,0)),"",INDIRECT("'SorP'!$A$"&amp;MATCH($J668,SorP!$B$1:$B$6230,0))))</f>
        <v/>
      </c>
      <c r="U668" s="176"/>
      <c r="V668" s="177" t="e">
        <f>IF(C668="",NA(),IF(OR(C668="Smelter not listed",C668="Smelter not yet identified"),MATCH($B668&amp;$D668,'Smelter Look-up'!$J:$J,0),MATCH($B668&amp;$C668,'Smelter Look-up'!$J:$J,0)))</f>
        <v>#N/A</v>
      </c>
      <c r="X668" s="140">
        <f t="shared" si="82"/>
        <v>0</v>
      </c>
      <c r="AB668" s="178" t="str">
        <f t="shared" si="83"/>
        <v>TantalumSmelter not listed</v>
      </c>
    </row>
    <row r="669" spans="1:28" s="140" customFormat="1" ht="38.25">
      <c r="A669" s="167"/>
      <c r="B669" s="168" t="s">
        <v>131</v>
      </c>
      <c r="C669" s="169" t="s">
        <v>209</v>
      </c>
      <c r="D669" s="170" t="s">
        <v>17839</v>
      </c>
      <c r="E669" s="168" t="s">
        <v>179</v>
      </c>
      <c r="F669" s="168" t="s">
        <v>17537</v>
      </c>
      <c r="G669" s="168" t="s">
        <v>114</v>
      </c>
      <c r="H669" s="171" t="s">
        <v>114</v>
      </c>
      <c r="I669" s="172" t="s">
        <v>114</v>
      </c>
      <c r="J669" s="172" t="s">
        <v>114</v>
      </c>
      <c r="K669" s="173"/>
      <c r="L669" s="173"/>
      <c r="M669" s="173"/>
      <c r="N669" s="173"/>
      <c r="O669" s="173"/>
      <c r="P669" s="174"/>
      <c r="Q669" s="175"/>
      <c r="R669" s="168" t="str">
        <f ca="1">IF(ISERROR($V669),"",OFFSET('Smelter Look-up'!$C$4,$V669-4,0)&amp;"")</f>
        <v/>
      </c>
      <c r="S669" s="167" t="str">
        <f t="shared" ca="1" si="81"/>
        <v>DE</v>
      </c>
      <c r="T669" s="167" t="str">
        <f ca="1">IF(B669="","",IF(ISERROR(MATCH($J669,SorP!$B$1:$B$6230,0)),"",INDIRECT("'SorP'!$A$"&amp;MATCH($J669,SorP!$B$1:$B$6230,0))))</f>
        <v/>
      </c>
      <c r="U669" s="176"/>
      <c r="V669" s="177" t="e">
        <f>IF(C669="",NA(),IF(OR(C669="Smelter not listed",C669="Smelter not yet identified"),MATCH($B669&amp;$D669,'Smelter Look-up'!$J:$J,0),MATCH($B669&amp;$C669,'Smelter Look-up'!$J:$J,0)))</f>
        <v>#N/A</v>
      </c>
      <c r="X669" s="140">
        <f t="shared" si="82"/>
        <v>0</v>
      </c>
      <c r="AB669" s="178" t="str">
        <f t="shared" si="83"/>
        <v>TinSmelter not listed</v>
      </c>
    </row>
    <row r="670" spans="1:28" s="140" customFormat="1" ht="51">
      <c r="A670" s="167"/>
      <c r="B670" s="168" t="s">
        <v>132</v>
      </c>
      <c r="C670" s="169" t="s">
        <v>209</v>
      </c>
      <c r="D670" s="170" t="s">
        <v>17840</v>
      </c>
      <c r="E670" s="168" t="s">
        <v>192</v>
      </c>
      <c r="F670" s="168" t="s">
        <v>17543</v>
      </c>
      <c r="G670" s="168" t="s">
        <v>169</v>
      </c>
      <c r="H670" s="171" t="s">
        <v>114</v>
      </c>
      <c r="I670" s="172" t="s">
        <v>196</v>
      </c>
      <c r="J670" s="172" t="s">
        <v>196</v>
      </c>
      <c r="K670" s="173"/>
      <c r="L670" s="173"/>
      <c r="M670" s="173"/>
      <c r="N670" s="173"/>
      <c r="O670" s="173"/>
      <c r="P670" s="174"/>
      <c r="Q670" s="175"/>
      <c r="R670" s="168" t="str">
        <f ca="1">IF(ISERROR($V670),"",OFFSET('Smelter Look-up'!$C$4,$V670-4,0)&amp;"")</f>
        <v/>
      </c>
      <c r="S670" s="167" t="str">
        <f t="shared" ca="1" si="81"/>
        <v>CN</v>
      </c>
      <c r="T670" s="167" t="str">
        <f ca="1">IF(B670="","",IF(ISERROR(MATCH($J670,SorP!$B$1:$B$6230,0)),"",INDIRECT("'SorP'!$A$"&amp;MATCH($J670,SorP!$B$1:$B$6230,0))))</f>
        <v/>
      </c>
      <c r="U670" s="176"/>
      <c r="V670" s="177" t="e">
        <f>IF(C670="",NA(),IF(OR(C670="Smelter not listed",C670="Smelter not yet identified"),MATCH($B670&amp;$D670,'Smelter Look-up'!$J:$J,0),MATCH($B670&amp;$C670,'Smelter Look-up'!$J:$J,0)))</f>
        <v>#N/A</v>
      </c>
      <c r="X670" s="140">
        <f t="shared" si="82"/>
        <v>0</v>
      </c>
      <c r="AB670" s="178" t="str">
        <f t="shared" si="83"/>
        <v>TungstenSmelter not listed</v>
      </c>
    </row>
    <row r="671" spans="1:28" s="140" customFormat="1" ht="38.25">
      <c r="A671" s="167"/>
      <c r="B671" s="168" t="s">
        <v>131</v>
      </c>
      <c r="C671" s="169" t="s">
        <v>209</v>
      </c>
      <c r="D671" s="170" t="s">
        <v>17841</v>
      </c>
      <c r="E671" s="168" t="s">
        <v>192</v>
      </c>
      <c r="F671" s="168" t="s">
        <v>17538</v>
      </c>
      <c r="G671" s="168"/>
      <c r="H671" s="171" t="s">
        <v>18035</v>
      </c>
      <c r="I671" s="172" t="s">
        <v>18036</v>
      </c>
      <c r="J671" s="172" t="s">
        <v>18037</v>
      </c>
      <c r="K671" s="173" t="s">
        <v>18038</v>
      </c>
      <c r="L671" s="173"/>
      <c r="M671" s="173"/>
      <c r="N671" s="173" t="s">
        <v>121</v>
      </c>
      <c r="O671" s="173" t="s">
        <v>121</v>
      </c>
      <c r="P671" s="174" t="s">
        <v>121</v>
      </c>
      <c r="Q671" s="175" t="s">
        <v>18039</v>
      </c>
      <c r="R671" s="168" t="str">
        <f ca="1">IF(ISERROR($V671),"",OFFSET('Smelter Look-up'!$C$4,$V671-4,0)&amp;"")</f>
        <v/>
      </c>
      <c r="S671" s="167" t="str">
        <f t="shared" ca="1" si="81"/>
        <v>CN</v>
      </c>
      <c r="T671" s="167" t="str">
        <f ca="1">IF(B671="","",IF(ISERROR(MATCH($J671,SorP!$B$1:$B$6230,0)),"",INDIRECT("'SorP'!$A$"&amp;MATCH($J671,SorP!$B$1:$B$6230,0))))</f>
        <v/>
      </c>
      <c r="U671" s="176"/>
      <c r="V671" s="177" t="e">
        <f>IF(C671="",NA(),IF(OR(C671="Smelter not listed",C671="Smelter not yet identified"),MATCH($B671&amp;$D671,'Smelter Look-up'!$J:$J,0),MATCH($B671&amp;$C671,'Smelter Look-up'!$J:$J,0)))</f>
        <v>#N/A</v>
      </c>
      <c r="X671" s="140">
        <f t="shared" si="82"/>
        <v>0</v>
      </c>
      <c r="AB671" s="178" t="str">
        <f t="shared" si="83"/>
        <v>TinSmelter not listed</v>
      </c>
    </row>
    <row r="672" spans="1:28" s="140" customFormat="1" ht="38.25">
      <c r="A672" s="167"/>
      <c r="B672" s="168" t="s">
        <v>133</v>
      </c>
      <c r="C672" s="169" t="s">
        <v>209</v>
      </c>
      <c r="D672" s="170" t="s">
        <v>17842</v>
      </c>
      <c r="E672" s="168" t="s">
        <v>192</v>
      </c>
      <c r="F672" s="168" t="s">
        <v>17687</v>
      </c>
      <c r="G672" s="168" t="s">
        <v>114</v>
      </c>
      <c r="H672" s="171" t="s">
        <v>114</v>
      </c>
      <c r="I672" s="172" t="s">
        <v>114</v>
      </c>
      <c r="J672" s="172" t="s">
        <v>114</v>
      </c>
      <c r="K672" s="173"/>
      <c r="L672" s="173"/>
      <c r="M672" s="173"/>
      <c r="N672" s="173"/>
      <c r="O672" s="173"/>
      <c r="P672" s="174"/>
      <c r="Q672" s="175"/>
      <c r="R672" s="168" t="str">
        <f ca="1">IF(ISERROR($V672),"",OFFSET('Smelter Look-up'!$C$4,$V672-4,0)&amp;"")</f>
        <v/>
      </c>
      <c r="S672" s="167" t="str">
        <f t="shared" ca="1" si="81"/>
        <v>CN</v>
      </c>
      <c r="T672" s="167" t="str">
        <f ca="1">IF(B672="","",IF(ISERROR(MATCH($J672,SorP!$B$1:$B$6230,0)),"",INDIRECT("'SorP'!$A$"&amp;MATCH($J672,SorP!$B$1:$B$6230,0))))</f>
        <v/>
      </c>
      <c r="U672" s="176"/>
      <c r="V672" s="177" t="e">
        <f>IF(C672="",NA(),IF(OR(C672="Smelter not listed",C672="Smelter not yet identified"),MATCH($B672&amp;$D672,'Smelter Look-up'!$J:$J,0),MATCH($B672&amp;$C672,'Smelter Look-up'!$J:$J,0)))</f>
        <v>#N/A</v>
      </c>
      <c r="X672" s="140">
        <f t="shared" si="82"/>
        <v>0</v>
      </c>
      <c r="AB672" s="178" t="str">
        <f t="shared" si="83"/>
        <v>GoldSmelter not listed</v>
      </c>
    </row>
    <row r="673" spans="1:28" s="140" customFormat="1" ht="20.25">
      <c r="A673" s="167"/>
      <c r="B673" s="168" t="str">
        <f>IF(LEN(A673)=0,"",INDEX('Smelter Look-up'!$A:$A,MATCH($A673,'Smelter Look-up'!$E:$E,0)))</f>
        <v/>
      </c>
      <c r="C673" s="169" t="str">
        <f>IF(LEN(A673)=0,"",INDEX('Smelter Look-up'!$C:$C,MATCH($A673,'Smelter Look-up'!$E:$E,0)))</f>
        <v/>
      </c>
      <c r="D673" s="170"/>
      <c r="E673" s="168" t="str">
        <f ca="1">IF(ISERROR($V673),"",OFFSET('Smelter Look-up'!$D$4,$V673-4,0)&amp;"")</f>
        <v/>
      </c>
      <c r="F673" s="168" t="str">
        <f ca="1">IF(ISERROR($V673),"",OFFSET('Smelter Look-up'!$E$4,$V673-4,0))</f>
        <v/>
      </c>
      <c r="G673" s="168" t="str">
        <f ca="1">IF(C673=$X$4,IF(ISERROR($V673),"Enter smelter details","RMI"),IF(ISERROR($V673),"",OFFSET('Smelter Look-up'!$F$4,$V673-4,0)))</f>
        <v/>
      </c>
      <c r="H673" s="171" t="str">
        <f ca="1">IF(ISERROR($V673),"",OFFSET('Smelter Look-up'!$G$4,$V673-4,0))</f>
        <v/>
      </c>
      <c r="I673" s="172" t="str">
        <f ca="1">IF(ISERROR($V673),"",OFFSET('Smelter Look-up'!$H$4,$V673-4,0))</f>
        <v/>
      </c>
      <c r="J673" s="172" t="str">
        <f ca="1">IF(ISERROR($V673),"",OFFSET('Smelter Look-up'!$I$4,$V673-4,0))</f>
        <v/>
      </c>
      <c r="K673" s="173"/>
      <c r="L673" s="173"/>
      <c r="M673" s="173"/>
      <c r="N673" s="173"/>
      <c r="O673" s="173"/>
      <c r="P673" s="174"/>
      <c r="Q673" s="175"/>
      <c r="R673" s="168" t="str">
        <f ca="1">IF(ISERROR($V673),"",OFFSET('Smelter Look-up'!$C$4,$V673-4,0)&amp;"")</f>
        <v/>
      </c>
      <c r="S673" s="167" t="str">
        <f t="shared" ca="1" si="81"/>
        <v/>
      </c>
      <c r="T673" s="167" t="str">
        <f ca="1">IF(B673="","",IF(ISERROR(MATCH($J673,SorP!$B$1:$B$6230,0)),"",INDIRECT("'SorP'!$A$"&amp;MATCH($J673,SorP!$B$1:$B$6230,0))))</f>
        <v/>
      </c>
      <c r="U673" s="176"/>
      <c r="V673" s="177" t="e">
        <f>IF(C673="",NA(),IF(OR(C673="Smelter not listed",C673="Smelter not yet identified"),MATCH($B673&amp;$D673,'Smelter Look-up'!$J:$J,0),MATCH($B673&amp;$C673,'Smelter Look-up'!$J:$J,0)))</f>
        <v>#N/A</v>
      </c>
      <c r="X673" s="140">
        <f t="shared" ca="1" si="82"/>
        <v>0</v>
      </c>
      <c r="AB673" s="178" t="str">
        <f t="shared" si="83"/>
        <v/>
      </c>
    </row>
    <row r="674" spans="1:28" s="140" customFormat="1" ht="20.25">
      <c r="A674" s="167"/>
      <c r="B674" s="168" t="str">
        <f>IF(LEN(A674)=0,"",INDEX('Smelter Look-up'!$A:$A,MATCH($A674,'Smelter Look-up'!$E:$E,0)))</f>
        <v/>
      </c>
      <c r="C674" s="169" t="str">
        <f>IF(LEN(A674)=0,"",INDEX('Smelter Look-up'!$C:$C,MATCH($A674,'Smelter Look-up'!$E:$E,0)))</f>
        <v/>
      </c>
      <c r="D674" s="170"/>
      <c r="E674" s="168" t="str">
        <f ca="1">IF(ISERROR($V674),"",OFFSET('Smelter Look-up'!$D$4,$V674-4,0)&amp;"")</f>
        <v/>
      </c>
      <c r="F674" s="168" t="str">
        <f ca="1">IF(ISERROR($V674),"",OFFSET('Smelter Look-up'!$E$4,$V674-4,0))</f>
        <v/>
      </c>
      <c r="G674" s="168" t="str">
        <f ca="1">IF(C674=$X$4,IF(ISERROR($V674),"Enter smelter details","RMI"),IF(ISERROR($V674),"",OFFSET('Smelter Look-up'!$F$4,$V674-4,0)))</f>
        <v/>
      </c>
      <c r="H674" s="171" t="str">
        <f ca="1">IF(ISERROR($V674),"",OFFSET('Smelter Look-up'!$G$4,$V674-4,0))</f>
        <v/>
      </c>
      <c r="I674" s="172" t="str">
        <f ca="1">IF(ISERROR($V674),"",OFFSET('Smelter Look-up'!$H$4,$V674-4,0))</f>
        <v/>
      </c>
      <c r="J674" s="172" t="str">
        <f ca="1">IF(ISERROR($V674),"",OFFSET('Smelter Look-up'!$I$4,$V674-4,0))</f>
        <v/>
      </c>
      <c r="K674" s="173"/>
      <c r="L674" s="173"/>
      <c r="M674" s="173"/>
      <c r="N674" s="173"/>
      <c r="O674" s="173"/>
      <c r="P674" s="174"/>
      <c r="Q674" s="175"/>
      <c r="R674" s="168" t="str">
        <f ca="1">IF(ISERROR($V674),"",OFFSET('Smelter Look-up'!$C$4,$V674-4,0)&amp;"")</f>
        <v/>
      </c>
      <c r="S674" s="167" t="str">
        <f t="shared" ca="1" si="81"/>
        <v/>
      </c>
      <c r="T674" s="167" t="str">
        <f ca="1">IF(B674="","",IF(ISERROR(MATCH($J674,SorP!$B$1:$B$6230,0)),"",INDIRECT("'SorP'!$A$"&amp;MATCH($J674,SorP!$B$1:$B$6230,0))))</f>
        <v/>
      </c>
      <c r="U674" s="176"/>
      <c r="V674" s="177" t="e">
        <f>IF(C674="",NA(),IF(OR(C674="Smelter not listed",C674="Smelter not yet identified"),MATCH($B674&amp;$D674,'Smelter Look-up'!$J:$J,0),MATCH($B674&amp;$C674,'Smelter Look-up'!$J:$J,0)))</f>
        <v>#N/A</v>
      </c>
      <c r="X674" s="140">
        <f t="shared" ca="1" si="82"/>
        <v>0</v>
      </c>
      <c r="AB674" s="178" t="str">
        <f t="shared" si="83"/>
        <v/>
      </c>
    </row>
    <row r="675" spans="1:28" s="140" customFormat="1" ht="20.25">
      <c r="A675" s="167"/>
      <c r="B675" s="168" t="str">
        <f>IF(LEN(A675)=0,"",INDEX('Smelter Look-up'!$A:$A,MATCH($A675,'Smelter Look-up'!$E:$E,0)))</f>
        <v/>
      </c>
      <c r="C675" s="169" t="str">
        <f>IF(LEN(A675)=0,"",INDEX('Smelter Look-up'!$C:$C,MATCH($A675,'Smelter Look-up'!$E:$E,0)))</f>
        <v/>
      </c>
      <c r="D675" s="170"/>
      <c r="E675" s="168" t="str">
        <f ca="1">IF(ISERROR($V675),"",OFFSET('Smelter Look-up'!$D$4,$V675-4,0)&amp;"")</f>
        <v/>
      </c>
      <c r="F675" s="168" t="str">
        <f ca="1">IF(ISERROR($V675),"",OFFSET('Smelter Look-up'!$E$4,$V675-4,0))</f>
        <v/>
      </c>
      <c r="G675" s="168" t="str">
        <f ca="1">IF(C675=$X$4,IF(ISERROR($V675),"Enter smelter details","RMI"),IF(ISERROR($V675),"",OFFSET('Smelter Look-up'!$F$4,$V675-4,0)))</f>
        <v/>
      </c>
      <c r="H675" s="171" t="str">
        <f ca="1">IF(ISERROR($V675),"",OFFSET('Smelter Look-up'!$G$4,$V675-4,0))</f>
        <v/>
      </c>
      <c r="I675" s="172" t="str">
        <f ca="1">IF(ISERROR($V675),"",OFFSET('Smelter Look-up'!$H$4,$V675-4,0))</f>
        <v/>
      </c>
      <c r="J675" s="172" t="str">
        <f ca="1">IF(ISERROR($V675),"",OFFSET('Smelter Look-up'!$I$4,$V675-4,0))</f>
        <v/>
      </c>
      <c r="K675" s="173"/>
      <c r="L675" s="173"/>
      <c r="M675" s="173"/>
      <c r="N675" s="173"/>
      <c r="O675" s="173"/>
      <c r="P675" s="174"/>
      <c r="Q675" s="175"/>
      <c r="R675" s="168" t="str">
        <f ca="1">IF(ISERROR($V675),"",OFFSET('Smelter Look-up'!$C$4,$V675-4,0)&amp;"")</f>
        <v/>
      </c>
      <c r="S675" s="167" t="str">
        <f t="shared" ca="1" si="81"/>
        <v/>
      </c>
      <c r="T675" s="167" t="str">
        <f ca="1">IF(B675="","",IF(ISERROR(MATCH($J675,SorP!$B$1:$B$6230,0)),"",INDIRECT("'SorP'!$A$"&amp;MATCH($J675,SorP!$B$1:$B$6230,0))))</f>
        <v/>
      </c>
      <c r="U675" s="176"/>
      <c r="V675" s="177" t="e">
        <f>IF(C675="",NA(),IF(OR(C675="Smelter not listed",C675="Smelter not yet identified"),MATCH($B675&amp;$D675,'Smelter Look-up'!$J:$J,0),MATCH($B675&amp;$C675,'Smelter Look-up'!$J:$J,0)))</f>
        <v>#N/A</v>
      </c>
      <c r="X675" s="140">
        <f t="shared" ca="1" si="82"/>
        <v>0</v>
      </c>
      <c r="AB675" s="178" t="str">
        <f t="shared" si="83"/>
        <v/>
      </c>
    </row>
    <row r="676" spans="1:28" s="140" customFormat="1" ht="20.25">
      <c r="A676" s="167"/>
      <c r="B676" s="168" t="str">
        <f>IF(LEN(A676)=0,"",INDEX('Smelter Look-up'!$A:$A,MATCH($A676,'Smelter Look-up'!$E:$E,0)))</f>
        <v/>
      </c>
      <c r="C676" s="169" t="str">
        <f>IF(LEN(A676)=0,"",INDEX('Smelter Look-up'!$C:$C,MATCH($A676,'Smelter Look-up'!$E:$E,0)))</f>
        <v/>
      </c>
      <c r="D676" s="170"/>
      <c r="E676" s="168" t="str">
        <f ca="1">IF(ISERROR($V676),"",OFFSET('Smelter Look-up'!$D$4,$V676-4,0)&amp;"")</f>
        <v/>
      </c>
      <c r="F676" s="168" t="str">
        <f ca="1">IF(ISERROR($V676),"",OFFSET('Smelter Look-up'!$E$4,$V676-4,0))</f>
        <v/>
      </c>
      <c r="G676" s="168" t="str">
        <f ca="1">IF(C676=$X$4,IF(ISERROR($V676),"Enter smelter details","RMI"),IF(ISERROR($V676),"",OFFSET('Smelter Look-up'!$F$4,$V676-4,0)))</f>
        <v/>
      </c>
      <c r="H676" s="171" t="str">
        <f ca="1">IF(ISERROR($V676),"",OFFSET('Smelter Look-up'!$G$4,$V676-4,0))</f>
        <v/>
      </c>
      <c r="I676" s="172" t="str">
        <f ca="1">IF(ISERROR($V676),"",OFFSET('Smelter Look-up'!$H$4,$V676-4,0))</f>
        <v/>
      </c>
      <c r="J676" s="172" t="str">
        <f ca="1">IF(ISERROR($V676),"",OFFSET('Smelter Look-up'!$I$4,$V676-4,0))</f>
        <v/>
      </c>
      <c r="K676" s="173"/>
      <c r="L676" s="173"/>
      <c r="M676" s="173"/>
      <c r="N676" s="173"/>
      <c r="O676" s="173"/>
      <c r="P676" s="174"/>
      <c r="Q676" s="175"/>
      <c r="R676" s="168" t="str">
        <f ca="1">IF(ISERROR($V676),"",OFFSET('Smelter Look-up'!$C$4,$V676-4,0)&amp;"")</f>
        <v/>
      </c>
      <c r="S676" s="167" t="str">
        <f t="shared" ca="1" si="81"/>
        <v/>
      </c>
      <c r="T676" s="167" t="str">
        <f ca="1">IF(B676="","",IF(ISERROR(MATCH($J676,SorP!$B$1:$B$6230,0)),"",INDIRECT("'SorP'!$A$"&amp;MATCH($J676,SorP!$B$1:$B$6230,0))))</f>
        <v/>
      </c>
      <c r="U676" s="176"/>
      <c r="V676" s="177" t="e">
        <f>IF(C676="",NA(),IF(OR(C676="Smelter not listed",C676="Smelter not yet identified"),MATCH($B676&amp;$D676,'Smelter Look-up'!$J:$J,0),MATCH($B676&amp;$C676,'Smelter Look-up'!$J:$J,0)))</f>
        <v>#N/A</v>
      </c>
      <c r="X676" s="140">
        <f t="shared" ca="1" si="82"/>
        <v>0</v>
      </c>
      <c r="AB676" s="178" t="str">
        <f t="shared" si="83"/>
        <v/>
      </c>
    </row>
    <row r="677" spans="1:28" s="140" customFormat="1" ht="20.25">
      <c r="A677" s="167"/>
      <c r="B677" s="168" t="str">
        <f>IF(LEN(A677)=0,"",INDEX('Smelter Look-up'!$A:$A,MATCH($A677,'Smelter Look-up'!$E:$E,0)))</f>
        <v/>
      </c>
      <c r="C677" s="169" t="str">
        <f>IF(LEN(A677)=0,"",INDEX('Smelter Look-up'!$C:$C,MATCH($A677,'Smelter Look-up'!$E:$E,0)))</f>
        <v/>
      </c>
      <c r="D677" s="170"/>
      <c r="E677" s="168" t="str">
        <f ca="1">IF(ISERROR($V677),"",OFFSET('Smelter Look-up'!$D$4,$V677-4,0)&amp;"")</f>
        <v/>
      </c>
      <c r="F677" s="168" t="str">
        <f ca="1">IF(ISERROR($V677),"",OFFSET('Smelter Look-up'!$E$4,$V677-4,0))</f>
        <v/>
      </c>
      <c r="G677" s="168" t="str">
        <f ca="1">IF(C677=$X$4,IF(ISERROR($V677),"Enter smelter details","RMI"),IF(ISERROR($V677),"",OFFSET('Smelter Look-up'!$F$4,$V677-4,0)))</f>
        <v/>
      </c>
      <c r="H677" s="171" t="str">
        <f ca="1">IF(ISERROR($V677),"",OFFSET('Smelter Look-up'!$G$4,$V677-4,0))</f>
        <v/>
      </c>
      <c r="I677" s="172" t="str">
        <f ca="1">IF(ISERROR($V677),"",OFFSET('Smelter Look-up'!$H$4,$V677-4,0))</f>
        <v/>
      </c>
      <c r="J677" s="172" t="str">
        <f ca="1">IF(ISERROR($V677),"",OFFSET('Smelter Look-up'!$I$4,$V677-4,0))</f>
        <v/>
      </c>
      <c r="K677" s="173"/>
      <c r="L677" s="173"/>
      <c r="M677" s="173"/>
      <c r="N677" s="173"/>
      <c r="O677" s="173"/>
      <c r="P677" s="174"/>
      <c r="Q677" s="175"/>
      <c r="R677" s="168" t="str">
        <f ca="1">IF(ISERROR($V677),"",OFFSET('Smelter Look-up'!$C$4,$V677-4,0)&amp;"")</f>
        <v/>
      </c>
      <c r="S677" s="167" t="str">
        <f t="shared" ref="S677:S740" ca="1" si="84">IF(B677="","",IF(ISERROR(MATCH($E677,CL,0)),"Unknown",INDIRECT("'C'!$A$"&amp;MATCH($E677,CL,0)+1)))</f>
        <v/>
      </c>
      <c r="T677" s="167" t="str">
        <f ca="1">IF(B677="","",IF(ISERROR(MATCH($J677,SorP!$B$1:$B$6230,0)),"",INDIRECT("'SorP'!$A$"&amp;MATCH($J677,SorP!$B$1:$B$6230,0))))</f>
        <v/>
      </c>
      <c r="U677" s="176"/>
      <c r="V677" s="177" t="e">
        <f>IF(C677="",NA(),IF(OR(C677="Smelter not listed",C677="Smelter not yet identified"),MATCH($B677&amp;$D677,'Smelter Look-up'!$J:$J,0),MATCH($B677&amp;$C677,'Smelter Look-up'!$J:$J,0)))</f>
        <v>#N/A</v>
      </c>
      <c r="X677" s="140">
        <f t="shared" ref="X677:X740" ca="1" si="85">IF(AND(C677="Smelter not listed",OR(LEN(D677)=0,LEN(E677)=0)),1,0)</f>
        <v>0</v>
      </c>
      <c r="AB677" s="178" t="str">
        <f t="shared" ref="AB677:AB740" si="86">B677&amp;C677</f>
        <v/>
      </c>
    </row>
    <row r="678" spans="1:28" s="140" customFormat="1" ht="20.25">
      <c r="A678" s="167"/>
      <c r="B678" s="168" t="str">
        <f>IF(LEN(A678)=0,"",INDEX('Smelter Look-up'!$A:$A,MATCH($A678,'Smelter Look-up'!$E:$E,0)))</f>
        <v/>
      </c>
      <c r="C678" s="169" t="str">
        <f>IF(LEN(A678)=0,"",INDEX('Smelter Look-up'!$C:$C,MATCH($A678,'Smelter Look-up'!$E:$E,0)))</f>
        <v/>
      </c>
      <c r="D678" s="170"/>
      <c r="E678" s="168" t="str">
        <f ca="1">IF(ISERROR($V678),"",OFFSET('Smelter Look-up'!$D$4,$V678-4,0)&amp;"")</f>
        <v/>
      </c>
      <c r="F678" s="168" t="str">
        <f ca="1">IF(ISERROR($V678),"",OFFSET('Smelter Look-up'!$E$4,$V678-4,0))</f>
        <v/>
      </c>
      <c r="G678" s="168" t="str">
        <f ca="1">IF(C678=$X$4,IF(ISERROR($V678),"Enter smelter details","RMI"),IF(ISERROR($V678),"",OFFSET('Smelter Look-up'!$F$4,$V678-4,0)))</f>
        <v/>
      </c>
      <c r="H678" s="171" t="str">
        <f ca="1">IF(ISERROR($V678),"",OFFSET('Smelter Look-up'!$G$4,$V678-4,0))</f>
        <v/>
      </c>
      <c r="I678" s="172" t="str">
        <f ca="1">IF(ISERROR($V678),"",OFFSET('Smelter Look-up'!$H$4,$V678-4,0))</f>
        <v/>
      </c>
      <c r="J678" s="172" t="str">
        <f ca="1">IF(ISERROR($V678),"",OFFSET('Smelter Look-up'!$I$4,$V678-4,0))</f>
        <v/>
      </c>
      <c r="K678" s="173"/>
      <c r="L678" s="173"/>
      <c r="M678" s="173"/>
      <c r="N678" s="173"/>
      <c r="O678" s="173"/>
      <c r="P678" s="174"/>
      <c r="Q678" s="175"/>
      <c r="R678" s="168" t="str">
        <f ca="1">IF(ISERROR($V678),"",OFFSET('Smelter Look-up'!$C$4,$V678-4,0)&amp;"")</f>
        <v/>
      </c>
      <c r="S678" s="167" t="str">
        <f t="shared" ca="1" si="84"/>
        <v/>
      </c>
      <c r="T678" s="167" t="str">
        <f ca="1">IF(B678="","",IF(ISERROR(MATCH($J678,SorP!$B$1:$B$6230,0)),"",INDIRECT("'SorP'!$A$"&amp;MATCH($J678,SorP!$B$1:$B$6230,0))))</f>
        <v/>
      </c>
      <c r="U678" s="176"/>
      <c r="V678" s="177" t="e">
        <f>IF(C678="",NA(),IF(OR(C678="Smelter not listed",C678="Smelter not yet identified"),MATCH($B678&amp;$D678,'Smelter Look-up'!$J:$J,0),MATCH($B678&amp;$C678,'Smelter Look-up'!$J:$J,0)))</f>
        <v>#N/A</v>
      </c>
      <c r="X678" s="140">
        <f t="shared" ca="1" si="85"/>
        <v>0</v>
      </c>
      <c r="AB678" s="178" t="str">
        <f t="shared" si="86"/>
        <v/>
      </c>
    </row>
    <row r="679" spans="1:28" s="140" customFormat="1" ht="20.25">
      <c r="A679" s="167"/>
      <c r="B679" s="168" t="str">
        <f>IF(LEN(A679)=0,"",INDEX('Smelter Look-up'!$A:$A,MATCH($A679,'Smelter Look-up'!$E:$E,0)))</f>
        <v/>
      </c>
      <c r="C679" s="169" t="str">
        <f>IF(LEN(A679)=0,"",INDEX('Smelter Look-up'!$C:$C,MATCH($A679,'Smelter Look-up'!$E:$E,0)))</f>
        <v/>
      </c>
      <c r="D679" s="170"/>
      <c r="E679" s="168" t="str">
        <f ca="1">IF(ISERROR($V679),"",OFFSET('Smelter Look-up'!$D$4,$V679-4,0)&amp;"")</f>
        <v/>
      </c>
      <c r="F679" s="168" t="str">
        <f ca="1">IF(ISERROR($V679),"",OFFSET('Smelter Look-up'!$E$4,$V679-4,0))</f>
        <v/>
      </c>
      <c r="G679" s="168" t="str">
        <f ca="1">IF(C679=$X$4,IF(ISERROR($V679),"Enter smelter details","RMI"),IF(ISERROR($V679),"",OFFSET('Smelter Look-up'!$F$4,$V679-4,0)))</f>
        <v/>
      </c>
      <c r="H679" s="171" t="str">
        <f ca="1">IF(ISERROR($V679),"",OFFSET('Smelter Look-up'!$G$4,$V679-4,0))</f>
        <v/>
      </c>
      <c r="I679" s="172" t="str">
        <f ca="1">IF(ISERROR($V679),"",OFFSET('Smelter Look-up'!$H$4,$V679-4,0))</f>
        <v/>
      </c>
      <c r="J679" s="172" t="str">
        <f ca="1">IF(ISERROR($V679),"",OFFSET('Smelter Look-up'!$I$4,$V679-4,0))</f>
        <v/>
      </c>
      <c r="K679" s="173"/>
      <c r="L679" s="173"/>
      <c r="M679" s="173"/>
      <c r="N679" s="173"/>
      <c r="O679" s="173"/>
      <c r="P679" s="174"/>
      <c r="Q679" s="175"/>
      <c r="R679" s="168" t="str">
        <f ca="1">IF(ISERROR($V679),"",OFFSET('Smelter Look-up'!$C$4,$V679-4,0)&amp;"")</f>
        <v/>
      </c>
      <c r="S679" s="167" t="str">
        <f t="shared" ca="1" si="84"/>
        <v/>
      </c>
      <c r="T679" s="167" t="str">
        <f ca="1">IF(B679="","",IF(ISERROR(MATCH($J679,SorP!$B$1:$B$6230,0)),"",INDIRECT("'SorP'!$A$"&amp;MATCH($J679,SorP!$B$1:$B$6230,0))))</f>
        <v/>
      </c>
      <c r="U679" s="176"/>
      <c r="V679" s="177" t="e">
        <f>IF(C679="",NA(),IF(OR(C679="Smelter not listed",C679="Smelter not yet identified"),MATCH($B679&amp;$D679,'Smelter Look-up'!$J:$J,0),MATCH($B679&amp;$C679,'Smelter Look-up'!$J:$J,0)))</f>
        <v>#N/A</v>
      </c>
      <c r="X679" s="140">
        <f t="shared" ca="1" si="85"/>
        <v>0</v>
      </c>
      <c r="AB679" s="178" t="str">
        <f t="shared" si="86"/>
        <v/>
      </c>
    </row>
    <row r="680" spans="1:28" s="140" customFormat="1" ht="20.25">
      <c r="A680" s="167"/>
      <c r="B680" s="168" t="str">
        <f>IF(LEN(A680)=0,"",INDEX('Smelter Look-up'!$A:$A,MATCH($A680,'Smelter Look-up'!$E:$E,0)))</f>
        <v/>
      </c>
      <c r="C680" s="169" t="str">
        <f>IF(LEN(A680)=0,"",INDEX('Smelter Look-up'!$C:$C,MATCH($A680,'Smelter Look-up'!$E:$E,0)))</f>
        <v/>
      </c>
      <c r="D680" s="170"/>
      <c r="E680" s="168" t="str">
        <f ca="1">IF(ISERROR($V680),"",OFFSET('Smelter Look-up'!$D$4,$V680-4,0)&amp;"")</f>
        <v/>
      </c>
      <c r="F680" s="168" t="str">
        <f ca="1">IF(ISERROR($V680),"",OFFSET('Smelter Look-up'!$E$4,$V680-4,0))</f>
        <v/>
      </c>
      <c r="G680" s="168" t="str">
        <f ca="1">IF(C680=$X$4,IF(ISERROR($V680),"Enter smelter details","RMI"),IF(ISERROR($V680),"",OFFSET('Smelter Look-up'!$F$4,$V680-4,0)))</f>
        <v/>
      </c>
      <c r="H680" s="171" t="str">
        <f ca="1">IF(ISERROR($V680),"",OFFSET('Smelter Look-up'!$G$4,$V680-4,0))</f>
        <v/>
      </c>
      <c r="I680" s="172" t="str">
        <f ca="1">IF(ISERROR($V680),"",OFFSET('Smelter Look-up'!$H$4,$V680-4,0))</f>
        <v/>
      </c>
      <c r="J680" s="172" t="str">
        <f ca="1">IF(ISERROR($V680),"",OFFSET('Smelter Look-up'!$I$4,$V680-4,0))</f>
        <v/>
      </c>
      <c r="K680" s="173"/>
      <c r="L680" s="173"/>
      <c r="M680" s="173"/>
      <c r="N680" s="173"/>
      <c r="O680" s="173"/>
      <c r="P680" s="174"/>
      <c r="Q680" s="175"/>
      <c r="R680" s="168" t="str">
        <f ca="1">IF(ISERROR($V680),"",OFFSET('Smelter Look-up'!$C$4,$V680-4,0)&amp;"")</f>
        <v/>
      </c>
      <c r="S680" s="167" t="str">
        <f t="shared" ca="1" si="84"/>
        <v/>
      </c>
      <c r="T680" s="167" t="str">
        <f ca="1">IF(B680="","",IF(ISERROR(MATCH($J680,SorP!$B$1:$B$6230,0)),"",INDIRECT("'SorP'!$A$"&amp;MATCH($J680,SorP!$B$1:$B$6230,0))))</f>
        <v/>
      </c>
      <c r="U680" s="176"/>
      <c r="V680" s="177" t="e">
        <f>IF(C680="",NA(),IF(OR(C680="Smelter not listed",C680="Smelter not yet identified"),MATCH($B680&amp;$D680,'Smelter Look-up'!$J:$J,0),MATCH($B680&amp;$C680,'Smelter Look-up'!$J:$J,0)))</f>
        <v>#N/A</v>
      </c>
      <c r="X680" s="140">
        <f t="shared" ca="1" si="85"/>
        <v>0</v>
      </c>
      <c r="AB680" s="178" t="str">
        <f t="shared" si="86"/>
        <v/>
      </c>
    </row>
    <row r="681" spans="1:28" s="140" customFormat="1" ht="20.25">
      <c r="A681" s="167"/>
      <c r="B681" s="168" t="str">
        <f>IF(LEN(A681)=0,"",INDEX('Smelter Look-up'!$A:$A,MATCH($A681,'Smelter Look-up'!$E:$E,0)))</f>
        <v/>
      </c>
      <c r="C681" s="169" t="str">
        <f>IF(LEN(A681)=0,"",INDEX('Smelter Look-up'!$C:$C,MATCH($A681,'Smelter Look-up'!$E:$E,0)))</f>
        <v/>
      </c>
      <c r="D681" s="170"/>
      <c r="E681" s="168" t="str">
        <f ca="1">IF(ISERROR($V681),"",OFFSET('Smelter Look-up'!$D$4,$V681-4,0)&amp;"")</f>
        <v/>
      </c>
      <c r="F681" s="168" t="str">
        <f ca="1">IF(ISERROR($V681),"",OFFSET('Smelter Look-up'!$E$4,$V681-4,0))</f>
        <v/>
      </c>
      <c r="G681" s="168" t="str">
        <f ca="1">IF(C681=$X$4,IF(ISERROR($V681),"Enter smelter details","RMI"),IF(ISERROR($V681),"",OFFSET('Smelter Look-up'!$F$4,$V681-4,0)))</f>
        <v/>
      </c>
      <c r="H681" s="171" t="str">
        <f ca="1">IF(ISERROR($V681),"",OFFSET('Smelter Look-up'!$G$4,$V681-4,0))</f>
        <v/>
      </c>
      <c r="I681" s="172" t="str">
        <f ca="1">IF(ISERROR($V681),"",OFFSET('Smelter Look-up'!$H$4,$V681-4,0))</f>
        <v/>
      </c>
      <c r="J681" s="172" t="str">
        <f ca="1">IF(ISERROR($V681),"",OFFSET('Smelter Look-up'!$I$4,$V681-4,0))</f>
        <v/>
      </c>
      <c r="K681" s="173"/>
      <c r="L681" s="173"/>
      <c r="M681" s="173"/>
      <c r="N681" s="173"/>
      <c r="O681" s="173"/>
      <c r="P681" s="174"/>
      <c r="Q681" s="175"/>
      <c r="R681" s="168" t="str">
        <f ca="1">IF(ISERROR($V681),"",OFFSET('Smelter Look-up'!$C$4,$V681-4,0)&amp;"")</f>
        <v/>
      </c>
      <c r="S681" s="167" t="str">
        <f t="shared" ca="1" si="84"/>
        <v/>
      </c>
      <c r="T681" s="167" t="str">
        <f ca="1">IF(B681="","",IF(ISERROR(MATCH($J681,SorP!$B$1:$B$6230,0)),"",INDIRECT("'SorP'!$A$"&amp;MATCH($J681,SorP!$B$1:$B$6230,0))))</f>
        <v/>
      </c>
      <c r="U681" s="176"/>
      <c r="V681" s="177" t="e">
        <f>IF(C681="",NA(),IF(OR(C681="Smelter not listed",C681="Smelter not yet identified"),MATCH($B681&amp;$D681,'Smelter Look-up'!$J:$J,0),MATCH($B681&amp;$C681,'Smelter Look-up'!$J:$J,0)))</f>
        <v>#N/A</v>
      </c>
      <c r="X681" s="140">
        <f t="shared" ca="1" si="85"/>
        <v>0</v>
      </c>
      <c r="AB681" s="178" t="str">
        <f t="shared" si="86"/>
        <v/>
      </c>
    </row>
    <row r="682" spans="1:28" s="140" customFormat="1" ht="20.25">
      <c r="A682" s="167"/>
      <c r="B682" s="168" t="str">
        <f>IF(LEN(A682)=0,"",INDEX('Smelter Look-up'!$A:$A,MATCH($A682,'Smelter Look-up'!$E:$E,0)))</f>
        <v/>
      </c>
      <c r="C682" s="169" t="str">
        <f>IF(LEN(A682)=0,"",INDEX('Smelter Look-up'!$C:$C,MATCH($A682,'Smelter Look-up'!$E:$E,0)))</f>
        <v/>
      </c>
      <c r="D682" s="170"/>
      <c r="E682" s="168" t="str">
        <f ca="1">IF(ISERROR($V682),"",OFFSET('Smelter Look-up'!$D$4,$V682-4,0)&amp;"")</f>
        <v/>
      </c>
      <c r="F682" s="168" t="str">
        <f ca="1">IF(ISERROR($V682),"",OFFSET('Smelter Look-up'!$E$4,$V682-4,0))</f>
        <v/>
      </c>
      <c r="G682" s="168" t="str">
        <f ca="1">IF(C682=$X$4,IF(ISERROR($V682),"Enter smelter details","RMI"),IF(ISERROR($V682),"",OFFSET('Smelter Look-up'!$F$4,$V682-4,0)))</f>
        <v/>
      </c>
      <c r="H682" s="171" t="str">
        <f ca="1">IF(ISERROR($V682),"",OFFSET('Smelter Look-up'!$G$4,$V682-4,0))</f>
        <v/>
      </c>
      <c r="I682" s="172" t="str">
        <f ca="1">IF(ISERROR($V682),"",OFFSET('Smelter Look-up'!$H$4,$V682-4,0))</f>
        <v/>
      </c>
      <c r="J682" s="172" t="str">
        <f ca="1">IF(ISERROR($V682),"",OFFSET('Smelter Look-up'!$I$4,$V682-4,0))</f>
        <v/>
      </c>
      <c r="K682" s="173"/>
      <c r="L682" s="173"/>
      <c r="M682" s="173"/>
      <c r="N682" s="173"/>
      <c r="O682" s="173"/>
      <c r="P682" s="174"/>
      <c r="Q682" s="175"/>
      <c r="R682" s="168" t="str">
        <f ca="1">IF(ISERROR($V682),"",OFFSET('Smelter Look-up'!$C$4,$V682-4,0)&amp;"")</f>
        <v/>
      </c>
      <c r="S682" s="167" t="str">
        <f t="shared" ca="1" si="84"/>
        <v/>
      </c>
      <c r="T682" s="167" t="str">
        <f ca="1">IF(B682="","",IF(ISERROR(MATCH($J682,SorP!$B$1:$B$6230,0)),"",INDIRECT("'SorP'!$A$"&amp;MATCH($J682,SorP!$B$1:$B$6230,0))))</f>
        <v/>
      </c>
      <c r="U682" s="176"/>
      <c r="V682" s="177" t="e">
        <f>IF(C682="",NA(),IF(OR(C682="Smelter not listed",C682="Smelter not yet identified"),MATCH($B682&amp;$D682,'Smelter Look-up'!$J:$J,0),MATCH($B682&amp;$C682,'Smelter Look-up'!$J:$J,0)))</f>
        <v>#N/A</v>
      </c>
      <c r="X682" s="140">
        <f t="shared" ca="1" si="85"/>
        <v>0</v>
      </c>
      <c r="AB682" s="178" t="str">
        <f t="shared" si="86"/>
        <v/>
      </c>
    </row>
    <row r="683" spans="1:28" s="140" customFormat="1" ht="20.25">
      <c r="A683" s="167"/>
      <c r="B683" s="168" t="str">
        <f>IF(LEN(A683)=0,"",INDEX('Smelter Look-up'!$A:$A,MATCH($A683,'Smelter Look-up'!$E:$E,0)))</f>
        <v/>
      </c>
      <c r="C683" s="169" t="str">
        <f>IF(LEN(A683)=0,"",INDEX('Smelter Look-up'!$C:$C,MATCH($A683,'Smelter Look-up'!$E:$E,0)))</f>
        <v/>
      </c>
      <c r="D683" s="170"/>
      <c r="E683" s="168" t="str">
        <f ca="1">IF(ISERROR($V683),"",OFFSET('Smelter Look-up'!$D$4,$V683-4,0)&amp;"")</f>
        <v/>
      </c>
      <c r="F683" s="168" t="str">
        <f ca="1">IF(ISERROR($V683),"",OFFSET('Smelter Look-up'!$E$4,$V683-4,0))</f>
        <v/>
      </c>
      <c r="G683" s="168" t="str">
        <f ca="1">IF(C683=$X$4,IF(ISERROR($V683),"Enter smelter details","RMI"),IF(ISERROR($V683),"",OFFSET('Smelter Look-up'!$F$4,$V683-4,0)))</f>
        <v/>
      </c>
      <c r="H683" s="171" t="str">
        <f ca="1">IF(ISERROR($V683),"",OFFSET('Smelter Look-up'!$G$4,$V683-4,0))</f>
        <v/>
      </c>
      <c r="I683" s="172" t="str">
        <f ca="1">IF(ISERROR($V683),"",OFFSET('Smelter Look-up'!$H$4,$V683-4,0))</f>
        <v/>
      </c>
      <c r="J683" s="172" t="str">
        <f ca="1">IF(ISERROR($V683),"",OFFSET('Smelter Look-up'!$I$4,$V683-4,0))</f>
        <v/>
      </c>
      <c r="K683" s="173"/>
      <c r="L683" s="173"/>
      <c r="M683" s="173"/>
      <c r="N683" s="173"/>
      <c r="O683" s="173"/>
      <c r="P683" s="174"/>
      <c r="Q683" s="175"/>
      <c r="R683" s="168" t="str">
        <f ca="1">IF(ISERROR($V683),"",OFFSET('Smelter Look-up'!$C$4,$V683-4,0)&amp;"")</f>
        <v/>
      </c>
      <c r="S683" s="167" t="str">
        <f t="shared" ca="1" si="84"/>
        <v/>
      </c>
      <c r="T683" s="167" t="str">
        <f ca="1">IF(B683="","",IF(ISERROR(MATCH($J683,SorP!$B$1:$B$6230,0)),"",INDIRECT("'SorP'!$A$"&amp;MATCH($J683,SorP!$B$1:$B$6230,0))))</f>
        <v/>
      </c>
      <c r="U683" s="176"/>
      <c r="V683" s="177" t="e">
        <f>IF(C683="",NA(),IF(OR(C683="Smelter not listed",C683="Smelter not yet identified"),MATCH($B683&amp;$D683,'Smelter Look-up'!$J:$J,0),MATCH($B683&amp;$C683,'Smelter Look-up'!$J:$J,0)))</f>
        <v>#N/A</v>
      </c>
      <c r="X683" s="140">
        <f t="shared" ca="1" si="85"/>
        <v>0</v>
      </c>
      <c r="AB683" s="178" t="str">
        <f t="shared" si="86"/>
        <v/>
      </c>
    </row>
    <row r="684" spans="1:28" s="140" customFormat="1" ht="20.25">
      <c r="A684" s="167"/>
      <c r="B684" s="168" t="str">
        <f>IF(LEN(A684)=0,"",INDEX('Smelter Look-up'!$A:$A,MATCH($A684,'Smelter Look-up'!$E:$E,0)))</f>
        <v/>
      </c>
      <c r="C684" s="169" t="str">
        <f>IF(LEN(A684)=0,"",INDEX('Smelter Look-up'!$C:$C,MATCH($A684,'Smelter Look-up'!$E:$E,0)))</f>
        <v/>
      </c>
      <c r="D684" s="170"/>
      <c r="E684" s="168" t="str">
        <f ca="1">IF(ISERROR($V684),"",OFFSET('Smelter Look-up'!$D$4,$V684-4,0)&amp;"")</f>
        <v/>
      </c>
      <c r="F684" s="168" t="str">
        <f ca="1">IF(ISERROR($V684),"",OFFSET('Smelter Look-up'!$E$4,$V684-4,0))</f>
        <v/>
      </c>
      <c r="G684" s="168" t="str">
        <f ca="1">IF(C684=$X$4,IF(ISERROR($V684),"Enter smelter details","RMI"),IF(ISERROR($V684),"",OFFSET('Smelter Look-up'!$F$4,$V684-4,0)))</f>
        <v/>
      </c>
      <c r="H684" s="171" t="str">
        <f ca="1">IF(ISERROR($V684),"",OFFSET('Smelter Look-up'!$G$4,$V684-4,0))</f>
        <v/>
      </c>
      <c r="I684" s="172" t="str">
        <f ca="1">IF(ISERROR($V684),"",OFFSET('Smelter Look-up'!$H$4,$V684-4,0))</f>
        <v/>
      </c>
      <c r="J684" s="172" t="str">
        <f ca="1">IF(ISERROR($V684),"",OFFSET('Smelter Look-up'!$I$4,$V684-4,0))</f>
        <v/>
      </c>
      <c r="K684" s="173"/>
      <c r="L684" s="173"/>
      <c r="M684" s="173"/>
      <c r="N684" s="173"/>
      <c r="O684" s="173"/>
      <c r="P684" s="174"/>
      <c r="Q684" s="175"/>
      <c r="R684" s="168" t="str">
        <f ca="1">IF(ISERROR($V684),"",OFFSET('Smelter Look-up'!$C$4,$V684-4,0)&amp;"")</f>
        <v/>
      </c>
      <c r="S684" s="167" t="str">
        <f t="shared" ca="1" si="84"/>
        <v/>
      </c>
      <c r="T684" s="167" t="str">
        <f ca="1">IF(B684="","",IF(ISERROR(MATCH($J684,SorP!$B$1:$B$6230,0)),"",INDIRECT("'SorP'!$A$"&amp;MATCH($J684,SorP!$B$1:$B$6230,0))))</f>
        <v/>
      </c>
      <c r="U684" s="176"/>
      <c r="V684" s="177" t="e">
        <f>IF(C684="",NA(),IF(OR(C684="Smelter not listed",C684="Smelter not yet identified"),MATCH($B684&amp;$D684,'Smelter Look-up'!$J:$J,0),MATCH($B684&amp;$C684,'Smelter Look-up'!$J:$J,0)))</f>
        <v>#N/A</v>
      </c>
      <c r="X684" s="140">
        <f t="shared" ca="1" si="85"/>
        <v>0</v>
      </c>
      <c r="AB684" s="178" t="str">
        <f t="shared" si="86"/>
        <v/>
      </c>
    </row>
    <row r="685" spans="1:28" s="140" customFormat="1" ht="20.25">
      <c r="A685" s="167"/>
      <c r="B685" s="168" t="str">
        <f>IF(LEN(A685)=0,"",INDEX('Smelter Look-up'!$A:$A,MATCH($A685,'Smelter Look-up'!$E:$E,0)))</f>
        <v/>
      </c>
      <c r="C685" s="169" t="str">
        <f>IF(LEN(A685)=0,"",INDEX('Smelter Look-up'!$C:$C,MATCH($A685,'Smelter Look-up'!$E:$E,0)))</f>
        <v/>
      </c>
      <c r="D685" s="170"/>
      <c r="E685" s="168" t="str">
        <f ca="1">IF(ISERROR($V685),"",OFFSET('Smelter Look-up'!$D$4,$V685-4,0)&amp;"")</f>
        <v/>
      </c>
      <c r="F685" s="168" t="str">
        <f ca="1">IF(ISERROR($V685),"",OFFSET('Smelter Look-up'!$E$4,$V685-4,0))</f>
        <v/>
      </c>
      <c r="G685" s="168" t="str">
        <f ca="1">IF(C685=$X$4,IF(ISERROR($V685),"Enter smelter details","RMI"),IF(ISERROR($V685),"",OFFSET('Smelter Look-up'!$F$4,$V685-4,0)))</f>
        <v/>
      </c>
      <c r="H685" s="171" t="str">
        <f ca="1">IF(ISERROR($V685),"",OFFSET('Smelter Look-up'!$G$4,$V685-4,0))</f>
        <v/>
      </c>
      <c r="I685" s="172" t="str">
        <f ca="1">IF(ISERROR($V685),"",OFFSET('Smelter Look-up'!$H$4,$V685-4,0))</f>
        <v/>
      </c>
      <c r="J685" s="172" t="str">
        <f ca="1">IF(ISERROR($V685),"",OFFSET('Smelter Look-up'!$I$4,$V685-4,0))</f>
        <v/>
      </c>
      <c r="K685" s="173"/>
      <c r="L685" s="173"/>
      <c r="M685" s="173"/>
      <c r="N685" s="173"/>
      <c r="O685" s="173"/>
      <c r="P685" s="174"/>
      <c r="Q685" s="175"/>
      <c r="R685" s="168" t="str">
        <f ca="1">IF(ISERROR($V685),"",OFFSET('Smelter Look-up'!$C$4,$V685-4,0)&amp;"")</f>
        <v/>
      </c>
      <c r="S685" s="167" t="str">
        <f t="shared" ca="1" si="84"/>
        <v/>
      </c>
      <c r="T685" s="167" t="str">
        <f ca="1">IF(B685="","",IF(ISERROR(MATCH($J685,SorP!$B$1:$B$6230,0)),"",INDIRECT("'SorP'!$A$"&amp;MATCH($J685,SorP!$B$1:$B$6230,0))))</f>
        <v/>
      </c>
      <c r="U685" s="176"/>
      <c r="V685" s="177" t="e">
        <f>IF(C685="",NA(),IF(OR(C685="Smelter not listed",C685="Smelter not yet identified"),MATCH($B685&amp;$D685,'Smelter Look-up'!$J:$J,0),MATCH($B685&amp;$C685,'Smelter Look-up'!$J:$J,0)))</f>
        <v>#N/A</v>
      </c>
      <c r="X685" s="140">
        <f t="shared" ca="1" si="85"/>
        <v>0</v>
      </c>
      <c r="AB685" s="178" t="str">
        <f t="shared" si="86"/>
        <v/>
      </c>
    </row>
    <row r="686" spans="1:28" s="140" customFormat="1" ht="20.25">
      <c r="A686" s="167"/>
      <c r="B686" s="168" t="str">
        <f>IF(LEN(A686)=0,"",INDEX('Smelter Look-up'!$A:$A,MATCH($A686,'Smelter Look-up'!$E:$E,0)))</f>
        <v/>
      </c>
      <c r="C686" s="169" t="str">
        <f>IF(LEN(A686)=0,"",INDEX('Smelter Look-up'!$C:$C,MATCH($A686,'Smelter Look-up'!$E:$E,0)))</f>
        <v/>
      </c>
      <c r="D686" s="170"/>
      <c r="E686" s="168" t="str">
        <f ca="1">IF(ISERROR($V686),"",OFFSET('Smelter Look-up'!$D$4,$V686-4,0)&amp;"")</f>
        <v/>
      </c>
      <c r="F686" s="168" t="str">
        <f ca="1">IF(ISERROR($V686),"",OFFSET('Smelter Look-up'!$E$4,$V686-4,0))</f>
        <v/>
      </c>
      <c r="G686" s="168" t="str">
        <f ca="1">IF(C686=$X$4,IF(ISERROR($V686),"Enter smelter details","RMI"),IF(ISERROR($V686),"",OFFSET('Smelter Look-up'!$F$4,$V686-4,0)))</f>
        <v/>
      </c>
      <c r="H686" s="171" t="str">
        <f ca="1">IF(ISERROR($V686),"",OFFSET('Smelter Look-up'!$G$4,$V686-4,0))</f>
        <v/>
      </c>
      <c r="I686" s="172" t="str">
        <f ca="1">IF(ISERROR($V686),"",OFFSET('Smelter Look-up'!$H$4,$V686-4,0))</f>
        <v/>
      </c>
      <c r="J686" s="172" t="str">
        <f ca="1">IF(ISERROR($V686),"",OFFSET('Smelter Look-up'!$I$4,$V686-4,0))</f>
        <v/>
      </c>
      <c r="K686" s="173"/>
      <c r="L686" s="173"/>
      <c r="M686" s="173"/>
      <c r="N686" s="173"/>
      <c r="O686" s="173"/>
      <c r="P686" s="174"/>
      <c r="Q686" s="175"/>
      <c r="R686" s="168" t="str">
        <f ca="1">IF(ISERROR($V686),"",OFFSET('Smelter Look-up'!$C$4,$V686-4,0)&amp;"")</f>
        <v/>
      </c>
      <c r="S686" s="167" t="str">
        <f t="shared" ca="1" si="84"/>
        <v/>
      </c>
      <c r="T686" s="167" t="str">
        <f ca="1">IF(B686="","",IF(ISERROR(MATCH($J686,SorP!$B$1:$B$6230,0)),"",INDIRECT("'SorP'!$A$"&amp;MATCH($J686,SorP!$B$1:$B$6230,0))))</f>
        <v/>
      </c>
      <c r="U686" s="176"/>
      <c r="V686" s="177" t="e">
        <f>IF(C686="",NA(),IF(OR(C686="Smelter not listed",C686="Smelter not yet identified"),MATCH($B686&amp;$D686,'Smelter Look-up'!$J:$J,0),MATCH($B686&amp;$C686,'Smelter Look-up'!$J:$J,0)))</f>
        <v>#N/A</v>
      </c>
      <c r="X686" s="140">
        <f t="shared" ca="1" si="85"/>
        <v>0</v>
      </c>
      <c r="AB686" s="178" t="str">
        <f t="shared" si="86"/>
        <v/>
      </c>
    </row>
    <row r="687" spans="1:28" s="140" customFormat="1" ht="20.25">
      <c r="A687" s="167"/>
      <c r="B687" s="168" t="str">
        <f>IF(LEN(A687)=0,"",INDEX('Smelter Look-up'!$A:$A,MATCH($A687,'Smelter Look-up'!$E:$E,0)))</f>
        <v/>
      </c>
      <c r="C687" s="169" t="str">
        <f>IF(LEN(A687)=0,"",INDEX('Smelter Look-up'!$C:$C,MATCH($A687,'Smelter Look-up'!$E:$E,0)))</f>
        <v/>
      </c>
      <c r="D687" s="170"/>
      <c r="E687" s="168" t="str">
        <f ca="1">IF(ISERROR($V687),"",OFFSET('Smelter Look-up'!$D$4,$V687-4,0)&amp;"")</f>
        <v/>
      </c>
      <c r="F687" s="168" t="str">
        <f ca="1">IF(ISERROR($V687),"",OFFSET('Smelter Look-up'!$E$4,$V687-4,0))</f>
        <v/>
      </c>
      <c r="G687" s="168" t="str">
        <f ca="1">IF(C687=$X$4,IF(ISERROR($V687),"Enter smelter details","RMI"),IF(ISERROR($V687),"",OFFSET('Smelter Look-up'!$F$4,$V687-4,0)))</f>
        <v/>
      </c>
      <c r="H687" s="171" t="str">
        <f ca="1">IF(ISERROR($V687),"",OFFSET('Smelter Look-up'!$G$4,$V687-4,0))</f>
        <v/>
      </c>
      <c r="I687" s="172" t="str">
        <f ca="1">IF(ISERROR($V687),"",OFFSET('Smelter Look-up'!$H$4,$V687-4,0))</f>
        <v/>
      </c>
      <c r="J687" s="172" t="str">
        <f ca="1">IF(ISERROR($V687),"",OFFSET('Smelter Look-up'!$I$4,$V687-4,0))</f>
        <v/>
      </c>
      <c r="K687" s="173"/>
      <c r="L687" s="173"/>
      <c r="M687" s="173"/>
      <c r="N687" s="173"/>
      <c r="O687" s="173"/>
      <c r="P687" s="174"/>
      <c r="Q687" s="175"/>
      <c r="R687" s="168" t="str">
        <f ca="1">IF(ISERROR($V687),"",OFFSET('Smelter Look-up'!$C$4,$V687-4,0)&amp;"")</f>
        <v/>
      </c>
      <c r="S687" s="167" t="str">
        <f t="shared" ca="1" si="84"/>
        <v/>
      </c>
      <c r="T687" s="167" t="str">
        <f ca="1">IF(B687="","",IF(ISERROR(MATCH($J687,SorP!$B$1:$B$6230,0)),"",INDIRECT("'SorP'!$A$"&amp;MATCH($J687,SorP!$B$1:$B$6230,0))))</f>
        <v/>
      </c>
      <c r="U687" s="176"/>
      <c r="V687" s="177" t="e">
        <f>IF(C687="",NA(),IF(OR(C687="Smelter not listed",C687="Smelter not yet identified"),MATCH($B687&amp;$D687,'Smelter Look-up'!$J:$J,0),MATCH($B687&amp;$C687,'Smelter Look-up'!$J:$J,0)))</f>
        <v>#N/A</v>
      </c>
      <c r="X687" s="140">
        <f t="shared" ca="1" si="85"/>
        <v>0</v>
      </c>
      <c r="AB687" s="178" t="str">
        <f t="shared" si="86"/>
        <v/>
      </c>
    </row>
    <row r="688" spans="1:28" s="140" customFormat="1" ht="20.25">
      <c r="A688" s="167"/>
      <c r="B688" s="168" t="str">
        <f>IF(LEN(A688)=0,"",INDEX('Smelter Look-up'!$A:$A,MATCH($A688,'Smelter Look-up'!$E:$E,0)))</f>
        <v/>
      </c>
      <c r="C688" s="169" t="str">
        <f>IF(LEN(A688)=0,"",INDEX('Smelter Look-up'!$C:$C,MATCH($A688,'Smelter Look-up'!$E:$E,0)))</f>
        <v/>
      </c>
      <c r="D688" s="170"/>
      <c r="E688" s="168" t="str">
        <f ca="1">IF(ISERROR($V688),"",OFFSET('Smelter Look-up'!$D$4,$V688-4,0)&amp;"")</f>
        <v/>
      </c>
      <c r="F688" s="168" t="str">
        <f ca="1">IF(ISERROR($V688),"",OFFSET('Smelter Look-up'!$E$4,$V688-4,0))</f>
        <v/>
      </c>
      <c r="G688" s="168" t="str">
        <f ca="1">IF(C688=$X$4,IF(ISERROR($V688),"Enter smelter details","RMI"),IF(ISERROR($V688),"",OFFSET('Smelter Look-up'!$F$4,$V688-4,0)))</f>
        <v/>
      </c>
      <c r="H688" s="171" t="str">
        <f ca="1">IF(ISERROR($V688),"",OFFSET('Smelter Look-up'!$G$4,$V688-4,0))</f>
        <v/>
      </c>
      <c r="I688" s="172" t="str">
        <f ca="1">IF(ISERROR($V688),"",OFFSET('Smelter Look-up'!$H$4,$V688-4,0))</f>
        <v/>
      </c>
      <c r="J688" s="172" t="str">
        <f ca="1">IF(ISERROR($V688),"",OFFSET('Smelter Look-up'!$I$4,$V688-4,0))</f>
        <v/>
      </c>
      <c r="K688" s="173"/>
      <c r="L688" s="173"/>
      <c r="M688" s="173"/>
      <c r="N688" s="173"/>
      <c r="O688" s="173"/>
      <c r="P688" s="174"/>
      <c r="Q688" s="175"/>
      <c r="R688" s="168" t="str">
        <f ca="1">IF(ISERROR($V688),"",OFFSET('Smelter Look-up'!$C$4,$V688-4,0)&amp;"")</f>
        <v/>
      </c>
      <c r="S688" s="167" t="str">
        <f t="shared" ca="1" si="84"/>
        <v/>
      </c>
      <c r="T688" s="167" t="str">
        <f ca="1">IF(B688="","",IF(ISERROR(MATCH($J688,SorP!$B$1:$B$6230,0)),"",INDIRECT("'SorP'!$A$"&amp;MATCH($J688,SorP!$B$1:$B$6230,0))))</f>
        <v/>
      </c>
      <c r="U688" s="176"/>
      <c r="V688" s="177" t="e">
        <f>IF(C688="",NA(),IF(OR(C688="Smelter not listed",C688="Smelter not yet identified"),MATCH($B688&amp;$D688,'Smelter Look-up'!$J:$J,0),MATCH($B688&amp;$C688,'Smelter Look-up'!$J:$J,0)))</f>
        <v>#N/A</v>
      </c>
      <c r="X688" s="140">
        <f t="shared" ca="1" si="85"/>
        <v>0</v>
      </c>
      <c r="AB688" s="178" t="str">
        <f t="shared" si="86"/>
        <v/>
      </c>
    </row>
    <row r="689" spans="1:28" s="140" customFormat="1" ht="20.25">
      <c r="A689" s="167"/>
      <c r="B689" s="168" t="str">
        <f>IF(LEN(A689)=0,"",INDEX('Smelter Look-up'!$A:$A,MATCH($A689,'Smelter Look-up'!$E:$E,0)))</f>
        <v/>
      </c>
      <c r="C689" s="169" t="str">
        <f>IF(LEN(A689)=0,"",INDEX('Smelter Look-up'!$C:$C,MATCH($A689,'Smelter Look-up'!$E:$E,0)))</f>
        <v/>
      </c>
      <c r="D689" s="170"/>
      <c r="E689" s="168" t="str">
        <f ca="1">IF(ISERROR($V689),"",OFFSET('Smelter Look-up'!$D$4,$V689-4,0)&amp;"")</f>
        <v/>
      </c>
      <c r="F689" s="168" t="str">
        <f ca="1">IF(ISERROR($V689),"",OFFSET('Smelter Look-up'!$E$4,$V689-4,0))</f>
        <v/>
      </c>
      <c r="G689" s="168" t="str">
        <f ca="1">IF(C689=$X$4,IF(ISERROR($V689),"Enter smelter details","RMI"),IF(ISERROR($V689),"",OFFSET('Smelter Look-up'!$F$4,$V689-4,0)))</f>
        <v/>
      </c>
      <c r="H689" s="171" t="str">
        <f ca="1">IF(ISERROR($V689),"",OFFSET('Smelter Look-up'!$G$4,$V689-4,0))</f>
        <v/>
      </c>
      <c r="I689" s="172" t="str">
        <f ca="1">IF(ISERROR($V689),"",OFFSET('Smelter Look-up'!$H$4,$V689-4,0))</f>
        <v/>
      </c>
      <c r="J689" s="172" t="str">
        <f ca="1">IF(ISERROR($V689),"",OFFSET('Smelter Look-up'!$I$4,$V689-4,0))</f>
        <v/>
      </c>
      <c r="K689" s="173"/>
      <c r="L689" s="173"/>
      <c r="M689" s="173"/>
      <c r="N689" s="173"/>
      <c r="O689" s="173"/>
      <c r="P689" s="174"/>
      <c r="Q689" s="175"/>
      <c r="R689" s="168" t="str">
        <f ca="1">IF(ISERROR($V689),"",OFFSET('Smelter Look-up'!$C$4,$V689-4,0)&amp;"")</f>
        <v/>
      </c>
      <c r="S689" s="167" t="str">
        <f t="shared" ca="1" si="84"/>
        <v/>
      </c>
      <c r="T689" s="167" t="str">
        <f ca="1">IF(B689="","",IF(ISERROR(MATCH($J689,SorP!$B$1:$B$6230,0)),"",INDIRECT("'SorP'!$A$"&amp;MATCH($J689,SorP!$B$1:$B$6230,0))))</f>
        <v/>
      </c>
      <c r="U689" s="176"/>
      <c r="V689" s="177" t="e">
        <f>IF(C689="",NA(),IF(OR(C689="Smelter not listed",C689="Smelter not yet identified"),MATCH($B689&amp;$D689,'Smelter Look-up'!$J:$J,0),MATCH($B689&amp;$C689,'Smelter Look-up'!$J:$J,0)))</f>
        <v>#N/A</v>
      </c>
      <c r="X689" s="140">
        <f t="shared" ca="1" si="85"/>
        <v>0</v>
      </c>
      <c r="AB689" s="178" t="str">
        <f t="shared" si="86"/>
        <v/>
      </c>
    </row>
    <row r="690" spans="1:28" s="140" customFormat="1" ht="20.25">
      <c r="A690" s="167"/>
      <c r="B690" s="168" t="str">
        <f>IF(LEN(A690)=0,"",INDEX('Smelter Look-up'!$A:$A,MATCH($A690,'Smelter Look-up'!$E:$E,0)))</f>
        <v/>
      </c>
      <c r="C690" s="169" t="str">
        <f>IF(LEN(A690)=0,"",INDEX('Smelter Look-up'!$C:$C,MATCH($A690,'Smelter Look-up'!$E:$E,0)))</f>
        <v/>
      </c>
      <c r="D690" s="170"/>
      <c r="E690" s="168" t="str">
        <f ca="1">IF(ISERROR($V690),"",OFFSET('Smelter Look-up'!$D$4,$V690-4,0)&amp;"")</f>
        <v/>
      </c>
      <c r="F690" s="168" t="str">
        <f ca="1">IF(ISERROR($V690),"",OFFSET('Smelter Look-up'!$E$4,$V690-4,0))</f>
        <v/>
      </c>
      <c r="G690" s="168" t="str">
        <f ca="1">IF(C690=$X$4,IF(ISERROR($V690),"Enter smelter details","RMI"),IF(ISERROR($V690),"",OFFSET('Smelter Look-up'!$F$4,$V690-4,0)))</f>
        <v/>
      </c>
      <c r="H690" s="171" t="str">
        <f ca="1">IF(ISERROR($V690),"",OFFSET('Smelter Look-up'!$G$4,$V690-4,0))</f>
        <v/>
      </c>
      <c r="I690" s="172" t="str">
        <f ca="1">IF(ISERROR($V690),"",OFFSET('Smelter Look-up'!$H$4,$V690-4,0))</f>
        <v/>
      </c>
      <c r="J690" s="172" t="str">
        <f ca="1">IF(ISERROR($V690),"",OFFSET('Smelter Look-up'!$I$4,$V690-4,0))</f>
        <v/>
      </c>
      <c r="K690" s="173"/>
      <c r="L690" s="173"/>
      <c r="M690" s="173"/>
      <c r="N690" s="173"/>
      <c r="O690" s="173"/>
      <c r="P690" s="174"/>
      <c r="Q690" s="175"/>
      <c r="R690" s="168" t="str">
        <f ca="1">IF(ISERROR($V690),"",OFFSET('Smelter Look-up'!$C$4,$V690-4,0)&amp;"")</f>
        <v/>
      </c>
      <c r="S690" s="167" t="str">
        <f t="shared" ca="1" si="84"/>
        <v/>
      </c>
      <c r="T690" s="167" t="str">
        <f ca="1">IF(B690="","",IF(ISERROR(MATCH($J690,SorP!$B$1:$B$6230,0)),"",INDIRECT("'SorP'!$A$"&amp;MATCH($J690,SorP!$B$1:$B$6230,0))))</f>
        <v/>
      </c>
      <c r="U690" s="176"/>
      <c r="V690" s="177" t="e">
        <f>IF(C690="",NA(),IF(OR(C690="Smelter not listed",C690="Smelter not yet identified"),MATCH($B690&amp;$D690,'Smelter Look-up'!$J:$J,0),MATCH($B690&amp;$C690,'Smelter Look-up'!$J:$J,0)))</f>
        <v>#N/A</v>
      </c>
      <c r="X690" s="140">
        <f t="shared" ca="1" si="85"/>
        <v>0</v>
      </c>
      <c r="AB690" s="178" t="str">
        <f t="shared" si="86"/>
        <v/>
      </c>
    </row>
    <row r="691" spans="1:28" s="140" customFormat="1" ht="20.25">
      <c r="A691" s="167"/>
      <c r="B691" s="168" t="str">
        <f>IF(LEN(A691)=0,"",INDEX('Smelter Look-up'!$A:$A,MATCH($A691,'Smelter Look-up'!$E:$E,0)))</f>
        <v/>
      </c>
      <c r="C691" s="169" t="str">
        <f>IF(LEN(A691)=0,"",INDEX('Smelter Look-up'!$C:$C,MATCH($A691,'Smelter Look-up'!$E:$E,0)))</f>
        <v/>
      </c>
      <c r="D691" s="170"/>
      <c r="E691" s="168" t="str">
        <f ca="1">IF(ISERROR($V691),"",OFFSET('Smelter Look-up'!$D$4,$V691-4,0)&amp;"")</f>
        <v/>
      </c>
      <c r="F691" s="168" t="str">
        <f ca="1">IF(ISERROR($V691),"",OFFSET('Smelter Look-up'!$E$4,$V691-4,0))</f>
        <v/>
      </c>
      <c r="G691" s="168" t="str">
        <f ca="1">IF(C691=$X$4,IF(ISERROR($V691),"Enter smelter details","RMI"),IF(ISERROR($V691),"",OFFSET('Smelter Look-up'!$F$4,$V691-4,0)))</f>
        <v/>
      </c>
      <c r="H691" s="171" t="str">
        <f ca="1">IF(ISERROR($V691),"",OFFSET('Smelter Look-up'!$G$4,$V691-4,0))</f>
        <v/>
      </c>
      <c r="I691" s="172" t="str">
        <f ca="1">IF(ISERROR($V691),"",OFFSET('Smelter Look-up'!$H$4,$V691-4,0))</f>
        <v/>
      </c>
      <c r="J691" s="172" t="str">
        <f ca="1">IF(ISERROR($V691),"",OFFSET('Smelter Look-up'!$I$4,$V691-4,0))</f>
        <v/>
      </c>
      <c r="K691" s="173"/>
      <c r="L691" s="173"/>
      <c r="M691" s="173"/>
      <c r="N691" s="173"/>
      <c r="O691" s="173"/>
      <c r="P691" s="174"/>
      <c r="Q691" s="175"/>
      <c r="R691" s="168" t="str">
        <f ca="1">IF(ISERROR($V691),"",OFFSET('Smelter Look-up'!$C$4,$V691-4,0)&amp;"")</f>
        <v/>
      </c>
      <c r="S691" s="167" t="str">
        <f t="shared" ca="1" si="84"/>
        <v/>
      </c>
      <c r="T691" s="167" t="str">
        <f ca="1">IF(B691="","",IF(ISERROR(MATCH($J691,SorP!$B$1:$B$6230,0)),"",INDIRECT("'SorP'!$A$"&amp;MATCH($J691,SorP!$B$1:$B$6230,0))))</f>
        <v/>
      </c>
      <c r="U691" s="176"/>
      <c r="V691" s="177" t="e">
        <f>IF(C691="",NA(),IF(OR(C691="Smelter not listed",C691="Smelter not yet identified"),MATCH($B691&amp;$D691,'Smelter Look-up'!$J:$J,0),MATCH($B691&amp;$C691,'Smelter Look-up'!$J:$J,0)))</f>
        <v>#N/A</v>
      </c>
      <c r="X691" s="140">
        <f t="shared" ca="1" si="85"/>
        <v>0</v>
      </c>
      <c r="AB691" s="178" t="str">
        <f t="shared" si="86"/>
        <v/>
      </c>
    </row>
    <row r="692" spans="1:28" s="140" customFormat="1" ht="20.25">
      <c r="A692" s="167"/>
      <c r="B692" s="168" t="str">
        <f>IF(LEN(A692)=0,"",INDEX('Smelter Look-up'!$A:$A,MATCH($A692,'Smelter Look-up'!$E:$E,0)))</f>
        <v/>
      </c>
      <c r="C692" s="169" t="str">
        <f>IF(LEN(A692)=0,"",INDEX('Smelter Look-up'!$C:$C,MATCH($A692,'Smelter Look-up'!$E:$E,0)))</f>
        <v/>
      </c>
      <c r="D692" s="170"/>
      <c r="E692" s="168" t="str">
        <f ca="1">IF(ISERROR($V692),"",OFFSET('Smelter Look-up'!$D$4,$V692-4,0)&amp;"")</f>
        <v/>
      </c>
      <c r="F692" s="168" t="str">
        <f ca="1">IF(ISERROR($V692),"",OFFSET('Smelter Look-up'!$E$4,$V692-4,0))</f>
        <v/>
      </c>
      <c r="G692" s="168" t="str">
        <f ca="1">IF(C692=$X$4,IF(ISERROR($V692),"Enter smelter details","RMI"),IF(ISERROR($V692),"",OFFSET('Smelter Look-up'!$F$4,$V692-4,0)))</f>
        <v/>
      </c>
      <c r="H692" s="171" t="str">
        <f ca="1">IF(ISERROR($V692),"",OFFSET('Smelter Look-up'!$G$4,$V692-4,0))</f>
        <v/>
      </c>
      <c r="I692" s="172" t="str">
        <f ca="1">IF(ISERROR($V692),"",OFFSET('Smelter Look-up'!$H$4,$V692-4,0))</f>
        <v/>
      </c>
      <c r="J692" s="172" t="str">
        <f ca="1">IF(ISERROR($V692),"",OFFSET('Smelter Look-up'!$I$4,$V692-4,0))</f>
        <v/>
      </c>
      <c r="K692" s="173"/>
      <c r="L692" s="173"/>
      <c r="M692" s="173"/>
      <c r="N692" s="173"/>
      <c r="O692" s="173"/>
      <c r="P692" s="174"/>
      <c r="Q692" s="175"/>
      <c r="R692" s="168" t="str">
        <f ca="1">IF(ISERROR($V692),"",OFFSET('Smelter Look-up'!$C$4,$V692-4,0)&amp;"")</f>
        <v/>
      </c>
      <c r="S692" s="167" t="str">
        <f t="shared" ca="1" si="84"/>
        <v/>
      </c>
      <c r="T692" s="167" t="str">
        <f ca="1">IF(B692="","",IF(ISERROR(MATCH($J692,SorP!$B$1:$B$6230,0)),"",INDIRECT("'SorP'!$A$"&amp;MATCH($J692,SorP!$B$1:$B$6230,0))))</f>
        <v/>
      </c>
      <c r="U692" s="176"/>
      <c r="V692" s="177" t="e">
        <f>IF(C692="",NA(),IF(OR(C692="Smelter not listed",C692="Smelter not yet identified"),MATCH($B692&amp;$D692,'Smelter Look-up'!$J:$J,0),MATCH($B692&amp;$C692,'Smelter Look-up'!$J:$J,0)))</f>
        <v>#N/A</v>
      </c>
      <c r="X692" s="140">
        <f t="shared" ca="1" si="85"/>
        <v>0</v>
      </c>
      <c r="AB692" s="178" t="str">
        <f t="shared" si="86"/>
        <v/>
      </c>
    </row>
    <row r="693" spans="1:28" s="140" customFormat="1" ht="20.25">
      <c r="A693" s="167"/>
      <c r="B693" s="168" t="str">
        <f>IF(LEN(A693)=0,"",INDEX('Smelter Look-up'!$A:$A,MATCH($A693,'Smelter Look-up'!$E:$E,0)))</f>
        <v/>
      </c>
      <c r="C693" s="169" t="str">
        <f>IF(LEN(A693)=0,"",INDEX('Smelter Look-up'!$C:$C,MATCH($A693,'Smelter Look-up'!$E:$E,0)))</f>
        <v/>
      </c>
      <c r="D693" s="170"/>
      <c r="E693" s="168" t="str">
        <f ca="1">IF(ISERROR($V693),"",OFFSET('Smelter Look-up'!$D$4,$V693-4,0)&amp;"")</f>
        <v/>
      </c>
      <c r="F693" s="168" t="str">
        <f ca="1">IF(ISERROR($V693),"",OFFSET('Smelter Look-up'!$E$4,$V693-4,0))</f>
        <v/>
      </c>
      <c r="G693" s="168" t="str">
        <f ca="1">IF(C693=$X$4,IF(ISERROR($V693),"Enter smelter details","RMI"),IF(ISERROR($V693),"",OFFSET('Smelter Look-up'!$F$4,$V693-4,0)))</f>
        <v/>
      </c>
      <c r="H693" s="171" t="str">
        <f ca="1">IF(ISERROR($V693),"",OFFSET('Smelter Look-up'!$G$4,$V693-4,0))</f>
        <v/>
      </c>
      <c r="I693" s="172" t="str">
        <f ca="1">IF(ISERROR($V693),"",OFFSET('Smelter Look-up'!$H$4,$V693-4,0))</f>
        <v/>
      </c>
      <c r="J693" s="172" t="str">
        <f ca="1">IF(ISERROR($V693),"",OFFSET('Smelter Look-up'!$I$4,$V693-4,0))</f>
        <v/>
      </c>
      <c r="K693" s="173"/>
      <c r="L693" s="173"/>
      <c r="M693" s="173"/>
      <c r="N693" s="173"/>
      <c r="O693" s="173"/>
      <c r="P693" s="174"/>
      <c r="Q693" s="175"/>
      <c r="R693" s="168" t="str">
        <f ca="1">IF(ISERROR($V693),"",OFFSET('Smelter Look-up'!$C$4,$V693-4,0)&amp;"")</f>
        <v/>
      </c>
      <c r="S693" s="167" t="str">
        <f t="shared" ca="1" si="84"/>
        <v/>
      </c>
      <c r="T693" s="167" t="str">
        <f ca="1">IF(B693="","",IF(ISERROR(MATCH($J693,SorP!$B$1:$B$6230,0)),"",INDIRECT("'SorP'!$A$"&amp;MATCH($J693,SorP!$B$1:$B$6230,0))))</f>
        <v/>
      </c>
      <c r="U693" s="176"/>
      <c r="V693" s="177" t="e">
        <f>IF(C693="",NA(),IF(OR(C693="Smelter not listed",C693="Smelter not yet identified"),MATCH($B693&amp;$D693,'Smelter Look-up'!$J:$J,0),MATCH($B693&amp;$C693,'Smelter Look-up'!$J:$J,0)))</f>
        <v>#N/A</v>
      </c>
      <c r="X693" s="140">
        <f t="shared" ca="1" si="85"/>
        <v>0</v>
      </c>
      <c r="AB693" s="178" t="str">
        <f t="shared" si="86"/>
        <v/>
      </c>
    </row>
    <row r="694" spans="1:28" s="140" customFormat="1" ht="20.25">
      <c r="A694" s="167"/>
      <c r="B694" s="168" t="str">
        <f>IF(LEN(A694)=0,"",INDEX('Smelter Look-up'!$A:$A,MATCH($A694,'Smelter Look-up'!$E:$E,0)))</f>
        <v/>
      </c>
      <c r="C694" s="169" t="str">
        <f>IF(LEN(A694)=0,"",INDEX('Smelter Look-up'!$C:$C,MATCH($A694,'Smelter Look-up'!$E:$E,0)))</f>
        <v/>
      </c>
      <c r="D694" s="170"/>
      <c r="E694" s="168" t="str">
        <f ca="1">IF(ISERROR($V694),"",OFFSET('Smelter Look-up'!$D$4,$V694-4,0)&amp;"")</f>
        <v/>
      </c>
      <c r="F694" s="168" t="str">
        <f ca="1">IF(ISERROR($V694),"",OFFSET('Smelter Look-up'!$E$4,$V694-4,0))</f>
        <v/>
      </c>
      <c r="G694" s="168" t="str">
        <f ca="1">IF(C694=$X$4,IF(ISERROR($V694),"Enter smelter details","RMI"),IF(ISERROR($V694),"",OFFSET('Smelter Look-up'!$F$4,$V694-4,0)))</f>
        <v/>
      </c>
      <c r="H694" s="171" t="str">
        <f ca="1">IF(ISERROR($V694),"",OFFSET('Smelter Look-up'!$G$4,$V694-4,0))</f>
        <v/>
      </c>
      <c r="I694" s="172" t="str">
        <f ca="1">IF(ISERROR($V694),"",OFFSET('Smelter Look-up'!$H$4,$V694-4,0))</f>
        <v/>
      </c>
      <c r="J694" s="172" t="str">
        <f ca="1">IF(ISERROR($V694),"",OFFSET('Smelter Look-up'!$I$4,$V694-4,0))</f>
        <v/>
      </c>
      <c r="K694" s="173"/>
      <c r="L694" s="173"/>
      <c r="M694" s="173"/>
      <c r="N694" s="173"/>
      <c r="O694" s="173"/>
      <c r="P694" s="174"/>
      <c r="Q694" s="175"/>
      <c r="R694" s="168" t="str">
        <f ca="1">IF(ISERROR($V694),"",OFFSET('Smelter Look-up'!$C$4,$V694-4,0)&amp;"")</f>
        <v/>
      </c>
      <c r="S694" s="167" t="str">
        <f t="shared" ca="1" si="84"/>
        <v/>
      </c>
      <c r="T694" s="167" t="str">
        <f ca="1">IF(B694="","",IF(ISERROR(MATCH($J694,SorP!$B$1:$B$6230,0)),"",INDIRECT("'SorP'!$A$"&amp;MATCH($J694,SorP!$B$1:$B$6230,0))))</f>
        <v/>
      </c>
      <c r="U694" s="176"/>
      <c r="V694" s="177" t="e">
        <f>IF(C694="",NA(),IF(OR(C694="Smelter not listed",C694="Smelter not yet identified"),MATCH($B694&amp;$D694,'Smelter Look-up'!$J:$J,0),MATCH($B694&amp;$C694,'Smelter Look-up'!$J:$J,0)))</f>
        <v>#N/A</v>
      </c>
      <c r="X694" s="140">
        <f t="shared" ca="1" si="85"/>
        <v>0</v>
      </c>
      <c r="AB694" s="178" t="str">
        <f t="shared" si="86"/>
        <v/>
      </c>
    </row>
    <row r="695" spans="1:28" s="140" customFormat="1" ht="20.25">
      <c r="A695" s="167"/>
      <c r="B695" s="168" t="str">
        <f>IF(LEN(A695)=0,"",INDEX('Smelter Look-up'!$A:$A,MATCH($A695,'Smelter Look-up'!$E:$E,0)))</f>
        <v/>
      </c>
      <c r="C695" s="169" t="str">
        <f>IF(LEN(A695)=0,"",INDEX('Smelter Look-up'!$C:$C,MATCH($A695,'Smelter Look-up'!$E:$E,0)))</f>
        <v/>
      </c>
      <c r="D695" s="170"/>
      <c r="E695" s="168" t="str">
        <f ca="1">IF(ISERROR($V695),"",OFFSET('Smelter Look-up'!$D$4,$V695-4,0)&amp;"")</f>
        <v/>
      </c>
      <c r="F695" s="168" t="str">
        <f ca="1">IF(ISERROR($V695),"",OFFSET('Smelter Look-up'!$E$4,$V695-4,0))</f>
        <v/>
      </c>
      <c r="G695" s="168" t="str">
        <f ca="1">IF(C695=$X$4,IF(ISERROR($V695),"Enter smelter details","RMI"),IF(ISERROR($V695),"",OFFSET('Smelter Look-up'!$F$4,$V695-4,0)))</f>
        <v/>
      </c>
      <c r="H695" s="171" t="str">
        <f ca="1">IF(ISERROR($V695),"",OFFSET('Smelter Look-up'!$G$4,$V695-4,0))</f>
        <v/>
      </c>
      <c r="I695" s="172" t="str">
        <f ca="1">IF(ISERROR($V695),"",OFFSET('Smelter Look-up'!$H$4,$V695-4,0))</f>
        <v/>
      </c>
      <c r="J695" s="172" t="str">
        <f ca="1">IF(ISERROR($V695),"",OFFSET('Smelter Look-up'!$I$4,$V695-4,0))</f>
        <v/>
      </c>
      <c r="K695" s="173"/>
      <c r="L695" s="173"/>
      <c r="M695" s="173"/>
      <c r="N695" s="173"/>
      <c r="O695" s="173"/>
      <c r="P695" s="174"/>
      <c r="Q695" s="175"/>
      <c r="R695" s="168" t="str">
        <f ca="1">IF(ISERROR($V695),"",OFFSET('Smelter Look-up'!$C$4,$V695-4,0)&amp;"")</f>
        <v/>
      </c>
      <c r="S695" s="167" t="str">
        <f t="shared" ca="1" si="84"/>
        <v/>
      </c>
      <c r="T695" s="167" t="str">
        <f ca="1">IF(B695="","",IF(ISERROR(MATCH($J695,SorP!$B$1:$B$6230,0)),"",INDIRECT("'SorP'!$A$"&amp;MATCH($J695,SorP!$B$1:$B$6230,0))))</f>
        <v/>
      </c>
      <c r="U695" s="176"/>
      <c r="V695" s="177" t="e">
        <f>IF(C695="",NA(),IF(OR(C695="Smelter not listed",C695="Smelter not yet identified"),MATCH($B695&amp;$D695,'Smelter Look-up'!$J:$J,0),MATCH($B695&amp;$C695,'Smelter Look-up'!$J:$J,0)))</f>
        <v>#N/A</v>
      </c>
      <c r="X695" s="140">
        <f t="shared" ca="1" si="85"/>
        <v>0</v>
      </c>
      <c r="AB695" s="178" t="str">
        <f t="shared" si="86"/>
        <v/>
      </c>
    </row>
    <row r="696" spans="1:28" s="140" customFormat="1" ht="20.25">
      <c r="A696" s="167"/>
      <c r="B696" s="168" t="str">
        <f>IF(LEN(A696)=0,"",INDEX('Smelter Look-up'!$A:$A,MATCH($A696,'Smelter Look-up'!$E:$E,0)))</f>
        <v/>
      </c>
      <c r="C696" s="169" t="str">
        <f>IF(LEN(A696)=0,"",INDEX('Smelter Look-up'!$C:$C,MATCH($A696,'Smelter Look-up'!$E:$E,0)))</f>
        <v/>
      </c>
      <c r="D696" s="170"/>
      <c r="E696" s="168" t="str">
        <f ca="1">IF(ISERROR($V696),"",OFFSET('Smelter Look-up'!$D$4,$V696-4,0)&amp;"")</f>
        <v/>
      </c>
      <c r="F696" s="168" t="str">
        <f ca="1">IF(ISERROR($V696),"",OFFSET('Smelter Look-up'!$E$4,$V696-4,0))</f>
        <v/>
      </c>
      <c r="G696" s="168" t="str">
        <f ca="1">IF(C696=$X$4,IF(ISERROR($V696),"Enter smelter details","RMI"),IF(ISERROR($V696),"",OFFSET('Smelter Look-up'!$F$4,$V696-4,0)))</f>
        <v/>
      </c>
      <c r="H696" s="171" t="str">
        <f ca="1">IF(ISERROR($V696),"",OFFSET('Smelter Look-up'!$G$4,$V696-4,0))</f>
        <v/>
      </c>
      <c r="I696" s="172" t="str">
        <f ca="1">IF(ISERROR($V696),"",OFFSET('Smelter Look-up'!$H$4,$V696-4,0))</f>
        <v/>
      </c>
      <c r="J696" s="172" t="str">
        <f ca="1">IF(ISERROR($V696),"",OFFSET('Smelter Look-up'!$I$4,$V696-4,0))</f>
        <v/>
      </c>
      <c r="K696" s="173"/>
      <c r="L696" s="173"/>
      <c r="M696" s="173"/>
      <c r="N696" s="173"/>
      <c r="O696" s="173"/>
      <c r="P696" s="174"/>
      <c r="Q696" s="175"/>
      <c r="R696" s="168" t="str">
        <f ca="1">IF(ISERROR($V696),"",OFFSET('Smelter Look-up'!$C$4,$V696-4,0)&amp;"")</f>
        <v/>
      </c>
      <c r="S696" s="167" t="str">
        <f t="shared" ca="1" si="84"/>
        <v/>
      </c>
      <c r="T696" s="167" t="str">
        <f ca="1">IF(B696="","",IF(ISERROR(MATCH($J696,SorP!$B$1:$B$6230,0)),"",INDIRECT("'SorP'!$A$"&amp;MATCH($J696,SorP!$B$1:$B$6230,0))))</f>
        <v/>
      </c>
      <c r="U696" s="176"/>
      <c r="V696" s="177" t="e">
        <f>IF(C696="",NA(),IF(OR(C696="Smelter not listed",C696="Smelter not yet identified"),MATCH($B696&amp;$D696,'Smelter Look-up'!$J:$J,0),MATCH($B696&amp;$C696,'Smelter Look-up'!$J:$J,0)))</f>
        <v>#N/A</v>
      </c>
      <c r="X696" s="140">
        <f t="shared" ca="1" si="85"/>
        <v>0</v>
      </c>
      <c r="AB696" s="178" t="str">
        <f t="shared" si="86"/>
        <v/>
      </c>
    </row>
    <row r="697" spans="1:28" s="140" customFormat="1" ht="20.25">
      <c r="A697" s="167"/>
      <c r="B697" s="168" t="str">
        <f>IF(LEN(A697)=0,"",INDEX('Smelter Look-up'!$A:$A,MATCH($A697,'Smelter Look-up'!$E:$E,0)))</f>
        <v/>
      </c>
      <c r="C697" s="169" t="str">
        <f>IF(LEN(A697)=0,"",INDEX('Smelter Look-up'!$C:$C,MATCH($A697,'Smelter Look-up'!$E:$E,0)))</f>
        <v/>
      </c>
      <c r="D697" s="170"/>
      <c r="E697" s="168" t="str">
        <f ca="1">IF(ISERROR($V697),"",OFFSET('Smelter Look-up'!$D$4,$V697-4,0)&amp;"")</f>
        <v/>
      </c>
      <c r="F697" s="168" t="str">
        <f ca="1">IF(ISERROR($V697),"",OFFSET('Smelter Look-up'!$E$4,$V697-4,0))</f>
        <v/>
      </c>
      <c r="G697" s="168" t="str">
        <f ca="1">IF(C697=$X$4,IF(ISERROR($V697),"Enter smelter details","RMI"),IF(ISERROR($V697),"",OFFSET('Smelter Look-up'!$F$4,$V697-4,0)))</f>
        <v/>
      </c>
      <c r="H697" s="171" t="str">
        <f ca="1">IF(ISERROR($V697),"",OFFSET('Smelter Look-up'!$G$4,$V697-4,0))</f>
        <v/>
      </c>
      <c r="I697" s="172" t="str">
        <f ca="1">IF(ISERROR($V697),"",OFFSET('Smelter Look-up'!$H$4,$V697-4,0))</f>
        <v/>
      </c>
      <c r="J697" s="172" t="str">
        <f ca="1">IF(ISERROR($V697),"",OFFSET('Smelter Look-up'!$I$4,$V697-4,0))</f>
        <v/>
      </c>
      <c r="K697" s="173"/>
      <c r="L697" s="173"/>
      <c r="M697" s="173"/>
      <c r="N697" s="173"/>
      <c r="O697" s="173"/>
      <c r="P697" s="174"/>
      <c r="Q697" s="175"/>
      <c r="R697" s="168" t="str">
        <f ca="1">IF(ISERROR($V697),"",OFFSET('Smelter Look-up'!$C$4,$V697-4,0)&amp;"")</f>
        <v/>
      </c>
      <c r="S697" s="167" t="str">
        <f t="shared" ca="1" si="84"/>
        <v/>
      </c>
      <c r="T697" s="167" t="str">
        <f ca="1">IF(B697="","",IF(ISERROR(MATCH($J697,SorP!$B$1:$B$6230,0)),"",INDIRECT("'SorP'!$A$"&amp;MATCH($J697,SorP!$B$1:$B$6230,0))))</f>
        <v/>
      </c>
      <c r="U697" s="176"/>
      <c r="V697" s="177" t="e">
        <f>IF(C697="",NA(),IF(OR(C697="Smelter not listed",C697="Smelter not yet identified"),MATCH($B697&amp;$D697,'Smelter Look-up'!$J:$J,0),MATCH($B697&amp;$C697,'Smelter Look-up'!$J:$J,0)))</f>
        <v>#N/A</v>
      </c>
      <c r="X697" s="140">
        <f t="shared" ca="1" si="85"/>
        <v>0</v>
      </c>
      <c r="AB697" s="178" t="str">
        <f t="shared" si="86"/>
        <v/>
      </c>
    </row>
    <row r="698" spans="1:28" s="140" customFormat="1" ht="20.25">
      <c r="A698" s="167"/>
      <c r="B698" s="168" t="str">
        <f>IF(LEN(A698)=0,"",INDEX('Smelter Look-up'!$A:$A,MATCH($A698,'Smelter Look-up'!$E:$E,0)))</f>
        <v/>
      </c>
      <c r="C698" s="169" t="str">
        <f>IF(LEN(A698)=0,"",INDEX('Smelter Look-up'!$C:$C,MATCH($A698,'Smelter Look-up'!$E:$E,0)))</f>
        <v/>
      </c>
      <c r="D698" s="170"/>
      <c r="E698" s="168" t="str">
        <f ca="1">IF(ISERROR($V698),"",OFFSET('Smelter Look-up'!$D$4,$V698-4,0)&amp;"")</f>
        <v/>
      </c>
      <c r="F698" s="168" t="str">
        <f ca="1">IF(ISERROR($V698),"",OFFSET('Smelter Look-up'!$E$4,$V698-4,0))</f>
        <v/>
      </c>
      <c r="G698" s="168" t="str">
        <f ca="1">IF(C698=$X$4,IF(ISERROR($V698),"Enter smelter details","RMI"),IF(ISERROR($V698),"",OFFSET('Smelter Look-up'!$F$4,$V698-4,0)))</f>
        <v/>
      </c>
      <c r="H698" s="171" t="str">
        <f ca="1">IF(ISERROR($V698),"",OFFSET('Smelter Look-up'!$G$4,$V698-4,0))</f>
        <v/>
      </c>
      <c r="I698" s="172" t="str">
        <f ca="1">IF(ISERROR($V698),"",OFFSET('Smelter Look-up'!$H$4,$V698-4,0))</f>
        <v/>
      </c>
      <c r="J698" s="172" t="str">
        <f ca="1">IF(ISERROR($V698),"",OFFSET('Smelter Look-up'!$I$4,$V698-4,0))</f>
        <v/>
      </c>
      <c r="K698" s="173"/>
      <c r="L698" s="173"/>
      <c r="M698" s="173"/>
      <c r="N698" s="173"/>
      <c r="O698" s="173"/>
      <c r="P698" s="174"/>
      <c r="Q698" s="175"/>
      <c r="R698" s="168" t="str">
        <f ca="1">IF(ISERROR($V698),"",OFFSET('Smelter Look-up'!$C$4,$V698-4,0)&amp;"")</f>
        <v/>
      </c>
      <c r="S698" s="167" t="str">
        <f t="shared" ca="1" si="84"/>
        <v/>
      </c>
      <c r="T698" s="167" t="str">
        <f ca="1">IF(B698="","",IF(ISERROR(MATCH($J698,SorP!$B$1:$B$6230,0)),"",INDIRECT("'SorP'!$A$"&amp;MATCH($J698,SorP!$B$1:$B$6230,0))))</f>
        <v/>
      </c>
      <c r="U698" s="176"/>
      <c r="V698" s="177" t="e">
        <f>IF(C698="",NA(),IF(OR(C698="Smelter not listed",C698="Smelter not yet identified"),MATCH($B698&amp;$D698,'Smelter Look-up'!$J:$J,0),MATCH($B698&amp;$C698,'Smelter Look-up'!$J:$J,0)))</f>
        <v>#N/A</v>
      </c>
      <c r="X698" s="140">
        <f t="shared" ca="1" si="85"/>
        <v>0</v>
      </c>
      <c r="AB698" s="178" t="str">
        <f t="shared" si="86"/>
        <v/>
      </c>
    </row>
    <row r="699" spans="1:28" s="140" customFormat="1" ht="20.25">
      <c r="A699" s="167"/>
      <c r="B699" s="168" t="str">
        <f>IF(LEN(A699)=0,"",INDEX('Smelter Look-up'!$A:$A,MATCH($A699,'Smelter Look-up'!$E:$E,0)))</f>
        <v/>
      </c>
      <c r="C699" s="169" t="str">
        <f>IF(LEN(A699)=0,"",INDEX('Smelter Look-up'!$C:$C,MATCH($A699,'Smelter Look-up'!$E:$E,0)))</f>
        <v/>
      </c>
      <c r="D699" s="170"/>
      <c r="E699" s="168" t="str">
        <f ca="1">IF(ISERROR($V699),"",OFFSET('Smelter Look-up'!$D$4,$V699-4,0)&amp;"")</f>
        <v/>
      </c>
      <c r="F699" s="168" t="str">
        <f ca="1">IF(ISERROR($V699),"",OFFSET('Smelter Look-up'!$E$4,$V699-4,0))</f>
        <v/>
      </c>
      <c r="G699" s="168" t="str">
        <f ca="1">IF(C699=$X$4,IF(ISERROR($V699),"Enter smelter details","RMI"),IF(ISERROR($V699),"",OFFSET('Smelter Look-up'!$F$4,$V699-4,0)))</f>
        <v/>
      </c>
      <c r="H699" s="171" t="str">
        <f ca="1">IF(ISERROR($V699),"",OFFSET('Smelter Look-up'!$G$4,$V699-4,0))</f>
        <v/>
      </c>
      <c r="I699" s="172" t="str">
        <f ca="1">IF(ISERROR($V699),"",OFFSET('Smelter Look-up'!$H$4,$V699-4,0))</f>
        <v/>
      </c>
      <c r="J699" s="172" t="str">
        <f ca="1">IF(ISERROR($V699),"",OFFSET('Smelter Look-up'!$I$4,$V699-4,0))</f>
        <v/>
      </c>
      <c r="K699" s="173"/>
      <c r="L699" s="173"/>
      <c r="M699" s="173"/>
      <c r="N699" s="173"/>
      <c r="O699" s="173"/>
      <c r="P699" s="174"/>
      <c r="Q699" s="175"/>
      <c r="R699" s="168" t="str">
        <f ca="1">IF(ISERROR($V699),"",OFFSET('Smelter Look-up'!$C$4,$V699-4,0)&amp;"")</f>
        <v/>
      </c>
      <c r="S699" s="167" t="str">
        <f t="shared" ca="1" si="84"/>
        <v/>
      </c>
      <c r="T699" s="167" t="str">
        <f ca="1">IF(B699="","",IF(ISERROR(MATCH($J699,SorP!$B$1:$B$6230,0)),"",INDIRECT("'SorP'!$A$"&amp;MATCH($J699,SorP!$B$1:$B$6230,0))))</f>
        <v/>
      </c>
      <c r="U699" s="176"/>
      <c r="V699" s="177" t="e">
        <f>IF(C699="",NA(),IF(OR(C699="Smelter not listed",C699="Smelter not yet identified"),MATCH($B699&amp;$D699,'Smelter Look-up'!$J:$J,0),MATCH($B699&amp;$C699,'Smelter Look-up'!$J:$J,0)))</f>
        <v>#N/A</v>
      </c>
      <c r="X699" s="140">
        <f t="shared" ca="1" si="85"/>
        <v>0</v>
      </c>
      <c r="AB699" s="178" t="str">
        <f t="shared" si="86"/>
        <v/>
      </c>
    </row>
    <row r="700" spans="1:28" s="140" customFormat="1" ht="20.25">
      <c r="A700" s="167"/>
      <c r="B700" s="168" t="str">
        <f>IF(LEN(A700)=0,"",INDEX('Smelter Look-up'!$A:$A,MATCH($A700,'Smelter Look-up'!$E:$E,0)))</f>
        <v/>
      </c>
      <c r="C700" s="169" t="str">
        <f>IF(LEN(A700)=0,"",INDEX('Smelter Look-up'!$C:$C,MATCH($A700,'Smelter Look-up'!$E:$E,0)))</f>
        <v/>
      </c>
      <c r="D700" s="170"/>
      <c r="E700" s="168" t="str">
        <f ca="1">IF(ISERROR($V700),"",OFFSET('Smelter Look-up'!$D$4,$V700-4,0)&amp;"")</f>
        <v/>
      </c>
      <c r="F700" s="168" t="str">
        <f ca="1">IF(ISERROR($V700),"",OFFSET('Smelter Look-up'!$E$4,$V700-4,0))</f>
        <v/>
      </c>
      <c r="G700" s="168" t="str">
        <f ca="1">IF(C700=$X$4,IF(ISERROR($V700),"Enter smelter details","RMI"),IF(ISERROR($V700),"",OFFSET('Smelter Look-up'!$F$4,$V700-4,0)))</f>
        <v/>
      </c>
      <c r="H700" s="171" t="str">
        <f ca="1">IF(ISERROR($V700),"",OFFSET('Smelter Look-up'!$G$4,$V700-4,0))</f>
        <v/>
      </c>
      <c r="I700" s="172" t="str">
        <f ca="1">IF(ISERROR($V700),"",OFFSET('Smelter Look-up'!$H$4,$V700-4,0))</f>
        <v/>
      </c>
      <c r="J700" s="172" t="str">
        <f ca="1">IF(ISERROR($V700),"",OFFSET('Smelter Look-up'!$I$4,$V700-4,0))</f>
        <v/>
      </c>
      <c r="K700" s="173"/>
      <c r="L700" s="173"/>
      <c r="M700" s="173"/>
      <c r="N700" s="173"/>
      <c r="O700" s="173"/>
      <c r="P700" s="174"/>
      <c r="Q700" s="175"/>
      <c r="R700" s="168" t="str">
        <f ca="1">IF(ISERROR($V700),"",OFFSET('Smelter Look-up'!$C$4,$V700-4,0)&amp;"")</f>
        <v/>
      </c>
      <c r="S700" s="167" t="str">
        <f t="shared" ca="1" si="84"/>
        <v/>
      </c>
      <c r="T700" s="167" t="str">
        <f ca="1">IF(B700="","",IF(ISERROR(MATCH($J700,SorP!$B$1:$B$6230,0)),"",INDIRECT("'SorP'!$A$"&amp;MATCH($J700,SorP!$B$1:$B$6230,0))))</f>
        <v/>
      </c>
      <c r="U700" s="176"/>
      <c r="V700" s="177" t="e">
        <f>IF(C700="",NA(),IF(OR(C700="Smelter not listed",C700="Smelter not yet identified"),MATCH($B700&amp;$D700,'Smelter Look-up'!$J:$J,0),MATCH($B700&amp;$C700,'Smelter Look-up'!$J:$J,0)))</f>
        <v>#N/A</v>
      </c>
      <c r="X700" s="140">
        <f t="shared" ca="1" si="85"/>
        <v>0</v>
      </c>
      <c r="AB700" s="178" t="str">
        <f t="shared" si="86"/>
        <v/>
      </c>
    </row>
    <row r="701" spans="1:28" s="140" customFormat="1" ht="20.25">
      <c r="A701" s="167"/>
      <c r="B701" s="168" t="str">
        <f>IF(LEN(A701)=0,"",INDEX('Smelter Look-up'!$A:$A,MATCH($A701,'Smelter Look-up'!$E:$E,0)))</f>
        <v/>
      </c>
      <c r="C701" s="169" t="str">
        <f>IF(LEN(A701)=0,"",INDEX('Smelter Look-up'!$C:$C,MATCH($A701,'Smelter Look-up'!$E:$E,0)))</f>
        <v/>
      </c>
      <c r="D701" s="170"/>
      <c r="E701" s="168" t="str">
        <f ca="1">IF(ISERROR($V701),"",OFFSET('Smelter Look-up'!$D$4,$V701-4,0)&amp;"")</f>
        <v/>
      </c>
      <c r="F701" s="168" t="str">
        <f ca="1">IF(ISERROR($V701),"",OFFSET('Smelter Look-up'!$E$4,$V701-4,0))</f>
        <v/>
      </c>
      <c r="G701" s="168" t="str">
        <f ca="1">IF(C701=$X$4,IF(ISERROR($V701),"Enter smelter details","RMI"),IF(ISERROR($V701),"",OFFSET('Smelter Look-up'!$F$4,$V701-4,0)))</f>
        <v/>
      </c>
      <c r="H701" s="171" t="str">
        <f ca="1">IF(ISERROR($V701),"",OFFSET('Smelter Look-up'!$G$4,$V701-4,0))</f>
        <v/>
      </c>
      <c r="I701" s="172" t="str">
        <f ca="1">IF(ISERROR($V701),"",OFFSET('Smelter Look-up'!$H$4,$V701-4,0))</f>
        <v/>
      </c>
      <c r="J701" s="172" t="str">
        <f ca="1">IF(ISERROR($V701),"",OFFSET('Smelter Look-up'!$I$4,$V701-4,0))</f>
        <v/>
      </c>
      <c r="K701" s="173"/>
      <c r="L701" s="173"/>
      <c r="M701" s="173"/>
      <c r="N701" s="173"/>
      <c r="O701" s="173"/>
      <c r="P701" s="174"/>
      <c r="Q701" s="175"/>
      <c r="R701" s="168" t="str">
        <f ca="1">IF(ISERROR($V701),"",OFFSET('Smelter Look-up'!$C$4,$V701-4,0)&amp;"")</f>
        <v/>
      </c>
      <c r="S701" s="167" t="str">
        <f t="shared" ca="1" si="84"/>
        <v/>
      </c>
      <c r="T701" s="167" t="str">
        <f ca="1">IF(B701="","",IF(ISERROR(MATCH($J701,SorP!$B$1:$B$6230,0)),"",INDIRECT("'SorP'!$A$"&amp;MATCH($J701,SorP!$B$1:$B$6230,0))))</f>
        <v/>
      </c>
      <c r="U701" s="176"/>
      <c r="V701" s="177" t="e">
        <f>IF(C701="",NA(),IF(OR(C701="Smelter not listed",C701="Smelter not yet identified"),MATCH($B701&amp;$D701,'Smelter Look-up'!$J:$J,0),MATCH($B701&amp;$C701,'Smelter Look-up'!$J:$J,0)))</f>
        <v>#N/A</v>
      </c>
      <c r="X701" s="140">
        <f t="shared" ca="1" si="85"/>
        <v>0</v>
      </c>
      <c r="AB701" s="178" t="str">
        <f t="shared" si="86"/>
        <v/>
      </c>
    </row>
    <row r="702" spans="1:28" s="140" customFormat="1" ht="20.25">
      <c r="A702" s="167"/>
      <c r="B702" s="168" t="str">
        <f>IF(LEN(A702)=0,"",INDEX('Smelter Look-up'!$A:$A,MATCH($A702,'Smelter Look-up'!$E:$E,0)))</f>
        <v/>
      </c>
      <c r="C702" s="169" t="str">
        <f>IF(LEN(A702)=0,"",INDEX('Smelter Look-up'!$C:$C,MATCH($A702,'Smelter Look-up'!$E:$E,0)))</f>
        <v/>
      </c>
      <c r="D702" s="170"/>
      <c r="E702" s="168" t="str">
        <f ca="1">IF(ISERROR($V702),"",OFFSET('Smelter Look-up'!$D$4,$V702-4,0)&amp;"")</f>
        <v/>
      </c>
      <c r="F702" s="168" t="str">
        <f ca="1">IF(ISERROR($V702),"",OFFSET('Smelter Look-up'!$E$4,$V702-4,0))</f>
        <v/>
      </c>
      <c r="G702" s="168" t="str">
        <f ca="1">IF(C702=$X$4,IF(ISERROR($V702),"Enter smelter details","RMI"),IF(ISERROR($V702),"",OFFSET('Smelter Look-up'!$F$4,$V702-4,0)))</f>
        <v/>
      </c>
      <c r="H702" s="171" t="str">
        <f ca="1">IF(ISERROR($V702),"",OFFSET('Smelter Look-up'!$G$4,$V702-4,0))</f>
        <v/>
      </c>
      <c r="I702" s="172" t="str">
        <f ca="1">IF(ISERROR($V702),"",OFFSET('Smelter Look-up'!$H$4,$V702-4,0))</f>
        <v/>
      </c>
      <c r="J702" s="172" t="str">
        <f ca="1">IF(ISERROR($V702),"",OFFSET('Smelter Look-up'!$I$4,$V702-4,0))</f>
        <v/>
      </c>
      <c r="K702" s="173"/>
      <c r="L702" s="173"/>
      <c r="M702" s="173"/>
      <c r="N702" s="173"/>
      <c r="O702" s="173"/>
      <c r="P702" s="174"/>
      <c r="Q702" s="175"/>
      <c r="R702" s="168" t="str">
        <f ca="1">IF(ISERROR($V702),"",OFFSET('Smelter Look-up'!$C$4,$V702-4,0)&amp;"")</f>
        <v/>
      </c>
      <c r="S702" s="167" t="str">
        <f t="shared" ca="1" si="84"/>
        <v/>
      </c>
      <c r="T702" s="167" t="str">
        <f ca="1">IF(B702="","",IF(ISERROR(MATCH($J702,SorP!$B$1:$B$6230,0)),"",INDIRECT("'SorP'!$A$"&amp;MATCH($J702,SorP!$B$1:$B$6230,0))))</f>
        <v/>
      </c>
      <c r="U702" s="176"/>
      <c r="V702" s="177" t="e">
        <f>IF(C702="",NA(),IF(OR(C702="Smelter not listed",C702="Smelter not yet identified"),MATCH($B702&amp;$D702,'Smelter Look-up'!$J:$J,0),MATCH($B702&amp;$C702,'Smelter Look-up'!$J:$J,0)))</f>
        <v>#N/A</v>
      </c>
      <c r="X702" s="140">
        <f t="shared" ca="1" si="85"/>
        <v>0</v>
      </c>
      <c r="AB702" s="178" t="str">
        <f t="shared" si="86"/>
        <v/>
      </c>
    </row>
    <row r="703" spans="1:28" s="140" customFormat="1" ht="20.25">
      <c r="A703" s="167"/>
      <c r="B703" s="168" t="str">
        <f>IF(LEN(A703)=0,"",INDEX('Smelter Look-up'!$A:$A,MATCH($A703,'Smelter Look-up'!$E:$E,0)))</f>
        <v/>
      </c>
      <c r="C703" s="169" t="str">
        <f>IF(LEN(A703)=0,"",INDEX('Smelter Look-up'!$C:$C,MATCH($A703,'Smelter Look-up'!$E:$E,0)))</f>
        <v/>
      </c>
      <c r="D703" s="170"/>
      <c r="E703" s="168" t="str">
        <f ca="1">IF(ISERROR($V703),"",OFFSET('Smelter Look-up'!$D$4,$V703-4,0)&amp;"")</f>
        <v/>
      </c>
      <c r="F703" s="168" t="str">
        <f ca="1">IF(ISERROR($V703),"",OFFSET('Smelter Look-up'!$E$4,$V703-4,0))</f>
        <v/>
      </c>
      <c r="G703" s="168" t="str">
        <f ca="1">IF(C703=$X$4,IF(ISERROR($V703),"Enter smelter details","RMI"),IF(ISERROR($V703),"",OFFSET('Smelter Look-up'!$F$4,$V703-4,0)))</f>
        <v/>
      </c>
      <c r="H703" s="171" t="str">
        <f ca="1">IF(ISERROR($V703),"",OFFSET('Smelter Look-up'!$G$4,$V703-4,0))</f>
        <v/>
      </c>
      <c r="I703" s="172" t="str">
        <f ca="1">IF(ISERROR($V703),"",OFFSET('Smelter Look-up'!$H$4,$V703-4,0))</f>
        <v/>
      </c>
      <c r="J703" s="172" t="str">
        <f ca="1">IF(ISERROR($V703),"",OFFSET('Smelter Look-up'!$I$4,$V703-4,0))</f>
        <v/>
      </c>
      <c r="K703" s="173"/>
      <c r="L703" s="173"/>
      <c r="M703" s="173"/>
      <c r="N703" s="173"/>
      <c r="O703" s="173"/>
      <c r="P703" s="174"/>
      <c r="Q703" s="175"/>
      <c r="R703" s="168" t="str">
        <f ca="1">IF(ISERROR($V703),"",OFFSET('Smelter Look-up'!$C$4,$V703-4,0)&amp;"")</f>
        <v/>
      </c>
      <c r="S703" s="167" t="str">
        <f t="shared" ca="1" si="84"/>
        <v/>
      </c>
      <c r="T703" s="167" t="str">
        <f ca="1">IF(B703="","",IF(ISERROR(MATCH($J703,SorP!$B$1:$B$6230,0)),"",INDIRECT("'SorP'!$A$"&amp;MATCH($J703,SorP!$B$1:$B$6230,0))))</f>
        <v/>
      </c>
      <c r="U703" s="176"/>
      <c r="V703" s="177" t="e">
        <f>IF(C703="",NA(),IF(OR(C703="Smelter not listed",C703="Smelter not yet identified"),MATCH($B703&amp;$D703,'Smelter Look-up'!$J:$J,0),MATCH($B703&amp;$C703,'Smelter Look-up'!$J:$J,0)))</f>
        <v>#N/A</v>
      </c>
      <c r="X703" s="140">
        <f t="shared" ca="1" si="85"/>
        <v>0</v>
      </c>
      <c r="AB703" s="178" t="str">
        <f t="shared" si="86"/>
        <v/>
      </c>
    </row>
    <row r="704" spans="1:28" s="140" customFormat="1" ht="20.25">
      <c r="A704" s="167"/>
      <c r="B704" s="168" t="str">
        <f>IF(LEN(A704)=0,"",INDEX('Smelter Look-up'!$A:$A,MATCH($A704,'Smelter Look-up'!$E:$E,0)))</f>
        <v/>
      </c>
      <c r="C704" s="169" t="str">
        <f>IF(LEN(A704)=0,"",INDEX('Smelter Look-up'!$C:$C,MATCH($A704,'Smelter Look-up'!$E:$E,0)))</f>
        <v/>
      </c>
      <c r="D704" s="170"/>
      <c r="E704" s="168" t="str">
        <f ca="1">IF(ISERROR($V704),"",OFFSET('Smelter Look-up'!$D$4,$V704-4,0)&amp;"")</f>
        <v/>
      </c>
      <c r="F704" s="168" t="str">
        <f ca="1">IF(ISERROR($V704),"",OFFSET('Smelter Look-up'!$E$4,$V704-4,0))</f>
        <v/>
      </c>
      <c r="G704" s="168" t="str">
        <f ca="1">IF(C704=$X$4,IF(ISERROR($V704),"Enter smelter details","RMI"),IF(ISERROR($V704),"",OFFSET('Smelter Look-up'!$F$4,$V704-4,0)))</f>
        <v/>
      </c>
      <c r="H704" s="171" t="str">
        <f ca="1">IF(ISERROR($V704),"",OFFSET('Smelter Look-up'!$G$4,$V704-4,0))</f>
        <v/>
      </c>
      <c r="I704" s="172" t="str">
        <f ca="1">IF(ISERROR($V704),"",OFFSET('Smelter Look-up'!$H$4,$V704-4,0))</f>
        <v/>
      </c>
      <c r="J704" s="172" t="str">
        <f ca="1">IF(ISERROR($V704),"",OFFSET('Smelter Look-up'!$I$4,$V704-4,0))</f>
        <v/>
      </c>
      <c r="K704" s="173"/>
      <c r="L704" s="173"/>
      <c r="M704" s="173"/>
      <c r="N704" s="173"/>
      <c r="O704" s="173"/>
      <c r="P704" s="174"/>
      <c r="Q704" s="175"/>
      <c r="R704" s="168" t="str">
        <f ca="1">IF(ISERROR($V704),"",OFFSET('Smelter Look-up'!$C$4,$V704-4,0)&amp;"")</f>
        <v/>
      </c>
      <c r="S704" s="167" t="str">
        <f t="shared" ca="1" si="84"/>
        <v/>
      </c>
      <c r="T704" s="167" t="str">
        <f ca="1">IF(B704="","",IF(ISERROR(MATCH($J704,SorP!$B$1:$B$6230,0)),"",INDIRECT("'SorP'!$A$"&amp;MATCH($J704,SorP!$B$1:$B$6230,0))))</f>
        <v/>
      </c>
      <c r="U704" s="176"/>
      <c r="V704" s="177" t="e">
        <f>IF(C704="",NA(),IF(OR(C704="Smelter not listed",C704="Smelter not yet identified"),MATCH($B704&amp;$D704,'Smelter Look-up'!$J:$J,0),MATCH($B704&amp;$C704,'Smelter Look-up'!$J:$J,0)))</f>
        <v>#N/A</v>
      </c>
      <c r="X704" s="140">
        <f t="shared" ca="1" si="85"/>
        <v>0</v>
      </c>
      <c r="AB704" s="178" t="str">
        <f t="shared" si="86"/>
        <v/>
      </c>
    </row>
    <row r="705" spans="1:28" s="140" customFormat="1" ht="20.25">
      <c r="A705" s="167"/>
      <c r="B705" s="168" t="str">
        <f>IF(LEN(A705)=0,"",INDEX('Smelter Look-up'!$A:$A,MATCH($A705,'Smelter Look-up'!$E:$E,0)))</f>
        <v/>
      </c>
      <c r="C705" s="169" t="str">
        <f>IF(LEN(A705)=0,"",INDEX('Smelter Look-up'!$C:$C,MATCH($A705,'Smelter Look-up'!$E:$E,0)))</f>
        <v/>
      </c>
      <c r="D705" s="170"/>
      <c r="E705" s="168" t="str">
        <f ca="1">IF(ISERROR($V705),"",OFFSET('Smelter Look-up'!$D$4,$V705-4,0)&amp;"")</f>
        <v/>
      </c>
      <c r="F705" s="168" t="str">
        <f ca="1">IF(ISERROR($V705),"",OFFSET('Smelter Look-up'!$E$4,$V705-4,0))</f>
        <v/>
      </c>
      <c r="G705" s="168" t="str">
        <f ca="1">IF(C705=$X$4,IF(ISERROR($V705),"Enter smelter details","RMI"),IF(ISERROR($V705),"",OFFSET('Smelter Look-up'!$F$4,$V705-4,0)))</f>
        <v/>
      </c>
      <c r="H705" s="171" t="str">
        <f ca="1">IF(ISERROR($V705),"",OFFSET('Smelter Look-up'!$G$4,$V705-4,0))</f>
        <v/>
      </c>
      <c r="I705" s="172" t="str">
        <f ca="1">IF(ISERROR($V705),"",OFFSET('Smelter Look-up'!$H$4,$V705-4,0))</f>
        <v/>
      </c>
      <c r="J705" s="172" t="str">
        <f ca="1">IF(ISERROR($V705),"",OFFSET('Smelter Look-up'!$I$4,$V705-4,0))</f>
        <v/>
      </c>
      <c r="K705" s="173"/>
      <c r="L705" s="173"/>
      <c r="M705" s="173"/>
      <c r="N705" s="173"/>
      <c r="O705" s="173"/>
      <c r="P705" s="174"/>
      <c r="Q705" s="175"/>
      <c r="R705" s="168" t="str">
        <f ca="1">IF(ISERROR($V705),"",OFFSET('Smelter Look-up'!$C$4,$V705-4,0)&amp;"")</f>
        <v/>
      </c>
      <c r="S705" s="167" t="str">
        <f t="shared" ca="1" si="84"/>
        <v/>
      </c>
      <c r="T705" s="167" t="str">
        <f ca="1">IF(B705="","",IF(ISERROR(MATCH($J705,SorP!$B$1:$B$6230,0)),"",INDIRECT("'SorP'!$A$"&amp;MATCH($J705,SorP!$B$1:$B$6230,0))))</f>
        <v/>
      </c>
      <c r="U705" s="176"/>
      <c r="V705" s="177" t="e">
        <f>IF(C705="",NA(),IF(OR(C705="Smelter not listed",C705="Smelter not yet identified"),MATCH($B705&amp;$D705,'Smelter Look-up'!$J:$J,0),MATCH($B705&amp;$C705,'Smelter Look-up'!$J:$J,0)))</f>
        <v>#N/A</v>
      </c>
      <c r="X705" s="140">
        <f t="shared" ca="1" si="85"/>
        <v>0</v>
      </c>
      <c r="AB705" s="178" t="str">
        <f t="shared" si="86"/>
        <v/>
      </c>
    </row>
    <row r="706" spans="1:28" s="140" customFormat="1" ht="20.25">
      <c r="A706" s="167"/>
      <c r="B706" s="168" t="str">
        <f>IF(LEN(A706)=0,"",INDEX('Smelter Look-up'!$A:$A,MATCH($A706,'Smelter Look-up'!$E:$E,0)))</f>
        <v/>
      </c>
      <c r="C706" s="169" t="str">
        <f>IF(LEN(A706)=0,"",INDEX('Smelter Look-up'!$C:$C,MATCH($A706,'Smelter Look-up'!$E:$E,0)))</f>
        <v/>
      </c>
      <c r="D706" s="170"/>
      <c r="E706" s="168" t="str">
        <f ca="1">IF(ISERROR($V706),"",OFFSET('Smelter Look-up'!$D$4,$V706-4,0)&amp;"")</f>
        <v/>
      </c>
      <c r="F706" s="168" t="str">
        <f ca="1">IF(ISERROR($V706),"",OFFSET('Smelter Look-up'!$E$4,$V706-4,0))</f>
        <v/>
      </c>
      <c r="G706" s="168" t="str">
        <f ca="1">IF(C706=$X$4,IF(ISERROR($V706),"Enter smelter details","RMI"),IF(ISERROR($V706),"",OFFSET('Smelter Look-up'!$F$4,$V706-4,0)))</f>
        <v/>
      </c>
      <c r="H706" s="171" t="str">
        <f ca="1">IF(ISERROR($V706),"",OFFSET('Smelter Look-up'!$G$4,$V706-4,0))</f>
        <v/>
      </c>
      <c r="I706" s="172" t="str">
        <f ca="1">IF(ISERROR($V706),"",OFFSET('Smelter Look-up'!$H$4,$V706-4,0))</f>
        <v/>
      </c>
      <c r="J706" s="172" t="str">
        <f ca="1">IF(ISERROR($V706),"",OFFSET('Smelter Look-up'!$I$4,$V706-4,0))</f>
        <v/>
      </c>
      <c r="K706" s="173"/>
      <c r="L706" s="173"/>
      <c r="M706" s="173"/>
      <c r="N706" s="173"/>
      <c r="O706" s="173"/>
      <c r="P706" s="174"/>
      <c r="Q706" s="175"/>
      <c r="R706" s="168" t="str">
        <f ca="1">IF(ISERROR($V706),"",OFFSET('Smelter Look-up'!$C$4,$V706-4,0)&amp;"")</f>
        <v/>
      </c>
      <c r="S706" s="167" t="str">
        <f t="shared" ca="1" si="84"/>
        <v/>
      </c>
      <c r="T706" s="167" t="str">
        <f ca="1">IF(B706="","",IF(ISERROR(MATCH($J706,SorP!$B$1:$B$6230,0)),"",INDIRECT("'SorP'!$A$"&amp;MATCH($J706,SorP!$B$1:$B$6230,0))))</f>
        <v/>
      </c>
      <c r="U706" s="176"/>
      <c r="V706" s="177" t="e">
        <f>IF(C706="",NA(),IF(OR(C706="Smelter not listed",C706="Smelter not yet identified"),MATCH($B706&amp;$D706,'Smelter Look-up'!$J:$J,0),MATCH($B706&amp;$C706,'Smelter Look-up'!$J:$J,0)))</f>
        <v>#N/A</v>
      </c>
      <c r="X706" s="140">
        <f t="shared" ca="1" si="85"/>
        <v>0</v>
      </c>
      <c r="AB706" s="178" t="str">
        <f t="shared" si="86"/>
        <v/>
      </c>
    </row>
    <row r="707" spans="1:28" s="140" customFormat="1" ht="20.25">
      <c r="A707" s="167"/>
      <c r="B707" s="168" t="str">
        <f>IF(LEN(A707)=0,"",INDEX('Smelter Look-up'!$A:$A,MATCH($A707,'Smelter Look-up'!$E:$E,0)))</f>
        <v/>
      </c>
      <c r="C707" s="169" t="str">
        <f>IF(LEN(A707)=0,"",INDEX('Smelter Look-up'!$C:$C,MATCH($A707,'Smelter Look-up'!$E:$E,0)))</f>
        <v/>
      </c>
      <c r="D707" s="170"/>
      <c r="E707" s="168" t="str">
        <f ca="1">IF(ISERROR($V707),"",OFFSET('Smelter Look-up'!$D$4,$V707-4,0)&amp;"")</f>
        <v/>
      </c>
      <c r="F707" s="168" t="str">
        <f ca="1">IF(ISERROR($V707),"",OFFSET('Smelter Look-up'!$E$4,$V707-4,0))</f>
        <v/>
      </c>
      <c r="G707" s="168" t="str">
        <f ca="1">IF(C707=$X$4,IF(ISERROR($V707),"Enter smelter details","RMI"),IF(ISERROR($V707),"",OFFSET('Smelter Look-up'!$F$4,$V707-4,0)))</f>
        <v/>
      </c>
      <c r="H707" s="171" t="str">
        <f ca="1">IF(ISERROR($V707),"",OFFSET('Smelter Look-up'!$G$4,$V707-4,0))</f>
        <v/>
      </c>
      <c r="I707" s="172" t="str">
        <f ca="1">IF(ISERROR($V707),"",OFFSET('Smelter Look-up'!$H$4,$V707-4,0))</f>
        <v/>
      </c>
      <c r="J707" s="172" t="str">
        <f ca="1">IF(ISERROR($V707),"",OFFSET('Smelter Look-up'!$I$4,$V707-4,0))</f>
        <v/>
      </c>
      <c r="K707" s="173"/>
      <c r="L707" s="173"/>
      <c r="M707" s="173"/>
      <c r="N707" s="173"/>
      <c r="O707" s="173"/>
      <c r="P707" s="174"/>
      <c r="Q707" s="175"/>
      <c r="R707" s="168" t="str">
        <f ca="1">IF(ISERROR($V707),"",OFFSET('Smelter Look-up'!$C$4,$V707-4,0)&amp;"")</f>
        <v/>
      </c>
      <c r="S707" s="167" t="str">
        <f t="shared" ca="1" si="84"/>
        <v/>
      </c>
      <c r="T707" s="167" t="str">
        <f ca="1">IF(B707="","",IF(ISERROR(MATCH($J707,SorP!$B$1:$B$6230,0)),"",INDIRECT("'SorP'!$A$"&amp;MATCH($J707,SorP!$B$1:$B$6230,0))))</f>
        <v/>
      </c>
      <c r="U707" s="176"/>
      <c r="V707" s="177" t="e">
        <f>IF(C707="",NA(),IF(OR(C707="Smelter not listed",C707="Smelter not yet identified"),MATCH($B707&amp;$D707,'Smelter Look-up'!$J:$J,0),MATCH($B707&amp;$C707,'Smelter Look-up'!$J:$J,0)))</f>
        <v>#N/A</v>
      </c>
      <c r="X707" s="140">
        <f t="shared" ca="1" si="85"/>
        <v>0</v>
      </c>
      <c r="AB707" s="178" t="str">
        <f t="shared" si="86"/>
        <v/>
      </c>
    </row>
    <row r="708" spans="1:28" s="140" customFormat="1" ht="20.25">
      <c r="A708" s="167"/>
      <c r="B708" s="168" t="str">
        <f>IF(LEN(A708)=0,"",INDEX('Smelter Look-up'!$A:$A,MATCH($A708,'Smelter Look-up'!$E:$E,0)))</f>
        <v/>
      </c>
      <c r="C708" s="169" t="str">
        <f>IF(LEN(A708)=0,"",INDEX('Smelter Look-up'!$C:$C,MATCH($A708,'Smelter Look-up'!$E:$E,0)))</f>
        <v/>
      </c>
      <c r="D708" s="170"/>
      <c r="E708" s="168" t="str">
        <f ca="1">IF(ISERROR($V708),"",OFFSET('Smelter Look-up'!$D$4,$V708-4,0)&amp;"")</f>
        <v/>
      </c>
      <c r="F708" s="168" t="str">
        <f ca="1">IF(ISERROR($V708),"",OFFSET('Smelter Look-up'!$E$4,$V708-4,0))</f>
        <v/>
      </c>
      <c r="G708" s="168" t="str">
        <f ca="1">IF(C708=$X$4,IF(ISERROR($V708),"Enter smelter details","RMI"),IF(ISERROR($V708),"",OFFSET('Smelter Look-up'!$F$4,$V708-4,0)))</f>
        <v/>
      </c>
      <c r="H708" s="171" t="str">
        <f ca="1">IF(ISERROR($V708),"",OFFSET('Smelter Look-up'!$G$4,$V708-4,0))</f>
        <v/>
      </c>
      <c r="I708" s="172" t="str">
        <f ca="1">IF(ISERROR($V708),"",OFFSET('Smelter Look-up'!$H$4,$V708-4,0))</f>
        <v/>
      </c>
      <c r="J708" s="172" t="str">
        <f ca="1">IF(ISERROR($V708),"",OFFSET('Smelter Look-up'!$I$4,$V708-4,0))</f>
        <v/>
      </c>
      <c r="K708" s="173"/>
      <c r="L708" s="173"/>
      <c r="M708" s="173"/>
      <c r="N708" s="173"/>
      <c r="O708" s="173"/>
      <c r="P708" s="174"/>
      <c r="Q708" s="175"/>
      <c r="R708" s="168" t="str">
        <f ca="1">IF(ISERROR($V708),"",OFFSET('Smelter Look-up'!$C$4,$V708-4,0)&amp;"")</f>
        <v/>
      </c>
      <c r="S708" s="167" t="str">
        <f t="shared" ca="1" si="84"/>
        <v/>
      </c>
      <c r="T708" s="167" t="str">
        <f ca="1">IF(B708="","",IF(ISERROR(MATCH($J708,SorP!$B$1:$B$6230,0)),"",INDIRECT("'SorP'!$A$"&amp;MATCH($J708,SorP!$B$1:$B$6230,0))))</f>
        <v/>
      </c>
      <c r="U708" s="176"/>
      <c r="V708" s="177" t="e">
        <f>IF(C708="",NA(),IF(OR(C708="Smelter not listed",C708="Smelter not yet identified"),MATCH($B708&amp;$D708,'Smelter Look-up'!$J:$J,0),MATCH($B708&amp;$C708,'Smelter Look-up'!$J:$J,0)))</f>
        <v>#N/A</v>
      </c>
      <c r="X708" s="140">
        <f t="shared" ca="1" si="85"/>
        <v>0</v>
      </c>
      <c r="AB708" s="178" t="str">
        <f t="shared" si="86"/>
        <v/>
      </c>
    </row>
    <row r="709" spans="1:28" s="140" customFormat="1" ht="20.25">
      <c r="A709" s="167"/>
      <c r="B709" s="168" t="str">
        <f>IF(LEN(A709)=0,"",INDEX('Smelter Look-up'!$A:$A,MATCH($A709,'Smelter Look-up'!$E:$E,0)))</f>
        <v/>
      </c>
      <c r="C709" s="169" t="str">
        <f>IF(LEN(A709)=0,"",INDEX('Smelter Look-up'!$C:$C,MATCH($A709,'Smelter Look-up'!$E:$E,0)))</f>
        <v/>
      </c>
      <c r="D709" s="170"/>
      <c r="E709" s="168" t="str">
        <f ca="1">IF(ISERROR($V709),"",OFFSET('Smelter Look-up'!$D$4,$V709-4,0)&amp;"")</f>
        <v/>
      </c>
      <c r="F709" s="168" t="str">
        <f ca="1">IF(ISERROR($V709),"",OFFSET('Smelter Look-up'!$E$4,$V709-4,0))</f>
        <v/>
      </c>
      <c r="G709" s="168" t="str">
        <f ca="1">IF(C709=$X$4,IF(ISERROR($V709),"Enter smelter details","RMI"),IF(ISERROR($V709),"",OFFSET('Smelter Look-up'!$F$4,$V709-4,0)))</f>
        <v/>
      </c>
      <c r="H709" s="171" t="str">
        <f ca="1">IF(ISERROR($V709),"",OFFSET('Smelter Look-up'!$G$4,$V709-4,0))</f>
        <v/>
      </c>
      <c r="I709" s="172" t="str">
        <f ca="1">IF(ISERROR($V709),"",OFFSET('Smelter Look-up'!$H$4,$V709-4,0))</f>
        <v/>
      </c>
      <c r="J709" s="172" t="str">
        <f ca="1">IF(ISERROR($V709),"",OFFSET('Smelter Look-up'!$I$4,$V709-4,0))</f>
        <v/>
      </c>
      <c r="K709" s="173"/>
      <c r="L709" s="173"/>
      <c r="M709" s="173"/>
      <c r="N709" s="173"/>
      <c r="O709" s="173"/>
      <c r="P709" s="174"/>
      <c r="Q709" s="175"/>
      <c r="R709" s="168" t="str">
        <f ca="1">IF(ISERROR($V709),"",OFFSET('Smelter Look-up'!$C$4,$V709-4,0)&amp;"")</f>
        <v/>
      </c>
      <c r="S709" s="167" t="str">
        <f t="shared" ca="1" si="84"/>
        <v/>
      </c>
      <c r="T709" s="167" t="str">
        <f ca="1">IF(B709="","",IF(ISERROR(MATCH($J709,SorP!$B$1:$B$6230,0)),"",INDIRECT("'SorP'!$A$"&amp;MATCH($J709,SorP!$B$1:$B$6230,0))))</f>
        <v/>
      </c>
      <c r="U709" s="176"/>
      <c r="V709" s="177" t="e">
        <f>IF(C709="",NA(),IF(OR(C709="Smelter not listed",C709="Smelter not yet identified"),MATCH($B709&amp;$D709,'Smelter Look-up'!$J:$J,0),MATCH($B709&amp;$C709,'Smelter Look-up'!$J:$J,0)))</f>
        <v>#N/A</v>
      </c>
      <c r="X709" s="140">
        <f t="shared" ca="1" si="85"/>
        <v>0</v>
      </c>
      <c r="AB709" s="178" t="str">
        <f t="shared" si="86"/>
        <v/>
      </c>
    </row>
    <row r="710" spans="1:28" s="140" customFormat="1" ht="20.25">
      <c r="A710" s="167"/>
      <c r="B710" s="168" t="str">
        <f>IF(LEN(A710)=0,"",INDEX('Smelter Look-up'!$A:$A,MATCH($A710,'Smelter Look-up'!$E:$E,0)))</f>
        <v/>
      </c>
      <c r="C710" s="169" t="str">
        <f>IF(LEN(A710)=0,"",INDEX('Smelter Look-up'!$C:$C,MATCH($A710,'Smelter Look-up'!$E:$E,0)))</f>
        <v/>
      </c>
      <c r="D710" s="170"/>
      <c r="E710" s="168" t="str">
        <f ca="1">IF(ISERROR($V710),"",OFFSET('Smelter Look-up'!$D$4,$V710-4,0)&amp;"")</f>
        <v/>
      </c>
      <c r="F710" s="168" t="str">
        <f ca="1">IF(ISERROR($V710),"",OFFSET('Smelter Look-up'!$E$4,$V710-4,0))</f>
        <v/>
      </c>
      <c r="G710" s="168" t="str">
        <f ca="1">IF(C710=$X$4,IF(ISERROR($V710),"Enter smelter details","RMI"),IF(ISERROR($V710),"",OFFSET('Smelter Look-up'!$F$4,$V710-4,0)))</f>
        <v/>
      </c>
      <c r="H710" s="171" t="str">
        <f ca="1">IF(ISERROR($V710),"",OFFSET('Smelter Look-up'!$G$4,$V710-4,0))</f>
        <v/>
      </c>
      <c r="I710" s="172" t="str">
        <f ca="1">IF(ISERROR($V710),"",OFFSET('Smelter Look-up'!$H$4,$V710-4,0))</f>
        <v/>
      </c>
      <c r="J710" s="172" t="str">
        <f ca="1">IF(ISERROR($V710),"",OFFSET('Smelter Look-up'!$I$4,$V710-4,0))</f>
        <v/>
      </c>
      <c r="K710" s="173"/>
      <c r="L710" s="173"/>
      <c r="M710" s="173"/>
      <c r="N710" s="173"/>
      <c r="O710" s="173"/>
      <c r="P710" s="174"/>
      <c r="Q710" s="175"/>
      <c r="R710" s="168" t="str">
        <f ca="1">IF(ISERROR($V710),"",OFFSET('Smelter Look-up'!$C$4,$V710-4,0)&amp;"")</f>
        <v/>
      </c>
      <c r="S710" s="167" t="str">
        <f t="shared" ca="1" si="84"/>
        <v/>
      </c>
      <c r="T710" s="167" t="str">
        <f ca="1">IF(B710="","",IF(ISERROR(MATCH($J710,SorP!$B$1:$B$6230,0)),"",INDIRECT("'SorP'!$A$"&amp;MATCH($J710,SorP!$B$1:$B$6230,0))))</f>
        <v/>
      </c>
      <c r="U710" s="176"/>
      <c r="V710" s="177" t="e">
        <f>IF(C710="",NA(),IF(OR(C710="Smelter not listed",C710="Smelter not yet identified"),MATCH($B710&amp;$D710,'Smelter Look-up'!$J:$J,0),MATCH($B710&amp;$C710,'Smelter Look-up'!$J:$J,0)))</f>
        <v>#N/A</v>
      </c>
      <c r="X710" s="140">
        <f t="shared" ca="1" si="85"/>
        <v>0</v>
      </c>
      <c r="AB710" s="178" t="str">
        <f t="shared" si="86"/>
        <v/>
      </c>
    </row>
    <row r="711" spans="1:28" s="140" customFormat="1" ht="20.25">
      <c r="A711" s="167"/>
      <c r="B711" s="168" t="str">
        <f>IF(LEN(A711)=0,"",INDEX('Smelter Look-up'!$A:$A,MATCH($A711,'Smelter Look-up'!$E:$E,0)))</f>
        <v/>
      </c>
      <c r="C711" s="169" t="str">
        <f>IF(LEN(A711)=0,"",INDEX('Smelter Look-up'!$C:$C,MATCH($A711,'Smelter Look-up'!$E:$E,0)))</f>
        <v/>
      </c>
      <c r="D711" s="170"/>
      <c r="E711" s="168" t="str">
        <f ca="1">IF(ISERROR($V711),"",OFFSET('Smelter Look-up'!$D$4,$V711-4,0)&amp;"")</f>
        <v/>
      </c>
      <c r="F711" s="168" t="str">
        <f ca="1">IF(ISERROR($V711),"",OFFSET('Smelter Look-up'!$E$4,$V711-4,0))</f>
        <v/>
      </c>
      <c r="G711" s="168" t="str">
        <f ca="1">IF(C711=$X$4,IF(ISERROR($V711),"Enter smelter details","RMI"),IF(ISERROR($V711),"",OFFSET('Smelter Look-up'!$F$4,$V711-4,0)))</f>
        <v/>
      </c>
      <c r="H711" s="171" t="str">
        <f ca="1">IF(ISERROR($V711),"",OFFSET('Smelter Look-up'!$G$4,$V711-4,0))</f>
        <v/>
      </c>
      <c r="I711" s="172" t="str">
        <f ca="1">IF(ISERROR($V711),"",OFFSET('Smelter Look-up'!$H$4,$V711-4,0))</f>
        <v/>
      </c>
      <c r="J711" s="172" t="str">
        <f ca="1">IF(ISERROR($V711),"",OFFSET('Smelter Look-up'!$I$4,$V711-4,0))</f>
        <v/>
      </c>
      <c r="K711" s="173"/>
      <c r="L711" s="173"/>
      <c r="M711" s="173"/>
      <c r="N711" s="173"/>
      <c r="O711" s="173"/>
      <c r="P711" s="174"/>
      <c r="Q711" s="175"/>
      <c r="R711" s="168" t="str">
        <f ca="1">IF(ISERROR($V711),"",OFFSET('Smelter Look-up'!$C$4,$V711-4,0)&amp;"")</f>
        <v/>
      </c>
      <c r="S711" s="167" t="str">
        <f t="shared" ca="1" si="84"/>
        <v/>
      </c>
      <c r="T711" s="167" t="str">
        <f ca="1">IF(B711="","",IF(ISERROR(MATCH($J711,SorP!$B$1:$B$6230,0)),"",INDIRECT("'SorP'!$A$"&amp;MATCH($J711,SorP!$B$1:$B$6230,0))))</f>
        <v/>
      </c>
      <c r="U711" s="176"/>
      <c r="V711" s="177" t="e">
        <f>IF(C711="",NA(),IF(OR(C711="Smelter not listed",C711="Smelter not yet identified"),MATCH($B711&amp;$D711,'Smelter Look-up'!$J:$J,0),MATCH($B711&amp;$C711,'Smelter Look-up'!$J:$J,0)))</f>
        <v>#N/A</v>
      </c>
      <c r="X711" s="140">
        <f t="shared" ca="1" si="85"/>
        <v>0</v>
      </c>
      <c r="AB711" s="178" t="str">
        <f t="shared" si="86"/>
        <v/>
      </c>
    </row>
    <row r="712" spans="1:28" s="140" customFormat="1" ht="20.25">
      <c r="A712" s="167"/>
      <c r="B712" s="168" t="str">
        <f>IF(LEN(A712)=0,"",INDEX('Smelter Look-up'!$A:$A,MATCH($A712,'Smelter Look-up'!$E:$E,0)))</f>
        <v/>
      </c>
      <c r="C712" s="169" t="str">
        <f>IF(LEN(A712)=0,"",INDEX('Smelter Look-up'!$C:$C,MATCH($A712,'Smelter Look-up'!$E:$E,0)))</f>
        <v/>
      </c>
      <c r="D712" s="170"/>
      <c r="E712" s="168" t="str">
        <f ca="1">IF(ISERROR($V712),"",OFFSET('Smelter Look-up'!$D$4,$V712-4,0)&amp;"")</f>
        <v/>
      </c>
      <c r="F712" s="168" t="str">
        <f ca="1">IF(ISERROR($V712),"",OFFSET('Smelter Look-up'!$E$4,$V712-4,0))</f>
        <v/>
      </c>
      <c r="G712" s="168" t="str">
        <f ca="1">IF(C712=$X$4,IF(ISERROR($V712),"Enter smelter details","RMI"),IF(ISERROR($V712),"",OFFSET('Smelter Look-up'!$F$4,$V712-4,0)))</f>
        <v/>
      </c>
      <c r="H712" s="171" t="str">
        <f ca="1">IF(ISERROR($V712),"",OFFSET('Smelter Look-up'!$G$4,$V712-4,0))</f>
        <v/>
      </c>
      <c r="I712" s="172" t="str">
        <f ca="1">IF(ISERROR($V712),"",OFFSET('Smelter Look-up'!$H$4,$V712-4,0))</f>
        <v/>
      </c>
      <c r="J712" s="172" t="str">
        <f ca="1">IF(ISERROR($V712),"",OFFSET('Smelter Look-up'!$I$4,$V712-4,0))</f>
        <v/>
      </c>
      <c r="K712" s="173"/>
      <c r="L712" s="173"/>
      <c r="M712" s="173"/>
      <c r="N712" s="173"/>
      <c r="O712" s="173"/>
      <c r="P712" s="174"/>
      <c r="Q712" s="175"/>
      <c r="R712" s="168" t="str">
        <f ca="1">IF(ISERROR($V712),"",OFFSET('Smelter Look-up'!$C$4,$V712-4,0)&amp;"")</f>
        <v/>
      </c>
      <c r="S712" s="167" t="str">
        <f t="shared" ca="1" si="84"/>
        <v/>
      </c>
      <c r="T712" s="167" t="str">
        <f ca="1">IF(B712="","",IF(ISERROR(MATCH($J712,SorP!$B$1:$B$6230,0)),"",INDIRECT("'SorP'!$A$"&amp;MATCH($J712,SorP!$B$1:$B$6230,0))))</f>
        <v/>
      </c>
      <c r="U712" s="176"/>
      <c r="V712" s="177" t="e">
        <f>IF(C712="",NA(),IF(OR(C712="Smelter not listed",C712="Smelter not yet identified"),MATCH($B712&amp;$D712,'Smelter Look-up'!$J:$J,0),MATCH($B712&amp;$C712,'Smelter Look-up'!$J:$J,0)))</f>
        <v>#N/A</v>
      </c>
      <c r="X712" s="140">
        <f t="shared" ca="1" si="85"/>
        <v>0</v>
      </c>
      <c r="AB712" s="178" t="str">
        <f t="shared" si="86"/>
        <v/>
      </c>
    </row>
    <row r="713" spans="1:28" s="140" customFormat="1" ht="20.25">
      <c r="A713" s="167"/>
      <c r="B713" s="168" t="str">
        <f>IF(LEN(A713)=0,"",INDEX('Smelter Look-up'!$A:$A,MATCH($A713,'Smelter Look-up'!$E:$E,0)))</f>
        <v/>
      </c>
      <c r="C713" s="169" t="str">
        <f>IF(LEN(A713)=0,"",INDEX('Smelter Look-up'!$C:$C,MATCH($A713,'Smelter Look-up'!$E:$E,0)))</f>
        <v/>
      </c>
      <c r="D713" s="170"/>
      <c r="E713" s="168" t="str">
        <f ca="1">IF(ISERROR($V713),"",OFFSET('Smelter Look-up'!$D$4,$V713-4,0)&amp;"")</f>
        <v/>
      </c>
      <c r="F713" s="168" t="str">
        <f ca="1">IF(ISERROR($V713),"",OFFSET('Smelter Look-up'!$E$4,$V713-4,0))</f>
        <v/>
      </c>
      <c r="G713" s="168" t="str">
        <f ca="1">IF(C713=$X$4,IF(ISERROR($V713),"Enter smelter details","RMI"),IF(ISERROR($V713),"",OFFSET('Smelter Look-up'!$F$4,$V713-4,0)))</f>
        <v/>
      </c>
      <c r="H713" s="171" t="str">
        <f ca="1">IF(ISERROR($V713),"",OFFSET('Smelter Look-up'!$G$4,$V713-4,0))</f>
        <v/>
      </c>
      <c r="I713" s="172" t="str">
        <f ca="1">IF(ISERROR($V713),"",OFFSET('Smelter Look-up'!$H$4,$V713-4,0))</f>
        <v/>
      </c>
      <c r="J713" s="172" t="str">
        <f ca="1">IF(ISERROR($V713),"",OFFSET('Smelter Look-up'!$I$4,$V713-4,0))</f>
        <v/>
      </c>
      <c r="K713" s="173"/>
      <c r="L713" s="173"/>
      <c r="M713" s="173"/>
      <c r="N713" s="173"/>
      <c r="O713" s="173"/>
      <c r="P713" s="174"/>
      <c r="Q713" s="175"/>
      <c r="R713" s="168" t="str">
        <f ca="1">IF(ISERROR($V713),"",OFFSET('Smelter Look-up'!$C$4,$V713-4,0)&amp;"")</f>
        <v/>
      </c>
      <c r="S713" s="167" t="str">
        <f t="shared" ca="1" si="84"/>
        <v/>
      </c>
      <c r="T713" s="167" t="str">
        <f ca="1">IF(B713="","",IF(ISERROR(MATCH($J713,SorP!$B$1:$B$6230,0)),"",INDIRECT("'SorP'!$A$"&amp;MATCH($J713,SorP!$B$1:$B$6230,0))))</f>
        <v/>
      </c>
      <c r="U713" s="176"/>
      <c r="V713" s="177" t="e">
        <f>IF(C713="",NA(),IF(OR(C713="Smelter not listed",C713="Smelter not yet identified"),MATCH($B713&amp;$D713,'Smelter Look-up'!$J:$J,0),MATCH($B713&amp;$C713,'Smelter Look-up'!$J:$J,0)))</f>
        <v>#N/A</v>
      </c>
      <c r="X713" s="140">
        <f t="shared" ca="1" si="85"/>
        <v>0</v>
      </c>
      <c r="AB713" s="178" t="str">
        <f t="shared" si="86"/>
        <v/>
      </c>
    </row>
    <row r="714" spans="1:28" s="140" customFormat="1" ht="20.25">
      <c r="A714" s="167"/>
      <c r="B714" s="168" t="str">
        <f>IF(LEN(A714)=0,"",INDEX('Smelter Look-up'!$A:$A,MATCH($A714,'Smelter Look-up'!$E:$E,0)))</f>
        <v/>
      </c>
      <c r="C714" s="169" t="str">
        <f>IF(LEN(A714)=0,"",INDEX('Smelter Look-up'!$C:$C,MATCH($A714,'Smelter Look-up'!$E:$E,0)))</f>
        <v/>
      </c>
      <c r="D714" s="170"/>
      <c r="E714" s="168" t="str">
        <f ca="1">IF(ISERROR($V714),"",OFFSET('Smelter Look-up'!$D$4,$V714-4,0)&amp;"")</f>
        <v/>
      </c>
      <c r="F714" s="168" t="str">
        <f ca="1">IF(ISERROR($V714),"",OFFSET('Smelter Look-up'!$E$4,$V714-4,0))</f>
        <v/>
      </c>
      <c r="G714" s="168" t="str">
        <f ca="1">IF(C714=$X$4,IF(ISERROR($V714),"Enter smelter details","RMI"),IF(ISERROR($V714),"",OFFSET('Smelter Look-up'!$F$4,$V714-4,0)))</f>
        <v/>
      </c>
      <c r="H714" s="171" t="str">
        <f ca="1">IF(ISERROR($V714),"",OFFSET('Smelter Look-up'!$G$4,$V714-4,0))</f>
        <v/>
      </c>
      <c r="I714" s="172" t="str">
        <f ca="1">IF(ISERROR($V714),"",OFFSET('Smelter Look-up'!$H$4,$V714-4,0))</f>
        <v/>
      </c>
      <c r="J714" s="172" t="str">
        <f ca="1">IF(ISERROR($V714),"",OFFSET('Smelter Look-up'!$I$4,$V714-4,0))</f>
        <v/>
      </c>
      <c r="K714" s="173"/>
      <c r="L714" s="173"/>
      <c r="M714" s="173"/>
      <c r="N714" s="173"/>
      <c r="O714" s="173"/>
      <c r="P714" s="174"/>
      <c r="Q714" s="175"/>
      <c r="R714" s="168" t="str">
        <f ca="1">IF(ISERROR($V714),"",OFFSET('Smelter Look-up'!$C$4,$V714-4,0)&amp;"")</f>
        <v/>
      </c>
      <c r="S714" s="167" t="str">
        <f t="shared" ca="1" si="84"/>
        <v/>
      </c>
      <c r="T714" s="167" t="str">
        <f ca="1">IF(B714="","",IF(ISERROR(MATCH($J714,SorP!$B$1:$B$6230,0)),"",INDIRECT("'SorP'!$A$"&amp;MATCH($J714,SorP!$B$1:$B$6230,0))))</f>
        <v/>
      </c>
      <c r="U714" s="176"/>
      <c r="V714" s="177" t="e">
        <f>IF(C714="",NA(),IF(OR(C714="Smelter not listed",C714="Smelter not yet identified"),MATCH($B714&amp;$D714,'Smelter Look-up'!$J:$J,0),MATCH($B714&amp;$C714,'Smelter Look-up'!$J:$J,0)))</f>
        <v>#N/A</v>
      </c>
      <c r="X714" s="140">
        <f t="shared" ca="1" si="85"/>
        <v>0</v>
      </c>
      <c r="AB714" s="178" t="str">
        <f t="shared" si="86"/>
        <v/>
      </c>
    </row>
    <row r="715" spans="1:28" s="140" customFormat="1" ht="20.25">
      <c r="A715" s="167"/>
      <c r="B715" s="168" t="str">
        <f>IF(LEN(A715)=0,"",INDEX('Smelter Look-up'!$A:$A,MATCH($A715,'Smelter Look-up'!$E:$E,0)))</f>
        <v/>
      </c>
      <c r="C715" s="169" t="str">
        <f>IF(LEN(A715)=0,"",INDEX('Smelter Look-up'!$C:$C,MATCH($A715,'Smelter Look-up'!$E:$E,0)))</f>
        <v/>
      </c>
      <c r="D715" s="170"/>
      <c r="E715" s="168" t="str">
        <f ca="1">IF(ISERROR($V715),"",OFFSET('Smelter Look-up'!$D$4,$V715-4,0)&amp;"")</f>
        <v/>
      </c>
      <c r="F715" s="168" t="str">
        <f ca="1">IF(ISERROR($V715),"",OFFSET('Smelter Look-up'!$E$4,$V715-4,0))</f>
        <v/>
      </c>
      <c r="G715" s="168" t="str">
        <f ca="1">IF(C715=$X$4,IF(ISERROR($V715),"Enter smelter details","RMI"),IF(ISERROR($V715),"",OFFSET('Smelter Look-up'!$F$4,$V715-4,0)))</f>
        <v/>
      </c>
      <c r="H715" s="171" t="str">
        <f ca="1">IF(ISERROR($V715),"",OFFSET('Smelter Look-up'!$G$4,$V715-4,0))</f>
        <v/>
      </c>
      <c r="I715" s="172" t="str">
        <f ca="1">IF(ISERROR($V715),"",OFFSET('Smelter Look-up'!$H$4,$V715-4,0))</f>
        <v/>
      </c>
      <c r="J715" s="172" t="str">
        <f ca="1">IF(ISERROR($V715),"",OFFSET('Smelter Look-up'!$I$4,$V715-4,0))</f>
        <v/>
      </c>
      <c r="K715" s="173"/>
      <c r="L715" s="173"/>
      <c r="M715" s="173"/>
      <c r="N715" s="173"/>
      <c r="O715" s="173"/>
      <c r="P715" s="174"/>
      <c r="Q715" s="175"/>
      <c r="R715" s="168" t="str">
        <f ca="1">IF(ISERROR($V715),"",OFFSET('Smelter Look-up'!$C$4,$V715-4,0)&amp;"")</f>
        <v/>
      </c>
      <c r="S715" s="167" t="str">
        <f t="shared" ca="1" si="84"/>
        <v/>
      </c>
      <c r="T715" s="167" t="str">
        <f ca="1">IF(B715="","",IF(ISERROR(MATCH($J715,SorP!$B$1:$B$6230,0)),"",INDIRECT("'SorP'!$A$"&amp;MATCH($J715,SorP!$B$1:$B$6230,0))))</f>
        <v/>
      </c>
      <c r="U715" s="176"/>
      <c r="V715" s="177" t="e">
        <f>IF(C715="",NA(),IF(OR(C715="Smelter not listed",C715="Smelter not yet identified"),MATCH($B715&amp;$D715,'Smelter Look-up'!$J:$J,0),MATCH($B715&amp;$C715,'Smelter Look-up'!$J:$J,0)))</f>
        <v>#N/A</v>
      </c>
      <c r="X715" s="140">
        <f t="shared" ca="1" si="85"/>
        <v>0</v>
      </c>
      <c r="AB715" s="178" t="str">
        <f t="shared" si="86"/>
        <v/>
      </c>
    </row>
    <row r="716" spans="1:28" s="140" customFormat="1" ht="20.25">
      <c r="A716" s="167"/>
      <c r="B716" s="168" t="str">
        <f>IF(LEN(A716)=0,"",INDEX('Smelter Look-up'!$A:$A,MATCH($A716,'Smelter Look-up'!$E:$E,0)))</f>
        <v/>
      </c>
      <c r="C716" s="169" t="str">
        <f>IF(LEN(A716)=0,"",INDEX('Smelter Look-up'!$C:$C,MATCH($A716,'Smelter Look-up'!$E:$E,0)))</f>
        <v/>
      </c>
      <c r="D716" s="170"/>
      <c r="E716" s="168" t="str">
        <f ca="1">IF(ISERROR($V716),"",OFFSET('Smelter Look-up'!$D$4,$V716-4,0)&amp;"")</f>
        <v/>
      </c>
      <c r="F716" s="168" t="str">
        <f ca="1">IF(ISERROR($V716),"",OFFSET('Smelter Look-up'!$E$4,$V716-4,0))</f>
        <v/>
      </c>
      <c r="G716" s="168" t="str">
        <f ca="1">IF(C716=$X$4,IF(ISERROR($V716),"Enter smelter details","RMI"),IF(ISERROR($V716),"",OFFSET('Smelter Look-up'!$F$4,$V716-4,0)))</f>
        <v/>
      </c>
      <c r="H716" s="171" t="str">
        <f ca="1">IF(ISERROR($V716),"",OFFSET('Smelter Look-up'!$G$4,$V716-4,0))</f>
        <v/>
      </c>
      <c r="I716" s="172" t="str">
        <f ca="1">IF(ISERROR($V716),"",OFFSET('Smelter Look-up'!$H$4,$V716-4,0))</f>
        <v/>
      </c>
      <c r="J716" s="172" t="str">
        <f ca="1">IF(ISERROR($V716),"",OFFSET('Smelter Look-up'!$I$4,$V716-4,0))</f>
        <v/>
      </c>
      <c r="K716" s="173"/>
      <c r="L716" s="173"/>
      <c r="M716" s="173"/>
      <c r="N716" s="173"/>
      <c r="O716" s="173"/>
      <c r="P716" s="174"/>
      <c r="Q716" s="175"/>
      <c r="R716" s="168" t="str">
        <f ca="1">IF(ISERROR($V716),"",OFFSET('Smelter Look-up'!$C$4,$V716-4,0)&amp;"")</f>
        <v/>
      </c>
      <c r="S716" s="167" t="str">
        <f t="shared" ca="1" si="84"/>
        <v/>
      </c>
      <c r="T716" s="167" t="str">
        <f ca="1">IF(B716="","",IF(ISERROR(MATCH($J716,SorP!$B$1:$B$6230,0)),"",INDIRECT("'SorP'!$A$"&amp;MATCH($J716,SorP!$B$1:$B$6230,0))))</f>
        <v/>
      </c>
      <c r="U716" s="176"/>
      <c r="V716" s="177" t="e">
        <f>IF(C716="",NA(),IF(OR(C716="Smelter not listed",C716="Smelter not yet identified"),MATCH($B716&amp;$D716,'Smelter Look-up'!$J:$J,0),MATCH($B716&amp;$C716,'Smelter Look-up'!$J:$J,0)))</f>
        <v>#N/A</v>
      </c>
      <c r="X716" s="140">
        <f t="shared" ca="1" si="85"/>
        <v>0</v>
      </c>
      <c r="AB716" s="178" t="str">
        <f t="shared" si="86"/>
        <v/>
      </c>
    </row>
    <row r="717" spans="1:28" s="140" customFormat="1" ht="20.25">
      <c r="A717" s="167"/>
      <c r="B717" s="168" t="str">
        <f>IF(LEN(A717)=0,"",INDEX('Smelter Look-up'!$A:$A,MATCH($A717,'Smelter Look-up'!$E:$E,0)))</f>
        <v/>
      </c>
      <c r="C717" s="169" t="str">
        <f>IF(LEN(A717)=0,"",INDEX('Smelter Look-up'!$C:$C,MATCH($A717,'Smelter Look-up'!$E:$E,0)))</f>
        <v/>
      </c>
      <c r="D717" s="170"/>
      <c r="E717" s="168" t="str">
        <f ca="1">IF(ISERROR($V717),"",OFFSET('Smelter Look-up'!$D$4,$V717-4,0)&amp;"")</f>
        <v/>
      </c>
      <c r="F717" s="168" t="str">
        <f ca="1">IF(ISERROR($V717),"",OFFSET('Smelter Look-up'!$E$4,$V717-4,0))</f>
        <v/>
      </c>
      <c r="G717" s="168" t="str">
        <f ca="1">IF(C717=$X$4,IF(ISERROR($V717),"Enter smelter details","RMI"),IF(ISERROR($V717),"",OFFSET('Smelter Look-up'!$F$4,$V717-4,0)))</f>
        <v/>
      </c>
      <c r="H717" s="171" t="str">
        <f ca="1">IF(ISERROR($V717),"",OFFSET('Smelter Look-up'!$G$4,$V717-4,0))</f>
        <v/>
      </c>
      <c r="I717" s="172" t="str">
        <f ca="1">IF(ISERROR($V717),"",OFFSET('Smelter Look-up'!$H$4,$V717-4,0))</f>
        <v/>
      </c>
      <c r="J717" s="172" t="str">
        <f ca="1">IF(ISERROR($V717),"",OFFSET('Smelter Look-up'!$I$4,$V717-4,0))</f>
        <v/>
      </c>
      <c r="K717" s="173"/>
      <c r="L717" s="173"/>
      <c r="M717" s="173"/>
      <c r="N717" s="173"/>
      <c r="O717" s="173"/>
      <c r="P717" s="174"/>
      <c r="Q717" s="175"/>
      <c r="R717" s="168" t="str">
        <f ca="1">IF(ISERROR($V717),"",OFFSET('Smelter Look-up'!$C$4,$V717-4,0)&amp;"")</f>
        <v/>
      </c>
      <c r="S717" s="167" t="str">
        <f t="shared" ca="1" si="84"/>
        <v/>
      </c>
      <c r="T717" s="167" t="str">
        <f ca="1">IF(B717="","",IF(ISERROR(MATCH($J717,SorP!$B$1:$B$6230,0)),"",INDIRECT("'SorP'!$A$"&amp;MATCH($J717,SorP!$B$1:$B$6230,0))))</f>
        <v/>
      </c>
      <c r="U717" s="176"/>
      <c r="V717" s="177" t="e">
        <f>IF(C717="",NA(),IF(OR(C717="Smelter not listed",C717="Smelter not yet identified"),MATCH($B717&amp;$D717,'Smelter Look-up'!$J:$J,0),MATCH($B717&amp;$C717,'Smelter Look-up'!$J:$J,0)))</f>
        <v>#N/A</v>
      </c>
      <c r="X717" s="140">
        <f t="shared" ca="1" si="85"/>
        <v>0</v>
      </c>
      <c r="AB717" s="178" t="str">
        <f t="shared" si="86"/>
        <v/>
      </c>
    </row>
    <row r="718" spans="1:28" s="140" customFormat="1" ht="20.25">
      <c r="A718" s="167"/>
      <c r="B718" s="168" t="str">
        <f>IF(LEN(A718)=0,"",INDEX('Smelter Look-up'!$A:$A,MATCH($A718,'Smelter Look-up'!$E:$E,0)))</f>
        <v/>
      </c>
      <c r="C718" s="169" t="str">
        <f>IF(LEN(A718)=0,"",INDEX('Smelter Look-up'!$C:$C,MATCH($A718,'Smelter Look-up'!$E:$E,0)))</f>
        <v/>
      </c>
      <c r="D718" s="170"/>
      <c r="E718" s="168" t="str">
        <f ca="1">IF(ISERROR($V718),"",OFFSET('Smelter Look-up'!$D$4,$V718-4,0)&amp;"")</f>
        <v/>
      </c>
      <c r="F718" s="168" t="str">
        <f ca="1">IF(ISERROR($V718),"",OFFSET('Smelter Look-up'!$E$4,$V718-4,0))</f>
        <v/>
      </c>
      <c r="G718" s="168" t="str">
        <f ca="1">IF(C718=$X$4,IF(ISERROR($V718),"Enter smelter details","RMI"),IF(ISERROR($V718),"",OFFSET('Smelter Look-up'!$F$4,$V718-4,0)))</f>
        <v/>
      </c>
      <c r="H718" s="171" t="str">
        <f ca="1">IF(ISERROR($V718),"",OFFSET('Smelter Look-up'!$G$4,$V718-4,0))</f>
        <v/>
      </c>
      <c r="I718" s="172" t="str">
        <f ca="1">IF(ISERROR($V718),"",OFFSET('Smelter Look-up'!$H$4,$V718-4,0))</f>
        <v/>
      </c>
      <c r="J718" s="172" t="str">
        <f ca="1">IF(ISERROR($V718),"",OFFSET('Smelter Look-up'!$I$4,$V718-4,0))</f>
        <v/>
      </c>
      <c r="K718" s="173"/>
      <c r="L718" s="173"/>
      <c r="M718" s="173"/>
      <c r="N718" s="173"/>
      <c r="O718" s="173"/>
      <c r="P718" s="174"/>
      <c r="Q718" s="175"/>
      <c r="R718" s="168" t="str">
        <f ca="1">IF(ISERROR($V718),"",OFFSET('Smelter Look-up'!$C$4,$V718-4,0)&amp;"")</f>
        <v/>
      </c>
      <c r="S718" s="167" t="str">
        <f t="shared" ca="1" si="84"/>
        <v/>
      </c>
      <c r="T718" s="167" t="str">
        <f ca="1">IF(B718="","",IF(ISERROR(MATCH($J718,SorP!$B$1:$B$6230,0)),"",INDIRECT("'SorP'!$A$"&amp;MATCH($J718,SorP!$B$1:$B$6230,0))))</f>
        <v/>
      </c>
      <c r="U718" s="176"/>
      <c r="V718" s="177" t="e">
        <f>IF(C718="",NA(),IF(OR(C718="Smelter not listed",C718="Smelter not yet identified"),MATCH($B718&amp;$D718,'Smelter Look-up'!$J:$J,0),MATCH($B718&amp;$C718,'Smelter Look-up'!$J:$J,0)))</f>
        <v>#N/A</v>
      </c>
      <c r="X718" s="140">
        <f t="shared" ca="1" si="85"/>
        <v>0</v>
      </c>
      <c r="AB718" s="178" t="str">
        <f t="shared" si="86"/>
        <v/>
      </c>
    </row>
    <row r="719" spans="1:28" s="140" customFormat="1" ht="20.25">
      <c r="A719" s="167"/>
      <c r="B719" s="168" t="str">
        <f>IF(LEN(A719)=0,"",INDEX('Smelter Look-up'!$A:$A,MATCH($A719,'Smelter Look-up'!$E:$E,0)))</f>
        <v/>
      </c>
      <c r="C719" s="169" t="str">
        <f>IF(LEN(A719)=0,"",INDEX('Smelter Look-up'!$C:$C,MATCH($A719,'Smelter Look-up'!$E:$E,0)))</f>
        <v/>
      </c>
      <c r="D719" s="170"/>
      <c r="E719" s="168" t="str">
        <f ca="1">IF(ISERROR($V719),"",OFFSET('Smelter Look-up'!$D$4,$V719-4,0)&amp;"")</f>
        <v/>
      </c>
      <c r="F719" s="168" t="str">
        <f ca="1">IF(ISERROR($V719),"",OFFSET('Smelter Look-up'!$E$4,$V719-4,0))</f>
        <v/>
      </c>
      <c r="G719" s="168" t="str">
        <f ca="1">IF(C719=$X$4,IF(ISERROR($V719),"Enter smelter details","RMI"),IF(ISERROR($V719),"",OFFSET('Smelter Look-up'!$F$4,$V719-4,0)))</f>
        <v/>
      </c>
      <c r="H719" s="171" t="str">
        <f ca="1">IF(ISERROR($V719),"",OFFSET('Smelter Look-up'!$G$4,$V719-4,0))</f>
        <v/>
      </c>
      <c r="I719" s="172" t="str">
        <f ca="1">IF(ISERROR($V719),"",OFFSET('Smelter Look-up'!$H$4,$V719-4,0))</f>
        <v/>
      </c>
      <c r="J719" s="172" t="str">
        <f ca="1">IF(ISERROR($V719),"",OFFSET('Smelter Look-up'!$I$4,$V719-4,0))</f>
        <v/>
      </c>
      <c r="K719" s="173"/>
      <c r="L719" s="173"/>
      <c r="M719" s="173"/>
      <c r="N719" s="173"/>
      <c r="O719" s="173"/>
      <c r="P719" s="174"/>
      <c r="Q719" s="175"/>
      <c r="R719" s="168" t="str">
        <f ca="1">IF(ISERROR($V719),"",OFFSET('Smelter Look-up'!$C$4,$V719-4,0)&amp;"")</f>
        <v/>
      </c>
      <c r="S719" s="167" t="str">
        <f t="shared" ca="1" si="84"/>
        <v/>
      </c>
      <c r="T719" s="167" t="str">
        <f ca="1">IF(B719="","",IF(ISERROR(MATCH($J719,SorP!$B$1:$B$6230,0)),"",INDIRECT("'SorP'!$A$"&amp;MATCH($J719,SorP!$B$1:$B$6230,0))))</f>
        <v/>
      </c>
      <c r="U719" s="176"/>
      <c r="V719" s="177" t="e">
        <f>IF(C719="",NA(),IF(OR(C719="Smelter not listed",C719="Smelter not yet identified"),MATCH($B719&amp;$D719,'Smelter Look-up'!$J:$J,0),MATCH($B719&amp;$C719,'Smelter Look-up'!$J:$J,0)))</f>
        <v>#N/A</v>
      </c>
      <c r="X719" s="140">
        <f t="shared" ca="1" si="85"/>
        <v>0</v>
      </c>
      <c r="AB719" s="178" t="str">
        <f t="shared" si="86"/>
        <v/>
      </c>
    </row>
    <row r="720" spans="1:28" s="140" customFormat="1" ht="20.25">
      <c r="A720" s="167"/>
      <c r="B720" s="168" t="str">
        <f>IF(LEN(A720)=0,"",INDEX('Smelter Look-up'!$A:$A,MATCH($A720,'Smelter Look-up'!$E:$E,0)))</f>
        <v/>
      </c>
      <c r="C720" s="169" t="str">
        <f>IF(LEN(A720)=0,"",INDEX('Smelter Look-up'!$C:$C,MATCH($A720,'Smelter Look-up'!$E:$E,0)))</f>
        <v/>
      </c>
      <c r="D720" s="170"/>
      <c r="E720" s="168" t="str">
        <f ca="1">IF(ISERROR($V720),"",OFFSET('Smelter Look-up'!$D$4,$V720-4,0)&amp;"")</f>
        <v/>
      </c>
      <c r="F720" s="168" t="str">
        <f ca="1">IF(ISERROR($V720),"",OFFSET('Smelter Look-up'!$E$4,$V720-4,0))</f>
        <v/>
      </c>
      <c r="G720" s="168" t="str">
        <f ca="1">IF(C720=$X$4,IF(ISERROR($V720),"Enter smelter details","RMI"),IF(ISERROR($V720),"",OFFSET('Smelter Look-up'!$F$4,$V720-4,0)))</f>
        <v/>
      </c>
      <c r="H720" s="171" t="str">
        <f ca="1">IF(ISERROR($V720),"",OFFSET('Smelter Look-up'!$G$4,$V720-4,0))</f>
        <v/>
      </c>
      <c r="I720" s="172" t="str">
        <f ca="1">IF(ISERROR($V720),"",OFFSET('Smelter Look-up'!$H$4,$V720-4,0))</f>
        <v/>
      </c>
      <c r="J720" s="172" t="str">
        <f ca="1">IF(ISERROR($V720),"",OFFSET('Smelter Look-up'!$I$4,$V720-4,0))</f>
        <v/>
      </c>
      <c r="K720" s="173"/>
      <c r="L720" s="173"/>
      <c r="M720" s="173"/>
      <c r="N720" s="173"/>
      <c r="O720" s="173"/>
      <c r="P720" s="174"/>
      <c r="Q720" s="175"/>
      <c r="R720" s="168" t="str">
        <f ca="1">IF(ISERROR($V720),"",OFFSET('Smelter Look-up'!$C$4,$V720-4,0)&amp;"")</f>
        <v/>
      </c>
      <c r="S720" s="167" t="str">
        <f t="shared" ca="1" si="84"/>
        <v/>
      </c>
      <c r="T720" s="167" t="str">
        <f ca="1">IF(B720="","",IF(ISERROR(MATCH($J720,SorP!$B$1:$B$6230,0)),"",INDIRECT("'SorP'!$A$"&amp;MATCH($J720,SorP!$B$1:$B$6230,0))))</f>
        <v/>
      </c>
      <c r="U720" s="176"/>
      <c r="V720" s="177" t="e">
        <f>IF(C720="",NA(),IF(OR(C720="Smelter not listed",C720="Smelter not yet identified"),MATCH($B720&amp;$D720,'Smelter Look-up'!$J:$J,0),MATCH($B720&amp;$C720,'Smelter Look-up'!$J:$J,0)))</f>
        <v>#N/A</v>
      </c>
      <c r="X720" s="140">
        <f t="shared" ca="1" si="85"/>
        <v>0</v>
      </c>
      <c r="AB720" s="178" t="str">
        <f t="shared" si="86"/>
        <v/>
      </c>
    </row>
    <row r="721" spans="1:28" s="140" customFormat="1" ht="20.25">
      <c r="A721" s="167"/>
      <c r="B721" s="168" t="str">
        <f>IF(LEN(A721)=0,"",INDEX('Smelter Look-up'!$A:$A,MATCH($A721,'Smelter Look-up'!$E:$E,0)))</f>
        <v/>
      </c>
      <c r="C721" s="169" t="str">
        <f>IF(LEN(A721)=0,"",INDEX('Smelter Look-up'!$C:$C,MATCH($A721,'Smelter Look-up'!$E:$E,0)))</f>
        <v/>
      </c>
      <c r="D721" s="170"/>
      <c r="E721" s="168" t="str">
        <f ca="1">IF(ISERROR($V721),"",OFFSET('Smelter Look-up'!$D$4,$V721-4,0)&amp;"")</f>
        <v/>
      </c>
      <c r="F721" s="168" t="str">
        <f ca="1">IF(ISERROR($V721),"",OFFSET('Smelter Look-up'!$E$4,$V721-4,0))</f>
        <v/>
      </c>
      <c r="G721" s="168" t="str">
        <f ca="1">IF(C721=$X$4,IF(ISERROR($V721),"Enter smelter details","RMI"),IF(ISERROR($V721),"",OFFSET('Smelter Look-up'!$F$4,$V721-4,0)))</f>
        <v/>
      </c>
      <c r="H721" s="171" t="str">
        <f ca="1">IF(ISERROR($V721),"",OFFSET('Smelter Look-up'!$G$4,$V721-4,0))</f>
        <v/>
      </c>
      <c r="I721" s="172" t="str">
        <f ca="1">IF(ISERROR($V721),"",OFFSET('Smelter Look-up'!$H$4,$V721-4,0))</f>
        <v/>
      </c>
      <c r="J721" s="172" t="str">
        <f ca="1">IF(ISERROR($V721),"",OFFSET('Smelter Look-up'!$I$4,$V721-4,0))</f>
        <v/>
      </c>
      <c r="K721" s="173"/>
      <c r="L721" s="173"/>
      <c r="M721" s="173"/>
      <c r="N721" s="173"/>
      <c r="O721" s="173"/>
      <c r="P721" s="174"/>
      <c r="Q721" s="175"/>
      <c r="R721" s="168" t="str">
        <f ca="1">IF(ISERROR($V721),"",OFFSET('Smelter Look-up'!$C$4,$V721-4,0)&amp;"")</f>
        <v/>
      </c>
      <c r="S721" s="167" t="str">
        <f t="shared" ca="1" si="84"/>
        <v/>
      </c>
      <c r="T721" s="167" t="str">
        <f ca="1">IF(B721="","",IF(ISERROR(MATCH($J721,SorP!$B$1:$B$6230,0)),"",INDIRECT("'SorP'!$A$"&amp;MATCH($J721,SorP!$B$1:$B$6230,0))))</f>
        <v/>
      </c>
      <c r="U721" s="176"/>
      <c r="V721" s="177" t="e">
        <f>IF(C721="",NA(),IF(OR(C721="Smelter not listed",C721="Smelter not yet identified"),MATCH($B721&amp;$D721,'Smelter Look-up'!$J:$J,0),MATCH($B721&amp;$C721,'Smelter Look-up'!$J:$J,0)))</f>
        <v>#N/A</v>
      </c>
      <c r="X721" s="140">
        <f t="shared" ca="1" si="85"/>
        <v>0</v>
      </c>
      <c r="AB721" s="178" t="str">
        <f t="shared" si="86"/>
        <v/>
      </c>
    </row>
    <row r="722" spans="1:28" s="140" customFormat="1" ht="20.25">
      <c r="A722" s="167"/>
      <c r="B722" s="168" t="str">
        <f>IF(LEN(A722)=0,"",INDEX('Smelter Look-up'!$A:$A,MATCH($A722,'Smelter Look-up'!$E:$E,0)))</f>
        <v/>
      </c>
      <c r="C722" s="169" t="str">
        <f>IF(LEN(A722)=0,"",INDEX('Smelter Look-up'!$C:$C,MATCH($A722,'Smelter Look-up'!$E:$E,0)))</f>
        <v/>
      </c>
      <c r="D722" s="170"/>
      <c r="E722" s="168" t="str">
        <f ca="1">IF(ISERROR($V722),"",OFFSET('Smelter Look-up'!$D$4,$V722-4,0)&amp;"")</f>
        <v/>
      </c>
      <c r="F722" s="168" t="str">
        <f ca="1">IF(ISERROR($V722),"",OFFSET('Smelter Look-up'!$E$4,$V722-4,0))</f>
        <v/>
      </c>
      <c r="G722" s="168" t="str">
        <f ca="1">IF(C722=$X$4,IF(ISERROR($V722),"Enter smelter details","RMI"),IF(ISERROR($V722),"",OFFSET('Smelter Look-up'!$F$4,$V722-4,0)))</f>
        <v/>
      </c>
      <c r="H722" s="171" t="str">
        <f ca="1">IF(ISERROR($V722),"",OFFSET('Smelter Look-up'!$G$4,$V722-4,0))</f>
        <v/>
      </c>
      <c r="I722" s="172" t="str">
        <f ca="1">IF(ISERROR($V722),"",OFFSET('Smelter Look-up'!$H$4,$V722-4,0))</f>
        <v/>
      </c>
      <c r="J722" s="172" t="str">
        <f ca="1">IF(ISERROR($V722),"",OFFSET('Smelter Look-up'!$I$4,$V722-4,0))</f>
        <v/>
      </c>
      <c r="K722" s="173"/>
      <c r="L722" s="173"/>
      <c r="M722" s="173"/>
      <c r="N722" s="173"/>
      <c r="O722" s="173"/>
      <c r="P722" s="174"/>
      <c r="Q722" s="175"/>
      <c r="R722" s="168" t="str">
        <f ca="1">IF(ISERROR($V722),"",OFFSET('Smelter Look-up'!$C$4,$V722-4,0)&amp;"")</f>
        <v/>
      </c>
      <c r="S722" s="167" t="str">
        <f t="shared" ca="1" si="84"/>
        <v/>
      </c>
      <c r="T722" s="167" t="str">
        <f ca="1">IF(B722="","",IF(ISERROR(MATCH($J722,SorP!$B$1:$B$6230,0)),"",INDIRECT("'SorP'!$A$"&amp;MATCH($J722,SorP!$B$1:$B$6230,0))))</f>
        <v/>
      </c>
      <c r="U722" s="176"/>
      <c r="V722" s="177" t="e">
        <f>IF(C722="",NA(),IF(OR(C722="Smelter not listed",C722="Smelter not yet identified"),MATCH($B722&amp;$D722,'Smelter Look-up'!$J:$J,0),MATCH($B722&amp;$C722,'Smelter Look-up'!$J:$J,0)))</f>
        <v>#N/A</v>
      </c>
      <c r="X722" s="140">
        <f t="shared" ca="1" si="85"/>
        <v>0</v>
      </c>
      <c r="AB722" s="178" t="str">
        <f t="shared" si="86"/>
        <v/>
      </c>
    </row>
    <row r="723" spans="1:28" s="140" customFormat="1" ht="20.25">
      <c r="A723" s="167"/>
      <c r="B723" s="168" t="str">
        <f>IF(LEN(A723)=0,"",INDEX('Smelter Look-up'!$A:$A,MATCH($A723,'Smelter Look-up'!$E:$E,0)))</f>
        <v/>
      </c>
      <c r="C723" s="169" t="str">
        <f>IF(LEN(A723)=0,"",INDEX('Smelter Look-up'!$C:$C,MATCH($A723,'Smelter Look-up'!$E:$E,0)))</f>
        <v/>
      </c>
      <c r="D723" s="170"/>
      <c r="E723" s="168" t="str">
        <f ca="1">IF(ISERROR($V723),"",OFFSET('Smelter Look-up'!$D$4,$V723-4,0)&amp;"")</f>
        <v/>
      </c>
      <c r="F723" s="168" t="str">
        <f ca="1">IF(ISERROR($V723),"",OFFSET('Smelter Look-up'!$E$4,$V723-4,0))</f>
        <v/>
      </c>
      <c r="G723" s="168" t="str">
        <f ca="1">IF(C723=$X$4,IF(ISERROR($V723),"Enter smelter details","RMI"),IF(ISERROR($V723),"",OFFSET('Smelter Look-up'!$F$4,$V723-4,0)))</f>
        <v/>
      </c>
      <c r="H723" s="171" t="str">
        <f ca="1">IF(ISERROR($V723),"",OFFSET('Smelter Look-up'!$G$4,$V723-4,0))</f>
        <v/>
      </c>
      <c r="I723" s="172" t="str">
        <f ca="1">IF(ISERROR($V723),"",OFFSET('Smelter Look-up'!$H$4,$V723-4,0))</f>
        <v/>
      </c>
      <c r="J723" s="172" t="str">
        <f ca="1">IF(ISERROR($V723),"",OFFSET('Smelter Look-up'!$I$4,$V723-4,0))</f>
        <v/>
      </c>
      <c r="K723" s="173"/>
      <c r="L723" s="173"/>
      <c r="M723" s="173"/>
      <c r="N723" s="173"/>
      <c r="O723" s="173"/>
      <c r="P723" s="174"/>
      <c r="Q723" s="175"/>
      <c r="R723" s="168" t="str">
        <f ca="1">IF(ISERROR($V723),"",OFFSET('Smelter Look-up'!$C$4,$V723-4,0)&amp;"")</f>
        <v/>
      </c>
      <c r="S723" s="167" t="str">
        <f t="shared" ca="1" si="84"/>
        <v/>
      </c>
      <c r="T723" s="167" t="str">
        <f ca="1">IF(B723="","",IF(ISERROR(MATCH($J723,SorP!$B$1:$B$6230,0)),"",INDIRECT("'SorP'!$A$"&amp;MATCH($J723,SorP!$B$1:$B$6230,0))))</f>
        <v/>
      </c>
      <c r="U723" s="176"/>
      <c r="V723" s="177" t="e">
        <f>IF(C723="",NA(),IF(OR(C723="Smelter not listed",C723="Smelter not yet identified"),MATCH($B723&amp;$D723,'Smelter Look-up'!$J:$J,0),MATCH($B723&amp;$C723,'Smelter Look-up'!$J:$J,0)))</f>
        <v>#N/A</v>
      </c>
      <c r="X723" s="140">
        <f t="shared" ca="1" si="85"/>
        <v>0</v>
      </c>
      <c r="AB723" s="178" t="str">
        <f t="shared" si="86"/>
        <v/>
      </c>
    </row>
    <row r="724" spans="1:28" s="140" customFormat="1" ht="20.25">
      <c r="A724" s="167"/>
      <c r="B724" s="168" t="str">
        <f>IF(LEN(A724)=0,"",INDEX('Smelter Look-up'!$A:$A,MATCH($A724,'Smelter Look-up'!$E:$E,0)))</f>
        <v/>
      </c>
      <c r="C724" s="169" t="str">
        <f>IF(LEN(A724)=0,"",INDEX('Smelter Look-up'!$C:$C,MATCH($A724,'Smelter Look-up'!$E:$E,0)))</f>
        <v/>
      </c>
      <c r="D724" s="170"/>
      <c r="E724" s="168" t="str">
        <f ca="1">IF(ISERROR($V724),"",OFFSET('Smelter Look-up'!$D$4,$V724-4,0)&amp;"")</f>
        <v/>
      </c>
      <c r="F724" s="168" t="str">
        <f ca="1">IF(ISERROR($V724),"",OFFSET('Smelter Look-up'!$E$4,$V724-4,0))</f>
        <v/>
      </c>
      <c r="G724" s="168" t="str">
        <f ca="1">IF(C724=$X$4,IF(ISERROR($V724),"Enter smelter details","RMI"),IF(ISERROR($V724),"",OFFSET('Smelter Look-up'!$F$4,$V724-4,0)))</f>
        <v/>
      </c>
      <c r="H724" s="171" t="str">
        <f ca="1">IF(ISERROR($V724),"",OFFSET('Smelter Look-up'!$G$4,$V724-4,0))</f>
        <v/>
      </c>
      <c r="I724" s="172" t="str">
        <f ca="1">IF(ISERROR($V724),"",OFFSET('Smelter Look-up'!$H$4,$V724-4,0))</f>
        <v/>
      </c>
      <c r="J724" s="172" t="str">
        <f ca="1">IF(ISERROR($V724),"",OFFSET('Smelter Look-up'!$I$4,$V724-4,0))</f>
        <v/>
      </c>
      <c r="K724" s="173"/>
      <c r="L724" s="173"/>
      <c r="M724" s="173"/>
      <c r="N724" s="173"/>
      <c r="O724" s="173"/>
      <c r="P724" s="174"/>
      <c r="Q724" s="175"/>
      <c r="R724" s="168" t="str">
        <f ca="1">IF(ISERROR($V724),"",OFFSET('Smelter Look-up'!$C$4,$V724-4,0)&amp;"")</f>
        <v/>
      </c>
      <c r="S724" s="167" t="str">
        <f t="shared" ca="1" si="84"/>
        <v/>
      </c>
      <c r="T724" s="167" t="str">
        <f ca="1">IF(B724="","",IF(ISERROR(MATCH($J724,SorP!$B$1:$B$6230,0)),"",INDIRECT("'SorP'!$A$"&amp;MATCH($J724,SorP!$B$1:$B$6230,0))))</f>
        <v/>
      </c>
      <c r="U724" s="176"/>
      <c r="V724" s="177" t="e">
        <f>IF(C724="",NA(),IF(OR(C724="Smelter not listed",C724="Smelter not yet identified"),MATCH($B724&amp;$D724,'Smelter Look-up'!$J:$J,0),MATCH($B724&amp;$C724,'Smelter Look-up'!$J:$J,0)))</f>
        <v>#N/A</v>
      </c>
      <c r="X724" s="140">
        <f t="shared" ca="1" si="85"/>
        <v>0</v>
      </c>
      <c r="AB724" s="178" t="str">
        <f t="shared" si="86"/>
        <v/>
      </c>
    </row>
    <row r="725" spans="1:28" s="140" customFormat="1" ht="20.25">
      <c r="A725" s="167"/>
      <c r="B725" s="168" t="str">
        <f>IF(LEN(A725)=0,"",INDEX('Smelter Look-up'!$A:$A,MATCH($A725,'Smelter Look-up'!$E:$E,0)))</f>
        <v/>
      </c>
      <c r="C725" s="169" t="str">
        <f>IF(LEN(A725)=0,"",INDEX('Smelter Look-up'!$C:$C,MATCH($A725,'Smelter Look-up'!$E:$E,0)))</f>
        <v/>
      </c>
      <c r="D725" s="170"/>
      <c r="E725" s="168" t="str">
        <f ca="1">IF(ISERROR($V725),"",OFFSET('Smelter Look-up'!$D$4,$V725-4,0)&amp;"")</f>
        <v/>
      </c>
      <c r="F725" s="168" t="str">
        <f ca="1">IF(ISERROR($V725),"",OFFSET('Smelter Look-up'!$E$4,$V725-4,0))</f>
        <v/>
      </c>
      <c r="G725" s="168" t="str">
        <f ca="1">IF(C725=$X$4,IF(ISERROR($V725),"Enter smelter details","RMI"),IF(ISERROR($V725),"",OFFSET('Smelter Look-up'!$F$4,$V725-4,0)))</f>
        <v/>
      </c>
      <c r="H725" s="171" t="str">
        <f ca="1">IF(ISERROR($V725),"",OFFSET('Smelter Look-up'!$G$4,$V725-4,0))</f>
        <v/>
      </c>
      <c r="I725" s="172" t="str">
        <f ca="1">IF(ISERROR($V725),"",OFFSET('Smelter Look-up'!$H$4,$V725-4,0))</f>
        <v/>
      </c>
      <c r="J725" s="172" t="str">
        <f ca="1">IF(ISERROR($V725),"",OFFSET('Smelter Look-up'!$I$4,$V725-4,0))</f>
        <v/>
      </c>
      <c r="K725" s="173"/>
      <c r="L725" s="173"/>
      <c r="M725" s="173"/>
      <c r="N725" s="173"/>
      <c r="O725" s="173"/>
      <c r="P725" s="174"/>
      <c r="Q725" s="175"/>
      <c r="R725" s="168" t="str">
        <f ca="1">IF(ISERROR($V725),"",OFFSET('Smelter Look-up'!$C$4,$V725-4,0)&amp;"")</f>
        <v/>
      </c>
      <c r="S725" s="167" t="str">
        <f t="shared" ca="1" si="84"/>
        <v/>
      </c>
      <c r="T725" s="167" t="str">
        <f ca="1">IF(B725="","",IF(ISERROR(MATCH($J725,SorP!$B$1:$B$6230,0)),"",INDIRECT("'SorP'!$A$"&amp;MATCH($J725,SorP!$B$1:$B$6230,0))))</f>
        <v/>
      </c>
      <c r="U725" s="176"/>
      <c r="V725" s="177" t="e">
        <f>IF(C725="",NA(),IF(OR(C725="Smelter not listed",C725="Smelter not yet identified"),MATCH($B725&amp;$D725,'Smelter Look-up'!$J:$J,0),MATCH($B725&amp;$C725,'Smelter Look-up'!$J:$J,0)))</f>
        <v>#N/A</v>
      </c>
      <c r="X725" s="140">
        <f t="shared" ca="1" si="85"/>
        <v>0</v>
      </c>
      <c r="AB725" s="178" t="str">
        <f t="shared" si="86"/>
        <v/>
      </c>
    </row>
    <row r="726" spans="1:28" s="140" customFormat="1" ht="20.25">
      <c r="A726" s="167"/>
      <c r="B726" s="168" t="str">
        <f>IF(LEN(A726)=0,"",INDEX('Smelter Look-up'!$A:$A,MATCH($A726,'Smelter Look-up'!$E:$E,0)))</f>
        <v/>
      </c>
      <c r="C726" s="169" t="str">
        <f>IF(LEN(A726)=0,"",INDEX('Smelter Look-up'!$C:$C,MATCH($A726,'Smelter Look-up'!$E:$E,0)))</f>
        <v/>
      </c>
      <c r="D726" s="170"/>
      <c r="E726" s="168" t="str">
        <f ca="1">IF(ISERROR($V726),"",OFFSET('Smelter Look-up'!$D$4,$V726-4,0)&amp;"")</f>
        <v/>
      </c>
      <c r="F726" s="168" t="str">
        <f ca="1">IF(ISERROR($V726),"",OFFSET('Smelter Look-up'!$E$4,$V726-4,0))</f>
        <v/>
      </c>
      <c r="G726" s="168" t="str">
        <f ca="1">IF(C726=$X$4,IF(ISERROR($V726),"Enter smelter details","RMI"),IF(ISERROR($V726),"",OFFSET('Smelter Look-up'!$F$4,$V726-4,0)))</f>
        <v/>
      </c>
      <c r="H726" s="171" t="str">
        <f ca="1">IF(ISERROR($V726),"",OFFSET('Smelter Look-up'!$G$4,$V726-4,0))</f>
        <v/>
      </c>
      <c r="I726" s="172" t="str">
        <f ca="1">IF(ISERROR($V726),"",OFFSET('Smelter Look-up'!$H$4,$V726-4,0))</f>
        <v/>
      </c>
      <c r="J726" s="172" t="str">
        <f ca="1">IF(ISERROR($V726),"",OFFSET('Smelter Look-up'!$I$4,$V726-4,0))</f>
        <v/>
      </c>
      <c r="K726" s="173"/>
      <c r="L726" s="173"/>
      <c r="M726" s="173"/>
      <c r="N726" s="173"/>
      <c r="O726" s="173"/>
      <c r="P726" s="174"/>
      <c r="Q726" s="175"/>
      <c r="R726" s="168" t="str">
        <f ca="1">IF(ISERROR($V726),"",OFFSET('Smelter Look-up'!$C$4,$V726-4,0)&amp;"")</f>
        <v/>
      </c>
      <c r="S726" s="167" t="str">
        <f t="shared" ca="1" si="84"/>
        <v/>
      </c>
      <c r="T726" s="167" t="str">
        <f ca="1">IF(B726="","",IF(ISERROR(MATCH($J726,SorP!$B$1:$B$6230,0)),"",INDIRECT("'SorP'!$A$"&amp;MATCH($J726,SorP!$B$1:$B$6230,0))))</f>
        <v/>
      </c>
      <c r="U726" s="176"/>
      <c r="V726" s="177" t="e">
        <f>IF(C726="",NA(),IF(OR(C726="Smelter not listed",C726="Smelter not yet identified"),MATCH($B726&amp;$D726,'Smelter Look-up'!$J:$J,0),MATCH($B726&amp;$C726,'Smelter Look-up'!$J:$J,0)))</f>
        <v>#N/A</v>
      </c>
      <c r="X726" s="140">
        <f t="shared" ca="1" si="85"/>
        <v>0</v>
      </c>
      <c r="AB726" s="178" t="str">
        <f t="shared" si="86"/>
        <v/>
      </c>
    </row>
    <row r="727" spans="1:28" s="140" customFormat="1" ht="20.25">
      <c r="A727" s="167"/>
      <c r="B727" s="168" t="str">
        <f>IF(LEN(A727)=0,"",INDEX('Smelter Look-up'!$A:$A,MATCH($A727,'Smelter Look-up'!$E:$E,0)))</f>
        <v/>
      </c>
      <c r="C727" s="169" t="str">
        <f>IF(LEN(A727)=0,"",INDEX('Smelter Look-up'!$C:$C,MATCH($A727,'Smelter Look-up'!$E:$E,0)))</f>
        <v/>
      </c>
      <c r="D727" s="170"/>
      <c r="E727" s="168" t="str">
        <f ca="1">IF(ISERROR($V727),"",OFFSET('Smelter Look-up'!$D$4,$V727-4,0)&amp;"")</f>
        <v/>
      </c>
      <c r="F727" s="168" t="str">
        <f ca="1">IF(ISERROR($V727),"",OFFSET('Smelter Look-up'!$E$4,$V727-4,0))</f>
        <v/>
      </c>
      <c r="G727" s="168" t="str">
        <f ca="1">IF(C727=$X$4,IF(ISERROR($V727),"Enter smelter details","RMI"),IF(ISERROR($V727),"",OFFSET('Smelter Look-up'!$F$4,$V727-4,0)))</f>
        <v/>
      </c>
      <c r="H727" s="171" t="str">
        <f ca="1">IF(ISERROR($V727),"",OFFSET('Smelter Look-up'!$G$4,$V727-4,0))</f>
        <v/>
      </c>
      <c r="I727" s="172" t="str">
        <f ca="1">IF(ISERROR($V727),"",OFFSET('Smelter Look-up'!$H$4,$V727-4,0))</f>
        <v/>
      </c>
      <c r="J727" s="172" t="str">
        <f ca="1">IF(ISERROR($V727),"",OFFSET('Smelter Look-up'!$I$4,$V727-4,0))</f>
        <v/>
      </c>
      <c r="K727" s="173"/>
      <c r="L727" s="173"/>
      <c r="M727" s="173"/>
      <c r="N727" s="173"/>
      <c r="O727" s="173"/>
      <c r="P727" s="174"/>
      <c r="Q727" s="175"/>
      <c r="R727" s="168" t="str">
        <f ca="1">IF(ISERROR($V727),"",OFFSET('Smelter Look-up'!$C$4,$V727-4,0)&amp;"")</f>
        <v/>
      </c>
      <c r="S727" s="167" t="str">
        <f t="shared" ca="1" si="84"/>
        <v/>
      </c>
      <c r="T727" s="167" t="str">
        <f ca="1">IF(B727="","",IF(ISERROR(MATCH($J727,SorP!$B$1:$B$6230,0)),"",INDIRECT("'SorP'!$A$"&amp;MATCH($J727,SorP!$B$1:$B$6230,0))))</f>
        <v/>
      </c>
      <c r="U727" s="176"/>
      <c r="V727" s="177" t="e">
        <f>IF(C727="",NA(),IF(OR(C727="Smelter not listed",C727="Smelter not yet identified"),MATCH($B727&amp;$D727,'Smelter Look-up'!$J:$J,0),MATCH($B727&amp;$C727,'Smelter Look-up'!$J:$J,0)))</f>
        <v>#N/A</v>
      </c>
      <c r="X727" s="140">
        <f t="shared" ca="1" si="85"/>
        <v>0</v>
      </c>
      <c r="AB727" s="178" t="str">
        <f t="shared" si="86"/>
        <v/>
      </c>
    </row>
    <row r="728" spans="1:28" s="140" customFormat="1" ht="20.25">
      <c r="A728" s="167"/>
      <c r="B728" s="168" t="str">
        <f>IF(LEN(A728)=0,"",INDEX('Smelter Look-up'!$A:$A,MATCH($A728,'Smelter Look-up'!$E:$E,0)))</f>
        <v/>
      </c>
      <c r="C728" s="169" t="str">
        <f>IF(LEN(A728)=0,"",INDEX('Smelter Look-up'!$C:$C,MATCH($A728,'Smelter Look-up'!$E:$E,0)))</f>
        <v/>
      </c>
      <c r="D728" s="170"/>
      <c r="E728" s="168" t="str">
        <f ca="1">IF(ISERROR($V728),"",OFFSET('Smelter Look-up'!$D$4,$V728-4,0)&amp;"")</f>
        <v/>
      </c>
      <c r="F728" s="168" t="str">
        <f ca="1">IF(ISERROR($V728),"",OFFSET('Smelter Look-up'!$E$4,$V728-4,0))</f>
        <v/>
      </c>
      <c r="G728" s="168" t="str">
        <f ca="1">IF(C728=$X$4,IF(ISERROR($V728),"Enter smelter details","RMI"),IF(ISERROR($V728),"",OFFSET('Smelter Look-up'!$F$4,$V728-4,0)))</f>
        <v/>
      </c>
      <c r="H728" s="171" t="str">
        <f ca="1">IF(ISERROR($V728),"",OFFSET('Smelter Look-up'!$G$4,$V728-4,0))</f>
        <v/>
      </c>
      <c r="I728" s="172" t="str">
        <f ca="1">IF(ISERROR($V728),"",OFFSET('Smelter Look-up'!$H$4,$V728-4,0))</f>
        <v/>
      </c>
      <c r="J728" s="172" t="str">
        <f ca="1">IF(ISERROR($V728),"",OFFSET('Smelter Look-up'!$I$4,$V728-4,0))</f>
        <v/>
      </c>
      <c r="K728" s="173"/>
      <c r="L728" s="173"/>
      <c r="M728" s="173"/>
      <c r="N728" s="173"/>
      <c r="O728" s="173"/>
      <c r="P728" s="174"/>
      <c r="Q728" s="175"/>
      <c r="R728" s="168" t="str">
        <f ca="1">IF(ISERROR($V728),"",OFFSET('Smelter Look-up'!$C$4,$V728-4,0)&amp;"")</f>
        <v/>
      </c>
      <c r="S728" s="167" t="str">
        <f t="shared" ca="1" si="84"/>
        <v/>
      </c>
      <c r="T728" s="167" t="str">
        <f ca="1">IF(B728="","",IF(ISERROR(MATCH($J728,SorP!$B$1:$B$6230,0)),"",INDIRECT("'SorP'!$A$"&amp;MATCH($J728,SorP!$B$1:$B$6230,0))))</f>
        <v/>
      </c>
      <c r="U728" s="176"/>
      <c r="V728" s="177" t="e">
        <f>IF(C728="",NA(),IF(OR(C728="Smelter not listed",C728="Smelter not yet identified"),MATCH($B728&amp;$D728,'Smelter Look-up'!$J:$J,0),MATCH($B728&amp;$C728,'Smelter Look-up'!$J:$J,0)))</f>
        <v>#N/A</v>
      </c>
      <c r="X728" s="140">
        <f t="shared" ca="1" si="85"/>
        <v>0</v>
      </c>
      <c r="AB728" s="178" t="str">
        <f t="shared" si="86"/>
        <v/>
      </c>
    </row>
    <row r="729" spans="1:28" s="140" customFormat="1" ht="20.25">
      <c r="A729" s="167"/>
      <c r="B729" s="168" t="str">
        <f>IF(LEN(A729)=0,"",INDEX('Smelter Look-up'!$A:$A,MATCH($A729,'Smelter Look-up'!$E:$E,0)))</f>
        <v/>
      </c>
      <c r="C729" s="169" t="str">
        <f>IF(LEN(A729)=0,"",INDEX('Smelter Look-up'!$C:$C,MATCH($A729,'Smelter Look-up'!$E:$E,0)))</f>
        <v/>
      </c>
      <c r="D729" s="170"/>
      <c r="E729" s="168" t="str">
        <f ca="1">IF(ISERROR($V729),"",OFFSET('Smelter Look-up'!$D$4,$V729-4,0)&amp;"")</f>
        <v/>
      </c>
      <c r="F729" s="168" t="str">
        <f ca="1">IF(ISERROR($V729),"",OFFSET('Smelter Look-up'!$E$4,$V729-4,0))</f>
        <v/>
      </c>
      <c r="G729" s="168" t="str">
        <f ca="1">IF(C729=$X$4,IF(ISERROR($V729),"Enter smelter details","RMI"),IF(ISERROR($V729),"",OFFSET('Smelter Look-up'!$F$4,$V729-4,0)))</f>
        <v/>
      </c>
      <c r="H729" s="171" t="str">
        <f ca="1">IF(ISERROR($V729),"",OFFSET('Smelter Look-up'!$G$4,$V729-4,0))</f>
        <v/>
      </c>
      <c r="I729" s="172" t="str">
        <f ca="1">IF(ISERROR($V729),"",OFFSET('Smelter Look-up'!$H$4,$V729-4,0))</f>
        <v/>
      </c>
      <c r="J729" s="172" t="str">
        <f ca="1">IF(ISERROR($V729),"",OFFSET('Smelter Look-up'!$I$4,$V729-4,0))</f>
        <v/>
      </c>
      <c r="K729" s="173"/>
      <c r="L729" s="173"/>
      <c r="M729" s="173"/>
      <c r="N729" s="173"/>
      <c r="O729" s="173"/>
      <c r="P729" s="174"/>
      <c r="Q729" s="175"/>
      <c r="R729" s="168" t="str">
        <f ca="1">IF(ISERROR($V729),"",OFFSET('Smelter Look-up'!$C$4,$V729-4,0)&amp;"")</f>
        <v/>
      </c>
      <c r="S729" s="167" t="str">
        <f t="shared" ca="1" si="84"/>
        <v/>
      </c>
      <c r="T729" s="167" t="str">
        <f ca="1">IF(B729="","",IF(ISERROR(MATCH($J729,SorP!$B$1:$B$6230,0)),"",INDIRECT("'SorP'!$A$"&amp;MATCH($J729,SorP!$B$1:$B$6230,0))))</f>
        <v/>
      </c>
      <c r="U729" s="176"/>
      <c r="V729" s="177" t="e">
        <f>IF(C729="",NA(),IF(OR(C729="Smelter not listed",C729="Smelter not yet identified"),MATCH($B729&amp;$D729,'Smelter Look-up'!$J:$J,0),MATCH($B729&amp;$C729,'Smelter Look-up'!$J:$J,0)))</f>
        <v>#N/A</v>
      </c>
      <c r="X729" s="140">
        <f t="shared" ca="1" si="85"/>
        <v>0</v>
      </c>
      <c r="AB729" s="178" t="str">
        <f t="shared" si="86"/>
        <v/>
      </c>
    </row>
    <row r="730" spans="1:28" s="140" customFormat="1" ht="20.25">
      <c r="A730" s="167"/>
      <c r="B730" s="168" t="str">
        <f>IF(LEN(A730)=0,"",INDEX('Smelter Look-up'!$A:$A,MATCH($A730,'Smelter Look-up'!$E:$E,0)))</f>
        <v/>
      </c>
      <c r="C730" s="169" t="str">
        <f>IF(LEN(A730)=0,"",INDEX('Smelter Look-up'!$C:$C,MATCH($A730,'Smelter Look-up'!$E:$E,0)))</f>
        <v/>
      </c>
      <c r="D730" s="170"/>
      <c r="E730" s="168" t="str">
        <f ca="1">IF(ISERROR($V730),"",OFFSET('Smelter Look-up'!$D$4,$V730-4,0)&amp;"")</f>
        <v/>
      </c>
      <c r="F730" s="168" t="str">
        <f ca="1">IF(ISERROR($V730),"",OFFSET('Smelter Look-up'!$E$4,$V730-4,0))</f>
        <v/>
      </c>
      <c r="G730" s="168" t="str">
        <f ca="1">IF(C730=$X$4,IF(ISERROR($V730),"Enter smelter details","RMI"),IF(ISERROR($V730),"",OFFSET('Smelter Look-up'!$F$4,$V730-4,0)))</f>
        <v/>
      </c>
      <c r="H730" s="171" t="str">
        <f ca="1">IF(ISERROR($V730),"",OFFSET('Smelter Look-up'!$G$4,$V730-4,0))</f>
        <v/>
      </c>
      <c r="I730" s="172" t="str">
        <f ca="1">IF(ISERROR($V730),"",OFFSET('Smelter Look-up'!$H$4,$V730-4,0))</f>
        <v/>
      </c>
      <c r="J730" s="172" t="str">
        <f ca="1">IF(ISERROR($V730),"",OFFSET('Smelter Look-up'!$I$4,$V730-4,0))</f>
        <v/>
      </c>
      <c r="K730" s="173"/>
      <c r="L730" s="173"/>
      <c r="M730" s="173"/>
      <c r="N730" s="173"/>
      <c r="O730" s="173"/>
      <c r="P730" s="174"/>
      <c r="Q730" s="175"/>
      <c r="R730" s="168" t="str">
        <f ca="1">IF(ISERROR($V730),"",OFFSET('Smelter Look-up'!$C$4,$V730-4,0)&amp;"")</f>
        <v/>
      </c>
      <c r="S730" s="167" t="str">
        <f t="shared" ca="1" si="84"/>
        <v/>
      </c>
      <c r="T730" s="167" t="str">
        <f ca="1">IF(B730="","",IF(ISERROR(MATCH($J730,SorP!$B$1:$B$6230,0)),"",INDIRECT("'SorP'!$A$"&amp;MATCH($J730,SorP!$B$1:$B$6230,0))))</f>
        <v/>
      </c>
      <c r="U730" s="176"/>
      <c r="V730" s="177" t="e">
        <f>IF(C730="",NA(),IF(OR(C730="Smelter not listed",C730="Smelter not yet identified"),MATCH($B730&amp;$D730,'Smelter Look-up'!$J:$J,0),MATCH($B730&amp;$C730,'Smelter Look-up'!$J:$J,0)))</f>
        <v>#N/A</v>
      </c>
      <c r="X730" s="140">
        <f t="shared" ca="1" si="85"/>
        <v>0</v>
      </c>
      <c r="AB730" s="178" t="str">
        <f t="shared" si="86"/>
        <v/>
      </c>
    </row>
    <row r="731" spans="1:28" s="140" customFormat="1" ht="20.25">
      <c r="A731" s="167"/>
      <c r="B731" s="168" t="str">
        <f>IF(LEN(A731)=0,"",INDEX('Smelter Look-up'!$A:$A,MATCH($A731,'Smelter Look-up'!$E:$E,0)))</f>
        <v/>
      </c>
      <c r="C731" s="169" t="str">
        <f>IF(LEN(A731)=0,"",INDEX('Smelter Look-up'!$C:$C,MATCH($A731,'Smelter Look-up'!$E:$E,0)))</f>
        <v/>
      </c>
      <c r="D731" s="170"/>
      <c r="E731" s="168" t="str">
        <f ca="1">IF(ISERROR($V731),"",OFFSET('Smelter Look-up'!$D$4,$V731-4,0)&amp;"")</f>
        <v/>
      </c>
      <c r="F731" s="168" t="str">
        <f ca="1">IF(ISERROR($V731),"",OFFSET('Smelter Look-up'!$E$4,$V731-4,0))</f>
        <v/>
      </c>
      <c r="G731" s="168" t="str">
        <f ca="1">IF(C731=$X$4,IF(ISERROR($V731),"Enter smelter details","RMI"),IF(ISERROR($V731),"",OFFSET('Smelter Look-up'!$F$4,$V731-4,0)))</f>
        <v/>
      </c>
      <c r="H731" s="171" t="str">
        <f ca="1">IF(ISERROR($V731),"",OFFSET('Smelter Look-up'!$G$4,$V731-4,0))</f>
        <v/>
      </c>
      <c r="I731" s="172" t="str">
        <f ca="1">IF(ISERROR($V731),"",OFFSET('Smelter Look-up'!$H$4,$V731-4,0))</f>
        <v/>
      </c>
      <c r="J731" s="172" t="str">
        <f ca="1">IF(ISERROR($V731),"",OFFSET('Smelter Look-up'!$I$4,$V731-4,0))</f>
        <v/>
      </c>
      <c r="K731" s="173"/>
      <c r="L731" s="173"/>
      <c r="M731" s="173"/>
      <c r="N731" s="173"/>
      <c r="O731" s="173"/>
      <c r="P731" s="174"/>
      <c r="Q731" s="175"/>
      <c r="R731" s="168" t="str">
        <f ca="1">IF(ISERROR($V731),"",OFFSET('Smelter Look-up'!$C$4,$V731-4,0)&amp;"")</f>
        <v/>
      </c>
      <c r="S731" s="167" t="str">
        <f t="shared" ca="1" si="84"/>
        <v/>
      </c>
      <c r="T731" s="167" t="str">
        <f ca="1">IF(B731="","",IF(ISERROR(MATCH($J731,SorP!$B$1:$B$6230,0)),"",INDIRECT("'SorP'!$A$"&amp;MATCH($J731,SorP!$B$1:$B$6230,0))))</f>
        <v/>
      </c>
      <c r="U731" s="176"/>
      <c r="V731" s="177" t="e">
        <f>IF(C731="",NA(),IF(OR(C731="Smelter not listed",C731="Smelter not yet identified"),MATCH($B731&amp;$D731,'Smelter Look-up'!$J:$J,0),MATCH($B731&amp;$C731,'Smelter Look-up'!$J:$J,0)))</f>
        <v>#N/A</v>
      </c>
      <c r="X731" s="140">
        <f t="shared" ca="1" si="85"/>
        <v>0</v>
      </c>
      <c r="AB731" s="178" t="str">
        <f t="shared" si="86"/>
        <v/>
      </c>
    </row>
    <row r="732" spans="1:28" s="140" customFormat="1" ht="20.25">
      <c r="A732" s="167"/>
      <c r="B732" s="168" t="str">
        <f>IF(LEN(A732)=0,"",INDEX('Smelter Look-up'!$A:$A,MATCH($A732,'Smelter Look-up'!$E:$E,0)))</f>
        <v/>
      </c>
      <c r="C732" s="169" t="str">
        <f>IF(LEN(A732)=0,"",INDEX('Smelter Look-up'!$C:$C,MATCH($A732,'Smelter Look-up'!$E:$E,0)))</f>
        <v/>
      </c>
      <c r="D732" s="170"/>
      <c r="E732" s="168" t="str">
        <f ca="1">IF(ISERROR($V732),"",OFFSET('Smelter Look-up'!$D$4,$V732-4,0)&amp;"")</f>
        <v/>
      </c>
      <c r="F732" s="168" t="str">
        <f ca="1">IF(ISERROR($V732),"",OFFSET('Smelter Look-up'!$E$4,$V732-4,0))</f>
        <v/>
      </c>
      <c r="G732" s="168" t="str">
        <f ca="1">IF(C732=$X$4,IF(ISERROR($V732),"Enter smelter details","RMI"),IF(ISERROR($V732),"",OFFSET('Smelter Look-up'!$F$4,$V732-4,0)))</f>
        <v/>
      </c>
      <c r="H732" s="171" t="str">
        <f ca="1">IF(ISERROR($V732),"",OFFSET('Smelter Look-up'!$G$4,$V732-4,0))</f>
        <v/>
      </c>
      <c r="I732" s="172" t="str">
        <f ca="1">IF(ISERROR($V732),"",OFFSET('Smelter Look-up'!$H$4,$V732-4,0))</f>
        <v/>
      </c>
      <c r="J732" s="172" t="str">
        <f ca="1">IF(ISERROR($V732),"",OFFSET('Smelter Look-up'!$I$4,$V732-4,0))</f>
        <v/>
      </c>
      <c r="K732" s="173"/>
      <c r="L732" s="173"/>
      <c r="M732" s="173"/>
      <c r="N732" s="173"/>
      <c r="O732" s="173"/>
      <c r="P732" s="174"/>
      <c r="Q732" s="175"/>
      <c r="R732" s="168" t="str">
        <f ca="1">IF(ISERROR($V732),"",OFFSET('Smelter Look-up'!$C$4,$V732-4,0)&amp;"")</f>
        <v/>
      </c>
      <c r="S732" s="167" t="str">
        <f t="shared" ca="1" si="84"/>
        <v/>
      </c>
      <c r="T732" s="167" t="str">
        <f ca="1">IF(B732="","",IF(ISERROR(MATCH($J732,SorP!$B$1:$B$6230,0)),"",INDIRECT("'SorP'!$A$"&amp;MATCH($J732,SorP!$B$1:$B$6230,0))))</f>
        <v/>
      </c>
      <c r="U732" s="176"/>
      <c r="V732" s="177" t="e">
        <f>IF(C732="",NA(),IF(OR(C732="Smelter not listed",C732="Smelter not yet identified"),MATCH($B732&amp;$D732,'Smelter Look-up'!$J:$J,0),MATCH($B732&amp;$C732,'Smelter Look-up'!$J:$J,0)))</f>
        <v>#N/A</v>
      </c>
      <c r="X732" s="140">
        <f t="shared" ca="1" si="85"/>
        <v>0</v>
      </c>
      <c r="AB732" s="178" t="str">
        <f t="shared" si="86"/>
        <v/>
      </c>
    </row>
    <row r="733" spans="1:28" s="140" customFormat="1" ht="20.25">
      <c r="A733" s="167"/>
      <c r="B733" s="168" t="str">
        <f>IF(LEN(A733)=0,"",INDEX('Smelter Look-up'!$A:$A,MATCH($A733,'Smelter Look-up'!$E:$E,0)))</f>
        <v/>
      </c>
      <c r="C733" s="169" t="str">
        <f>IF(LEN(A733)=0,"",INDEX('Smelter Look-up'!$C:$C,MATCH($A733,'Smelter Look-up'!$E:$E,0)))</f>
        <v/>
      </c>
      <c r="D733" s="170"/>
      <c r="E733" s="168" t="str">
        <f ca="1">IF(ISERROR($V733),"",OFFSET('Smelter Look-up'!$D$4,$V733-4,0)&amp;"")</f>
        <v/>
      </c>
      <c r="F733" s="168" t="str">
        <f ca="1">IF(ISERROR($V733),"",OFFSET('Smelter Look-up'!$E$4,$V733-4,0))</f>
        <v/>
      </c>
      <c r="G733" s="168" t="str">
        <f ca="1">IF(C733=$X$4,IF(ISERROR($V733),"Enter smelter details","RMI"),IF(ISERROR($V733),"",OFFSET('Smelter Look-up'!$F$4,$V733-4,0)))</f>
        <v/>
      </c>
      <c r="H733" s="171" t="str">
        <f ca="1">IF(ISERROR($V733),"",OFFSET('Smelter Look-up'!$G$4,$V733-4,0))</f>
        <v/>
      </c>
      <c r="I733" s="172" t="str">
        <f ca="1">IF(ISERROR($V733),"",OFFSET('Smelter Look-up'!$H$4,$V733-4,0))</f>
        <v/>
      </c>
      <c r="J733" s="172" t="str">
        <f ca="1">IF(ISERROR($V733),"",OFFSET('Smelter Look-up'!$I$4,$V733-4,0))</f>
        <v/>
      </c>
      <c r="K733" s="173"/>
      <c r="L733" s="173"/>
      <c r="M733" s="173"/>
      <c r="N733" s="173"/>
      <c r="O733" s="173"/>
      <c r="P733" s="174"/>
      <c r="Q733" s="175"/>
      <c r="R733" s="168" t="str">
        <f ca="1">IF(ISERROR($V733),"",OFFSET('Smelter Look-up'!$C$4,$V733-4,0)&amp;"")</f>
        <v/>
      </c>
      <c r="S733" s="167" t="str">
        <f t="shared" ca="1" si="84"/>
        <v/>
      </c>
      <c r="T733" s="167" t="str">
        <f ca="1">IF(B733="","",IF(ISERROR(MATCH($J733,SorP!$B$1:$B$6230,0)),"",INDIRECT("'SorP'!$A$"&amp;MATCH($J733,SorP!$B$1:$B$6230,0))))</f>
        <v/>
      </c>
      <c r="U733" s="176"/>
      <c r="V733" s="177" t="e">
        <f>IF(C733="",NA(),IF(OR(C733="Smelter not listed",C733="Smelter not yet identified"),MATCH($B733&amp;$D733,'Smelter Look-up'!$J:$J,0),MATCH($B733&amp;$C733,'Smelter Look-up'!$J:$J,0)))</f>
        <v>#N/A</v>
      </c>
      <c r="X733" s="140">
        <f t="shared" ca="1" si="85"/>
        <v>0</v>
      </c>
      <c r="AB733" s="178" t="str">
        <f t="shared" si="86"/>
        <v/>
      </c>
    </row>
    <row r="734" spans="1:28" s="140" customFormat="1" ht="20.25">
      <c r="A734" s="167"/>
      <c r="B734" s="168" t="str">
        <f>IF(LEN(A734)=0,"",INDEX('Smelter Look-up'!$A:$A,MATCH($A734,'Smelter Look-up'!$E:$E,0)))</f>
        <v/>
      </c>
      <c r="C734" s="169" t="str">
        <f>IF(LEN(A734)=0,"",INDEX('Smelter Look-up'!$C:$C,MATCH($A734,'Smelter Look-up'!$E:$E,0)))</f>
        <v/>
      </c>
      <c r="D734" s="170"/>
      <c r="E734" s="168" t="str">
        <f ca="1">IF(ISERROR($V734),"",OFFSET('Smelter Look-up'!$D$4,$V734-4,0)&amp;"")</f>
        <v/>
      </c>
      <c r="F734" s="168" t="str">
        <f ca="1">IF(ISERROR($V734),"",OFFSET('Smelter Look-up'!$E$4,$V734-4,0))</f>
        <v/>
      </c>
      <c r="G734" s="168" t="str">
        <f ca="1">IF(C734=$X$4,IF(ISERROR($V734),"Enter smelter details","RMI"),IF(ISERROR($V734),"",OFFSET('Smelter Look-up'!$F$4,$V734-4,0)))</f>
        <v/>
      </c>
      <c r="H734" s="171" t="str">
        <f ca="1">IF(ISERROR($V734),"",OFFSET('Smelter Look-up'!$G$4,$V734-4,0))</f>
        <v/>
      </c>
      <c r="I734" s="172" t="str">
        <f ca="1">IF(ISERROR($V734),"",OFFSET('Smelter Look-up'!$H$4,$V734-4,0))</f>
        <v/>
      </c>
      <c r="J734" s="172" t="str">
        <f ca="1">IF(ISERROR($V734),"",OFFSET('Smelter Look-up'!$I$4,$V734-4,0))</f>
        <v/>
      </c>
      <c r="K734" s="173"/>
      <c r="L734" s="173"/>
      <c r="M734" s="173"/>
      <c r="N734" s="173"/>
      <c r="O734" s="173"/>
      <c r="P734" s="174"/>
      <c r="Q734" s="175"/>
      <c r="R734" s="168" t="str">
        <f ca="1">IF(ISERROR($V734),"",OFFSET('Smelter Look-up'!$C$4,$V734-4,0)&amp;"")</f>
        <v/>
      </c>
      <c r="S734" s="167" t="str">
        <f t="shared" ca="1" si="84"/>
        <v/>
      </c>
      <c r="T734" s="167" t="str">
        <f ca="1">IF(B734="","",IF(ISERROR(MATCH($J734,SorP!$B$1:$B$6230,0)),"",INDIRECT("'SorP'!$A$"&amp;MATCH($J734,SorP!$B$1:$B$6230,0))))</f>
        <v/>
      </c>
      <c r="U734" s="176"/>
      <c r="V734" s="177" t="e">
        <f>IF(C734="",NA(),IF(OR(C734="Smelter not listed",C734="Smelter not yet identified"),MATCH($B734&amp;$D734,'Smelter Look-up'!$J:$J,0),MATCH($B734&amp;$C734,'Smelter Look-up'!$J:$J,0)))</f>
        <v>#N/A</v>
      </c>
      <c r="X734" s="140">
        <f t="shared" ca="1" si="85"/>
        <v>0</v>
      </c>
      <c r="AB734" s="178" t="str">
        <f t="shared" si="86"/>
        <v/>
      </c>
    </row>
    <row r="735" spans="1:28" s="140" customFormat="1" ht="20.25">
      <c r="A735" s="167"/>
      <c r="B735" s="168" t="str">
        <f>IF(LEN(A735)=0,"",INDEX('Smelter Look-up'!$A:$A,MATCH($A735,'Smelter Look-up'!$E:$E,0)))</f>
        <v/>
      </c>
      <c r="C735" s="169" t="str">
        <f>IF(LEN(A735)=0,"",INDEX('Smelter Look-up'!$C:$C,MATCH($A735,'Smelter Look-up'!$E:$E,0)))</f>
        <v/>
      </c>
      <c r="D735" s="170"/>
      <c r="E735" s="168" t="str">
        <f ca="1">IF(ISERROR($V735),"",OFFSET('Smelter Look-up'!$D$4,$V735-4,0)&amp;"")</f>
        <v/>
      </c>
      <c r="F735" s="168" t="str">
        <f ca="1">IF(ISERROR($V735),"",OFFSET('Smelter Look-up'!$E$4,$V735-4,0))</f>
        <v/>
      </c>
      <c r="G735" s="168" t="str">
        <f ca="1">IF(C735=$X$4,IF(ISERROR($V735),"Enter smelter details","RMI"),IF(ISERROR($V735),"",OFFSET('Smelter Look-up'!$F$4,$V735-4,0)))</f>
        <v/>
      </c>
      <c r="H735" s="171" t="str">
        <f ca="1">IF(ISERROR($V735),"",OFFSET('Smelter Look-up'!$G$4,$V735-4,0))</f>
        <v/>
      </c>
      <c r="I735" s="172" t="str">
        <f ca="1">IF(ISERROR($V735),"",OFFSET('Smelter Look-up'!$H$4,$V735-4,0))</f>
        <v/>
      </c>
      <c r="J735" s="172" t="str">
        <f ca="1">IF(ISERROR($V735),"",OFFSET('Smelter Look-up'!$I$4,$V735-4,0))</f>
        <v/>
      </c>
      <c r="K735" s="173"/>
      <c r="L735" s="173"/>
      <c r="M735" s="173"/>
      <c r="N735" s="173"/>
      <c r="O735" s="173"/>
      <c r="P735" s="174"/>
      <c r="Q735" s="175"/>
      <c r="R735" s="168" t="str">
        <f ca="1">IF(ISERROR($V735),"",OFFSET('Smelter Look-up'!$C$4,$V735-4,0)&amp;"")</f>
        <v/>
      </c>
      <c r="S735" s="167" t="str">
        <f t="shared" ca="1" si="84"/>
        <v/>
      </c>
      <c r="T735" s="167" t="str">
        <f ca="1">IF(B735="","",IF(ISERROR(MATCH($J735,SorP!$B$1:$B$6230,0)),"",INDIRECT("'SorP'!$A$"&amp;MATCH($J735,SorP!$B$1:$B$6230,0))))</f>
        <v/>
      </c>
      <c r="U735" s="176"/>
      <c r="V735" s="177" t="e">
        <f>IF(C735="",NA(),IF(OR(C735="Smelter not listed",C735="Smelter not yet identified"),MATCH($B735&amp;$D735,'Smelter Look-up'!$J:$J,0),MATCH($B735&amp;$C735,'Smelter Look-up'!$J:$J,0)))</f>
        <v>#N/A</v>
      </c>
      <c r="X735" s="140">
        <f t="shared" ca="1" si="85"/>
        <v>0</v>
      </c>
      <c r="AB735" s="178" t="str">
        <f t="shared" si="86"/>
        <v/>
      </c>
    </row>
    <row r="736" spans="1:28" s="140" customFormat="1" ht="20.25">
      <c r="A736" s="167"/>
      <c r="B736" s="168" t="str">
        <f>IF(LEN(A736)=0,"",INDEX('Smelter Look-up'!$A:$A,MATCH($A736,'Smelter Look-up'!$E:$E,0)))</f>
        <v/>
      </c>
      <c r="C736" s="169" t="str">
        <f>IF(LEN(A736)=0,"",INDEX('Smelter Look-up'!$C:$C,MATCH($A736,'Smelter Look-up'!$E:$E,0)))</f>
        <v/>
      </c>
      <c r="D736" s="170"/>
      <c r="E736" s="168" t="str">
        <f ca="1">IF(ISERROR($V736),"",OFFSET('Smelter Look-up'!$D$4,$V736-4,0)&amp;"")</f>
        <v/>
      </c>
      <c r="F736" s="168" t="str">
        <f ca="1">IF(ISERROR($V736),"",OFFSET('Smelter Look-up'!$E$4,$V736-4,0))</f>
        <v/>
      </c>
      <c r="G736" s="168" t="str">
        <f ca="1">IF(C736=$X$4,IF(ISERROR($V736),"Enter smelter details","RMI"),IF(ISERROR($V736),"",OFFSET('Smelter Look-up'!$F$4,$V736-4,0)))</f>
        <v/>
      </c>
      <c r="H736" s="171" t="str">
        <f ca="1">IF(ISERROR($V736),"",OFFSET('Smelter Look-up'!$G$4,$V736-4,0))</f>
        <v/>
      </c>
      <c r="I736" s="172" t="str">
        <f ca="1">IF(ISERROR($V736),"",OFFSET('Smelter Look-up'!$H$4,$V736-4,0))</f>
        <v/>
      </c>
      <c r="J736" s="172" t="str">
        <f ca="1">IF(ISERROR($V736),"",OFFSET('Smelter Look-up'!$I$4,$V736-4,0))</f>
        <v/>
      </c>
      <c r="K736" s="173"/>
      <c r="L736" s="173"/>
      <c r="M736" s="173"/>
      <c r="N736" s="173"/>
      <c r="O736" s="173"/>
      <c r="P736" s="174"/>
      <c r="Q736" s="175"/>
      <c r="R736" s="168" t="str">
        <f ca="1">IF(ISERROR($V736),"",OFFSET('Smelter Look-up'!$C$4,$V736-4,0)&amp;"")</f>
        <v/>
      </c>
      <c r="S736" s="167" t="str">
        <f t="shared" ca="1" si="84"/>
        <v/>
      </c>
      <c r="T736" s="167" t="str">
        <f ca="1">IF(B736="","",IF(ISERROR(MATCH($J736,SorP!$B$1:$B$6230,0)),"",INDIRECT("'SorP'!$A$"&amp;MATCH($J736,SorP!$B$1:$B$6230,0))))</f>
        <v/>
      </c>
      <c r="U736" s="176"/>
      <c r="V736" s="177" t="e">
        <f>IF(C736="",NA(),IF(OR(C736="Smelter not listed",C736="Smelter not yet identified"),MATCH($B736&amp;$D736,'Smelter Look-up'!$J:$J,0),MATCH($B736&amp;$C736,'Smelter Look-up'!$J:$J,0)))</f>
        <v>#N/A</v>
      </c>
      <c r="X736" s="140">
        <f t="shared" ca="1" si="85"/>
        <v>0</v>
      </c>
      <c r="AB736" s="178" t="str">
        <f t="shared" si="86"/>
        <v/>
      </c>
    </row>
    <row r="737" spans="1:28" s="140" customFormat="1" ht="20.25">
      <c r="A737" s="167"/>
      <c r="B737" s="168" t="str">
        <f>IF(LEN(A737)=0,"",INDEX('Smelter Look-up'!$A:$A,MATCH($A737,'Smelter Look-up'!$E:$E,0)))</f>
        <v/>
      </c>
      <c r="C737" s="169" t="str">
        <f>IF(LEN(A737)=0,"",INDEX('Smelter Look-up'!$C:$C,MATCH($A737,'Smelter Look-up'!$E:$E,0)))</f>
        <v/>
      </c>
      <c r="D737" s="170"/>
      <c r="E737" s="168" t="str">
        <f ca="1">IF(ISERROR($V737),"",OFFSET('Smelter Look-up'!$D$4,$V737-4,0)&amp;"")</f>
        <v/>
      </c>
      <c r="F737" s="168" t="str">
        <f ca="1">IF(ISERROR($V737),"",OFFSET('Smelter Look-up'!$E$4,$V737-4,0))</f>
        <v/>
      </c>
      <c r="G737" s="168" t="str">
        <f ca="1">IF(C737=$X$4,IF(ISERROR($V737),"Enter smelter details","RMI"),IF(ISERROR($V737),"",OFFSET('Smelter Look-up'!$F$4,$V737-4,0)))</f>
        <v/>
      </c>
      <c r="H737" s="171" t="str">
        <f ca="1">IF(ISERROR($V737),"",OFFSET('Smelter Look-up'!$G$4,$V737-4,0))</f>
        <v/>
      </c>
      <c r="I737" s="172" t="str">
        <f ca="1">IF(ISERROR($V737),"",OFFSET('Smelter Look-up'!$H$4,$V737-4,0))</f>
        <v/>
      </c>
      <c r="J737" s="172" t="str">
        <f ca="1">IF(ISERROR($V737),"",OFFSET('Smelter Look-up'!$I$4,$V737-4,0))</f>
        <v/>
      </c>
      <c r="K737" s="173"/>
      <c r="L737" s="173"/>
      <c r="M737" s="173"/>
      <c r="N737" s="173"/>
      <c r="O737" s="173"/>
      <c r="P737" s="174"/>
      <c r="Q737" s="175"/>
      <c r="R737" s="168" t="str">
        <f ca="1">IF(ISERROR($V737),"",OFFSET('Smelter Look-up'!$C$4,$V737-4,0)&amp;"")</f>
        <v/>
      </c>
      <c r="S737" s="167" t="str">
        <f t="shared" ca="1" si="84"/>
        <v/>
      </c>
      <c r="T737" s="167" t="str">
        <f ca="1">IF(B737="","",IF(ISERROR(MATCH($J737,SorP!$B$1:$B$6230,0)),"",INDIRECT("'SorP'!$A$"&amp;MATCH($J737,SorP!$B$1:$B$6230,0))))</f>
        <v/>
      </c>
      <c r="U737" s="176"/>
      <c r="V737" s="177" t="e">
        <f>IF(C737="",NA(),IF(OR(C737="Smelter not listed",C737="Smelter not yet identified"),MATCH($B737&amp;$D737,'Smelter Look-up'!$J:$J,0),MATCH($B737&amp;$C737,'Smelter Look-up'!$J:$J,0)))</f>
        <v>#N/A</v>
      </c>
      <c r="X737" s="140">
        <f t="shared" ca="1" si="85"/>
        <v>0</v>
      </c>
      <c r="AB737" s="178" t="str">
        <f t="shared" si="86"/>
        <v/>
      </c>
    </row>
    <row r="738" spans="1:28" s="140" customFormat="1" ht="20.25">
      <c r="A738" s="167"/>
      <c r="B738" s="168" t="str">
        <f>IF(LEN(A738)=0,"",INDEX('Smelter Look-up'!$A:$A,MATCH($A738,'Smelter Look-up'!$E:$E,0)))</f>
        <v/>
      </c>
      <c r="C738" s="169" t="str">
        <f>IF(LEN(A738)=0,"",INDEX('Smelter Look-up'!$C:$C,MATCH($A738,'Smelter Look-up'!$E:$E,0)))</f>
        <v/>
      </c>
      <c r="D738" s="170"/>
      <c r="E738" s="168" t="str">
        <f ca="1">IF(ISERROR($V738),"",OFFSET('Smelter Look-up'!$D$4,$V738-4,0)&amp;"")</f>
        <v/>
      </c>
      <c r="F738" s="168" t="str">
        <f ca="1">IF(ISERROR($V738),"",OFFSET('Smelter Look-up'!$E$4,$V738-4,0))</f>
        <v/>
      </c>
      <c r="G738" s="168" t="str">
        <f ca="1">IF(C738=$X$4,IF(ISERROR($V738),"Enter smelter details","RMI"),IF(ISERROR($V738),"",OFFSET('Smelter Look-up'!$F$4,$V738-4,0)))</f>
        <v/>
      </c>
      <c r="H738" s="171" t="str">
        <f ca="1">IF(ISERROR($V738),"",OFFSET('Smelter Look-up'!$G$4,$V738-4,0))</f>
        <v/>
      </c>
      <c r="I738" s="172" t="str">
        <f ca="1">IF(ISERROR($V738),"",OFFSET('Smelter Look-up'!$H$4,$V738-4,0))</f>
        <v/>
      </c>
      <c r="J738" s="172" t="str">
        <f ca="1">IF(ISERROR($V738),"",OFFSET('Smelter Look-up'!$I$4,$V738-4,0))</f>
        <v/>
      </c>
      <c r="K738" s="173"/>
      <c r="L738" s="173"/>
      <c r="M738" s="173"/>
      <c r="N738" s="173"/>
      <c r="O738" s="173"/>
      <c r="P738" s="174"/>
      <c r="Q738" s="175"/>
      <c r="R738" s="168" t="str">
        <f ca="1">IF(ISERROR($V738),"",OFFSET('Smelter Look-up'!$C$4,$V738-4,0)&amp;"")</f>
        <v/>
      </c>
      <c r="S738" s="167" t="str">
        <f t="shared" ca="1" si="84"/>
        <v/>
      </c>
      <c r="T738" s="167" t="str">
        <f ca="1">IF(B738="","",IF(ISERROR(MATCH($J738,SorP!$B$1:$B$6230,0)),"",INDIRECT("'SorP'!$A$"&amp;MATCH($J738,SorP!$B$1:$B$6230,0))))</f>
        <v/>
      </c>
      <c r="U738" s="176"/>
      <c r="V738" s="177" t="e">
        <f>IF(C738="",NA(),IF(OR(C738="Smelter not listed",C738="Smelter not yet identified"),MATCH($B738&amp;$D738,'Smelter Look-up'!$J:$J,0),MATCH($B738&amp;$C738,'Smelter Look-up'!$J:$J,0)))</f>
        <v>#N/A</v>
      </c>
      <c r="X738" s="140">
        <f t="shared" ca="1" si="85"/>
        <v>0</v>
      </c>
      <c r="AB738" s="178" t="str">
        <f t="shared" si="86"/>
        <v/>
      </c>
    </row>
    <row r="739" spans="1:28" s="140" customFormat="1" ht="20.25">
      <c r="A739" s="167"/>
      <c r="B739" s="168" t="str">
        <f>IF(LEN(A739)=0,"",INDEX('Smelter Look-up'!$A:$A,MATCH($A739,'Smelter Look-up'!$E:$E,0)))</f>
        <v/>
      </c>
      <c r="C739" s="169" t="str">
        <f>IF(LEN(A739)=0,"",INDEX('Smelter Look-up'!$C:$C,MATCH($A739,'Smelter Look-up'!$E:$E,0)))</f>
        <v/>
      </c>
      <c r="D739" s="170"/>
      <c r="E739" s="168" t="str">
        <f ca="1">IF(ISERROR($V739),"",OFFSET('Smelter Look-up'!$D$4,$V739-4,0)&amp;"")</f>
        <v/>
      </c>
      <c r="F739" s="168" t="str">
        <f ca="1">IF(ISERROR($V739),"",OFFSET('Smelter Look-up'!$E$4,$V739-4,0))</f>
        <v/>
      </c>
      <c r="G739" s="168" t="str">
        <f ca="1">IF(C739=$X$4,IF(ISERROR($V739),"Enter smelter details","RMI"),IF(ISERROR($V739),"",OFFSET('Smelter Look-up'!$F$4,$V739-4,0)))</f>
        <v/>
      </c>
      <c r="H739" s="171" t="str">
        <f ca="1">IF(ISERROR($V739),"",OFFSET('Smelter Look-up'!$G$4,$V739-4,0))</f>
        <v/>
      </c>
      <c r="I739" s="172" t="str">
        <f ca="1">IF(ISERROR($V739),"",OFFSET('Smelter Look-up'!$H$4,$V739-4,0))</f>
        <v/>
      </c>
      <c r="J739" s="172" t="str">
        <f ca="1">IF(ISERROR($V739),"",OFFSET('Smelter Look-up'!$I$4,$V739-4,0))</f>
        <v/>
      </c>
      <c r="K739" s="173"/>
      <c r="L739" s="173"/>
      <c r="M739" s="173"/>
      <c r="N739" s="173"/>
      <c r="O739" s="173"/>
      <c r="P739" s="174"/>
      <c r="Q739" s="175"/>
      <c r="R739" s="168" t="str">
        <f ca="1">IF(ISERROR($V739),"",OFFSET('Smelter Look-up'!$C$4,$V739-4,0)&amp;"")</f>
        <v/>
      </c>
      <c r="S739" s="167" t="str">
        <f t="shared" ca="1" si="84"/>
        <v/>
      </c>
      <c r="T739" s="167" t="str">
        <f ca="1">IF(B739="","",IF(ISERROR(MATCH($J739,SorP!$B$1:$B$6230,0)),"",INDIRECT("'SorP'!$A$"&amp;MATCH($J739,SorP!$B$1:$B$6230,0))))</f>
        <v/>
      </c>
      <c r="U739" s="176"/>
      <c r="V739" s="177" t="e">
        <f>IF(C739="",NA(),IF(OR(C739="Smelter not listed",C739="Smelter not yet identified"),MATCH($B739&amp;$D739,'Smelter Look-up'!$J:$J,0),MATCH($B739&amp;$C739,'Smelter Look-up'!$J:$J,0)))</f>
        <v>#N/A</v>
      </c>
      <c r="X739" s="140">
        <f t="shared" ca="1" si="85"/>
        <v>0</v>
      </c>
      <c r="AB739" s="178" t="str">
        <f t="shared" si="86"/>
        <v/>
      </c>
    </row>
    <row r="740" spans="1:28" s="140" customFormat="1" ht="20.25">
      <c r="A740" s="167"/>
      <c r="B740" s="168" t="str">
        <f>IF(LEN(A740)=0,"",INDEX('Smelter Look-up'!$A:$A,MATCH($A740,'Smelter Look-up'!$E:$E,0)))</f>
        <v/>
      </c>
      <c r="C740" s="169" t="str">
        <f>IF(LEN(A740)=0,"",INDEX('Smelter Look-up'!$C:$C,MATCH($A740,'Smelter Look-up'!$E:$E,0)))</f>
        <v/>
      </c>
      <c r="D740" s="170"/>
      <c r="E740" s="168" t="str">
        <f ca="1">IF(ISERROR($V740),"",OFFSET('Smelter Look-up'!$D$4,$V740-4,0)&amp;"")</f>
        <v/>
      </c>
      <c r="F740" s="168" t="str">
        <f ca="1">IF(ISERROR($V740),"",OFFSET('Smelter Look-up'!$E$4,$V740-4,0))</f>
        <v/>
      </c>
      <c r="G740" s="168" t="str">
        <f ca="1">IF(C740=$X$4,IF(ISERROR($V740),"Enter smelter details","RMI"),IF(ISERROR($V740),"",OFFSET('Smelter Look-up'!$F$4,$V740-4,0)))</f>
        <v/>
      </c>
      <c r="H740" s="171" t="str">
        <f ca="1">IF(ISERROR($V740),"",OFFSET('Smelter Look-up'!$G$4,$V740-4,0))</f>
        <v/>
      </c>
      <c r="I740" s="172" t="str">
        <f ca="1">IF(ISERROR($V740),"",OFFSET('Smelter Look-up'!$H$4,$V740-4,0))</f>
        <v/>
      </c>
      <c r="J740" s="172" t="str">
        <f ca="1">IF(ISERROR($V740),"",OFFSET('Smelter Look-up'!$I$4,$V740-4,0))</f>
        <v/>
      </c>
      <c r="K740" s="173"/>
      <c r="L740" s="173"/>
      <c r="M740" s="173"/>
      <c r="N740" s="173"/>
      <c r="O740" s="173"/>
      <c r="P740" s="174"/>
      <c r="Q740" s="175"/>
      <c r="R740" s="168" t="str">
        <f ca="1">IF(ISERROR($V740),"",OFFSET('Smelter Look-up'!$C$4,$V740-4,0)&amp;"")</f>
        <v/>
      </c>
      <c r="S740" s="167" t="str">
        <f t="shared" ca="1" si="84"/>
        <v/>
      </c>
      <c r="T740" s="167" t="str">
        <f ca="1">IF(B740="","",IF(ISERROR(MATCH($J740,SorP!$B$1:$B$6230,0)),"",INDIRECT("'SorP'!$A$"&amp;MATCH($J740,SorP!$B$1:$B$6230,0))))</f>
        <v/>
      </c>
      <c r="U740" s="176"/>
      <c r="V740" s="177" t="e">
        <f>IF(C740="",NA(),IF(OR(C740="Smelter not listed",C740="Smelter not yet identified"),MATCH($B740&amp;$D740,'Smelter Look-up'!$J:$J,0),MATCH($B740&amp;$C740,'Smelter Look-up'!$J:$J,0)))</f>
        <v>#N/A</v>
      </c>
      <c r="X740" s="140">
        <f t="shared" ca="1" si="85"/>
        <v>0</v>
      </c>
      <c r="AB740" s="178" t="str">
        <f t="shared" si="86"/>
        <v/>
      </c>
    </row>
    <row r="741" spans="1:28" s="140" customFormat="1" ht="20.25">
      <c r="A741" s="167"/>
      <c r="B741" s="168" t="str">
        <f>IF(LEN(A741)=0,"",INDEX('Smelter Look-up'!$A:$A,MATCH($A741,'Smelter Look-up'!$E:$E,0)))</f>
        <v/>
      </c>
      <c r="C741" s="169" t="str">
        <f>IF(LEN(A741)=0,"",INDEX('Smelter Look-up'!$C:$C,MATCH($A741,'Smelter Look-up'!$E:$E,0)))</f>
        <v/>
      </c>
      <c r="D741" s="170"/>
      <c r="E741" s="168" t="str">
        <f ca="1">IF(ISERROR($V741),"",OFFSET('Smelter Look-up'!$D$4,$V741-4,0)&amp;"")</f>
        <v/>
      </c>
      <c r="F741" s="168" t="str">
        <f ca="1">IF(ISERROR($V741),"",OFFSET('Smelter Look-up'!$E$4,$V741-4,0))</f>
        <v/>
      </c>
      <c r="G741" s="168" t="str">
        <f ca="1">IF(C741=$X$4,IF(ISERROR($V741),"Enter smelter details","RMI"),IF(ISERROR($V741),"",OFFSET('Smelter Look-up'!$F$4,$V741-4,0)))</f>
        <v/>
      </c>
      <c r="H741" s="171" t="str">
        <f ca="1">IF(ISERROR($V741),"",OFFSET('Smelter Look-up'!$G$4,$V741-4,0))</f>
        <v/>
      </c>
      <c r="I741" s="172" t="str">
        <f ca="1">IF(ISERROR($V741),"",OFFSET('Smelter Look-up'!$H$4,$V741-4,0))</f>
        <v/>
      </c>
      <c r="J741" s="172" t="str">
        <f ca="1">IF(ISERROR($V741),"",OFFSET('Smelter Look-up'!$I$4,$V741-4,0))</f>
        <v/>
      </c>
      <c r="K741" s="173"/>
      <c r="L741" s="173"/>
      <c r="M741" s="173"/>
      <c r="N741" s="173"/>
      <c r="O741" s="173"/>
      <c r="P741" s="174"/>
      <c r="Q741" s="175"/>
      <c r="R741" s="168" t="str">
        <f ca="1">IF(ISERROR($V741),"",OFFSET('Smelter Look-up'!$C$4,$V741-4,0)&amp;"")</f>
        <v/>
      </c>
      <c r="S741" s="167" t="str">
        <f t="shared" ref="S741:S804" ca="1" si="87">IF(B741="","",IF(ISERROR(MATCH($E741,CL,0)),"Unknown",INDIRECT("'C'!$A$"&amp;MATCH($E741,CL,0)+1)))</f>
        <v/>
      </c>
      <c r="T741" s="167" t="str">
        <f ca="1">IF(B741="","",IF(ISERROR(MATCH($J741,SorP!$B$1:$B$6230,0)),"",INDIRECT("'SorP'!$A$"&amp;MATCH($J741,SorP!$B$1:$B$6230,0))))</f>
        <v/>
      </c>
      <c r="U741" s="176"/>
      <c r="V741" s="177" t="e">
        <f>IF(C741="",NA(),IF(OR(C741="Smelter not listed",C741="Smelter not yet identified"),MATCH($B741&amp;$D741,'Smelter Look-up'!$J:$J,0),MATCH($B741&amp;$C741,'Smelter Look-up'!$J:$J,0)))</f>
        <v>#N/A</v>
      </c>
      <c r="X741" s="140">
        <f t="shared" ref="X741:X804" ca="1" si="88">IF(AND(C741="Smelter not listed",OR(LEN(D741)=0,LEN(E741)=0)),1,0)</f>
        <v>0</v>
      </c>
      <c r="AB741" s="178" t="str">
        <f t="shared" ref="AB741:AB804" si="89">B741&amp;C741</f>
        <v/>
      </c>
    </row>
    <row r="742" spans="1:28" s="140" customFormat="1" ht="20.25">
      <c r="A742" s="167"/>
      <c r="B742" s="168" t="str">
        <f>IF(LEN(A742)=0,"",INDEX('Smelter Look-up'!$A:$A,MATCH($A742,'Smelter Look-up'!$E:$E,0)))</f>
        <v/>
      </c>
      <c r="C742" s="169" t="str">
        <f>IF(LEN(A742)=0,"",INDEX('Smelter Look-up'!$C:$C,MATCH($A742,'Smelter Look-up'!$E:$E,0)))</f>
        <v/>
      </c>
      <c r="D742" s="170"/>
      <c r="E742" s="168" t="str">
        <f ca="1">IF(ISERROR($V742),"",OFFSET('Smelter Look-up'!$D$4,$V742-4,0)&amp;"")</f>
        <v/>
      </c>
      <c r="F742" s="168" t="str">
        <f ca="1">IF(ISERROR($V742),"",OFFSET('Smelter Look-up'!$E$4,$V742-4,0))</f>
        <v/>
      </c>
      <c r="G742" s="168" t="str">
        <f ca="1">IF(C742=$X$4,IF(ISERROR($V742),"Enter smelter details","RMI"),IF(ISERROR($V742),"",OFFSET('Smelter Look-up'!$F$4,$V742-4,0)))</f>
        <v/>
      </c>
      <c r="H742" s="171" t="str">
        <f ca="1">IF(ISERROR($V742),"",OFFSET('Smelter Look-up'!$G$4,$V742-4,0))</f>
        <v/>
      </c>
      <c r="I742" s="172" t="str">
        <f ca="1">IF(ISERROR($V742),"",OFFSET('Smelter Look-up'!$H$4,$V742-4,0))</f>
        <v/>
      </c>
      <c r="J742" s="172" t="str">
        <f ca="1">IF(ISERROR($V742),"",OFFSET('Smelter Look-up'!$I$4,$V742-4,0))</f>
        <v/>
      </c>
      <c r="K742" s="173"/>
      <c r="L742" s="173"/>
      <c r="M742" s="173"/>
      <c r="N742" s="173"/>
      <c r="O742" s="173"/>
      <c r="P742" s="174"/>
      <c r="Q742" s="175"/>
      <c r="R742" s="168" t="str">
        <f ca="1">IF(ISERROR($V742),"",OFFSET('Smelter Look-up'!$C$4,$V742-4,0)&amp;"")</f>
        <v/>
      </c>
      <c r="S742" s="167" t="str">
        <f t="shared" ca="1" si="87"/>
        <v/>
      </c>
      <c r="T742" s="167" t="str">
        <f ca="1">IF(B742="","",IF(ISERROR(MATCH($J742,SorP!$B$1:$B$6230,0)),"",INDIRECT("'SorP'!$A$"&amp;MATCH($J742,SorP!$B$1:$B$6230,0))))</f>
        <v/>
      </c>
      <c r="U742" s="176"/>
      <c r="V742" s="177" t="e">
        <f>IF(C742="",NA(),IF(OR(C742="Smelter not listed",C742="Smelter not yet identified"),MATCH($B742&amp;$D742,'Smelter Look-up'!$J:$J,0),MATCH($B742&amp;$C742,'Smelter Look-up'!$J:$J,0)))</f>
        <v>#N/A</v>
      </c>
      <c r="X742" s="140">
        <f t="shared" ca="1" si="88"/>
        <v>0</v>
      </c>
      <c r="AB742" s="178" t="str">
        <f t="shared" si="89"/>
        <v/>
      </c>
    </row>
    <row r="743" spans="1:28" s="140" customFormat="1" ht="20.25">
      <c r="A743" s="167"/>
      <c r="B743" s="168" t="str">
        <f>IF(LEN(A743)=0,"",INDEX('Smelter Look-up'!$A:$A,MATCH($A743,'Smelter Look-up'!$E:$E,0)))</f>
        <v/>
      </c>
      <c r="C743" s="169" t="str">
        <f>IF(LEN(A743)=0,"",INDEX('Smelter Look-up'!$C:$C,MATCH($A743,'Smelter Look-up'!$E:$E,0)))</f>
        <v/>
      </c>
      <c r="D743" s="170"/>
      <c r="E743" s="168" t="str">
        <f ca="1">IF(ISERROR($V743),"",OFFSET('Smelter Look-up'!$D$4,$V743-4,0)&amp;"")</f>
        <v/>
      </c>
      <c r="F743" s="168" t="str">
        <f ca="1">IF(ISERROR($V743),"",OFFSET('Smelter Look-up'!$E$4,$V743-4,0))</f>
        <v/>
      </c>
      <c r="G743" s="168" t="str">
        <f ca="1">IF(C743=$X$4,IF(ISERROR($V743),"Enter smelter details","RMI"),IF(ISERROR($V743),"",OFFSET('Smelter Look-up'!$F$4,$V743-4,0)))</f>
        <v/>
      </c>
      <c r="H743" s="171" t="str">
        <f ca="1">IF(ISERROR($V743),"",OFFSET('Smelter Look-up'!$G$4,$V743-4,0))</f>
        <v/>
      </c>
      <c r="I743" s="172" t="str">
        <f ca="1">IF(ISERROR($V743),"",OFFSET('Smelter Look-up'!$H$4,$V743-4,0))</f>
        <v/>
      </c>
      <c r="J743" s="172" t="str">
        <f ca="1">IF(ISERROR($V743),"",OFFSET('Smelter Look-up'!$I$4,$V743-4,0))</f>
        <v/>
      </c>
      <c r="K743" s="173"/>
      <c r="L743" s="173"/>
      <c r="M743" s="173"/>
      <c r="N743" s="173"/>
      <c r="O743" s="173"/>
      <c r="P743" s="174"/>
      <c r="Q743" s="175"/>
      <c r="R743" s="168" t="str">
        <f ca="1">IF(ISERROR($V743),"",OFFSET('Smelter Look-up'!$C$4,$V743-4,0)&amp;"")</f>
        <v/>
      </c>
      <c r="S743" s="167" t="str">
        <f t="shared" ca="1" si="87"/>
        <v/>
      </c>
      <c r="T743" s="167" t="str">
        <f ca="1">IF(B743="","",IF(ISERROR(MATCH($J743,SorP!$B$1:$B$6230,0)),"",INDIRECT("'SorP'!$A$"&amp;MATCH($J743,SorP!$B$1:$B$6230,0))))</f>
        <v/>
      </c>
      <c r="U743" s="176"/>
      <c r="V743" s="177" t="e">
        <f>IF(C743="",NA(),IF(OR(C743="Smelter not listed",C743="Smelter not yet identified"),MATCH($B743&amp;$D743,'Smelter Look-up'!$J:$J,0),MATCH($B743&amp;$C743,'Smelter Look-up'!$J:$J,0)))</f>
        <v>#N/A</v>
      </c>
      <c r="X743" s="140">
        <f t="shared" ca="1" si="88"/>
        <v>0</v>
      </c>
      <c r="AB743" s="178" t="str">
        <f t="shared" si="89"/>
        <v/>
      </c>
    </row>
    <row r="744" spans="1:28" s="140" customFormat="1" ht="20.25">
      <c r="A744" s="167"/>
      <c r="B744" s="168" t="str">
        <f>IF(LEN(A744)=0,"",INDEX('Smelter Look-up'!$A:$A,MATCH($A744,'Smelter Look-up'!$E:$E,0)))</f>
        <v/>
      </c>
      <c r="C744" s="169" t="str">
        <f>IF(LEN(A744)=0,"",INDEX('Smelter Look-up'!$C:$C,MATCH($A744,'Smelter Look-up'!$E:$E,0)))</f>
        <v/>
      </c>
      <c r="D744" s="170"/>
      <c r="E744" s="168" t="str">
        <f ca="1">IF(ISERROR($V744),"",OFFSET('Smelter Look-up'!$D$4,$V744-4,0)&amp;"")</f>
        <v/>
      </c>
      <c r="F744" s="168" t="str">
        <f ca="1">IF(ISERROR($V744),"",OFFSET('Smelter Look-up'!$E$4,$V744-4,0))</f>
        <v/>
      </c>
      <c r="G744" s="168" t="str">
        <f ca="1">IF(C744=$X$4,IF(ISERROR($V744),"Enter smelter details","RMI"),IF(ISERROR($V744),"",OFFSET('Smelter Look-up'!$F$4,$V744-4,0)))</f>
        <v/>
      </c>
      <c r="H744" s="171" t="str">
        <f ca="1">IF(ISERROR($V744),"",OFFSET('Smelter Look-up'!$G$4,$V744-4,0))</f>
        <v/>
      </c>
      <c r="I744" s="172" t="str">
        <f ca="1">IF(ISERROR($V744),"",OFFSET('Smelter Look-up'!$H$4,$V744-4,0))</f>
        <v/>
      </c>
      <c r="J744" s="172" t="str">
        <f ca="1">IF(ISERROR($V744),"",OFFSET('Smelter Look-up'!$I$4,$V744-4,0))</f>
        <v/>
      </c>
      <c r="K744" s="173"/>
      <c r="L744" s="173"/>
      <c r="M744" s="173"/>
      <c r="N744" s="173"/>
      <c r="O744" s="173"/>
      <c r="P744" s="174"/>
      <c r="Q744" s="175"/>
      <c r="R744" s="168" t="str">
        <f ca="1">IF(ISERROR($V744),"",OFFSET('Smelter Look-up'!$C$4,$V744-4,0)&amp;"")</f>
        <v/>
      </c>
      <c r="S744" s="167" t="str">
        <f t="shared" ca="1" si="87"/>
        <v/>
      </c>
      <c r="T744" s="167" t="str">
        <f ca="1">IF(B744="","",IF(ISERROR(MATCH($J744,SorP!$B$1:$B$6230,0)),"",INDIRECT("'SorP'!$A$"&amp;MATCH($J744,SorP!$B$1:$B$6230,0))))</f>
        <v/>
      </c>
      <c r="U744" s="176"/>
      <c r="V744" s="177" t="e">
        <f>IF(C744="",NA(),IF(OR(C744="Smelter not listed",C744="Smelter not yet identified"),MATCH($B744&amp;$D744,'Smelter Look-up'!$J:$J,0),MATCH($B744&amp;$C744,'Smelter Look-up'!$J:$J,0)))</f>
        <v>#N/A</v>
      </c>
      <c r="X744" s="140">
        <f t="shared" ca="1" si="88"/>
        <v>0</v>
      </c>
      <c r="AB744" s="178" t="str">
        <f t="shared" si="89"/>
        <v/>
      </c>
    </row>
    <row r="745" spans="1:28" s="140" customFormat="1" ht="20.25">
      <c r="A745" s="167"/>
      <c r="B745" s="168" t="str">
        <f>IF(LEN(A745)=0,"",INDEX('Smelter Look-up'!$A:$A,MATCH($A745,'Smelter Look-up'!$E:$E,0)))</f>
        <v/>
      </c>
      <c r="C745" s="169" t="str">
        <f>IF(LEN(A745)=0,"",INDEX('Smelter Look-up'!$C:$C,MATCH($A745,'Smelter Look-up'!$E:$E,0)))</f>
        <v/>
      </c>
      <c r="D745" s="170"/>
      <c r="E745" s="168" t="str">
        <f ca="1">IF(ISERROR($V745),"",OFFSET('Smelter Look-up'!$D$4,$V745-4,0)&amp;"")</f>
        <v/>
      </c>
      <c r="F745" s="168" t="str">
        <f ca="1">IF(ISERROR($V745),"",OFFSET('Smelter Look-up'!$E$4,$V745-4,0))</f>
        <v/>
      </c>
      <c r="G745" s="168" t="str">
        <f ca="1">IF(C745=$X$4,IF(ISERROR($V745),"Enter smelter details","RMI"),IF(ISERROR($V745),"",OFFSET('Smelter Look-up'!$F$4,$V745-4,0)))</f>
        <v/>
      </c>
      <c r="H745" s="171" t="str">
        <f ca="1">IF(ISERROR($V745),"",OFFSET('Smelter Look-up'!$G$4,$V745-4,0))</f>
        <v/>
      </c>
      <c r="I745" s="172" t="str">
        <f ca="1">IF(ISERROR($V745),"",OFFSET('Smelter Look-up'!$H$4,$V745-4,0))</f>
        <v/>
      </c>
      <c r="J745" s="172" t="str">
        <f ca="1">IF(ISERROR($V745),"",OFFSET('Smelter Look-up'!$I$4,$V745-4,0))</f>
        <v/>
      </c>
      <c r="K745" s="173"/>
      <c r="L745" s="173"/>
      <c r="M745" s="173"/>
      <c r="N745" s="173"/>
      <c r="O745" s="173"/>
      <c r="P745" s="174"/>
      <c r="Q745" s="175"/>
      <c r="R745" s="168" t="str">
        <f ca="1">IF(ISERROR($V745),"",OFFSET('Smelter Look-up'!$C$4,$V745-4,0)&amp;"")</f>
        <v/>
      </c>
      <c r="S745" s="167" t="str">
        <f t="shared" ca="1" si="87"/>
        <v/>
      </c>
      <c r="T745" s="167" t="str">
        <f ca="1">IF(B745="","",IF(ISERROR(MATCH($J745,SorP!$B$1:$B$6230,0)),"",INDIRECT("'SorP'!$A$"&amp;MATCH($J745,SorP!$B$1:$B$6230,0))))</f>
        <v/>
      </c>
      <c r="U745" s="176"/>
      <c r="V745" s="177" t="e">
        <f>IF(C745="",NA(),IF(OR(C745="Smelter not listed",C745="Smelter not yet identified"),MATCH($B745&amp;$D745,'Smelter Look-up'!$J:$J,0),MATCH($B745&amp;$C745,'Smelter Look-up'!$J:$J,0)))</f>
        <v>#N/A</v>
      </c>
      <c r="X745" s="140">
        <f t="shared" ca="1" si="88"/>
        <v>0</v>
      </c>
      <c r="AB745" s="178" t="str">
        <f t="shared" si="89"/>
        <v/>
      </c>
    </row>
    <row r="746" spans="1:28" s="140" customFormat="1" ht="20.25">
      <c r="A746" s="167"/>
      <c r="B746" s="168" t="str">
        <f>IF(LEN(A746)=0,"",INDEX('Smelter Look-up'!$A:$A,MATCH($A746,'Smelter Look-up'!$E:$E,0)))</f>
        <v/>
      </c>
      <c r="C746" s="169" t="str">
        <f>IF(LEN(A746)=0,"",INDEX('Smelter Look-up'!$C:$C,MATCH($A746,'Smelter Look-up'!$E:$E,0)))</f>
        <v/>
      </c>
      <c r="D746" s="170"/>
      <c r="E746" s="168" t="str">
        <f ca="1">IF(ISERROR($V746),"",OFFSET('Smelter Look-up'!$D$4,$V746-4,0)&amp;"")</f>
        <v/>
      </c>
      <c r="F746" s="168" t="str">
        <f ca="1">IF(ISERROR($V746),"",OFFSET('Smelter Look-up'!$E$4,$V746-4,0))</f>
        <v/>
      </c>
      <c r="G746" s="168" t="str">
        <f ca="1">IF(C746=$X$4,IF(ISERROR($V746),"Enter smelter details","RMI"),IF(ISERROR($V746),"",OFFSET('Smelter Look-up'!$F$4,$V746-4,0)))</f>
        <v/>
      </c>
      <c r="H746" s="171" t="str">
        <f ca="1">IF(ISERROR($V746),"",OFFSET('Smelter Look-up'!$G$4,$V746-4,0))</f>
        <v/>
      </c>
      <c r="I746" s="172" t="str">
        <f ca="1">IF(ISERROR($V746),"",OFFSET('Smelter Look-up'!$H$4,$V746-4,0))</f>
        <v/>
      </c>
      <c r="J746" s="172" t="str">
        <f ca="1">IF(ISERROR($V746),"",OFFSET('Smelter Look-up'!$I$4,$V746-4,0))</f>
        <v/>
      </c>
      <c r="K746" s="173"/>
      <c r="L746" s="173"/>
      <c r="M746" s="173"/>
      <c r="N746" s="173"/>
      <c r="O746" s="173"/>
      <c r="P746" s="174"/>
      <c r="Q746" s="175"/>
      <c r="R746" s="168" t="str">
        <f ca="1">IF(ISERROR($V746),"",OFFSET('Smelter Look-up'!$C$4,$V746-4,0)&amp;"")</f>
        <v/>
      </c>
      <c r="S746" s="167" t="str">
        <f t="shared" ca="1" si="87"/>
        <v/>
      </c>
      <c r="T746" s="167" t="str">
        <f ca="1">IF(B746="","",IF(ISERROR(MATCH($J746,SorP!$B$1:$B$6230,0)),"",INDIRECT("'SorP'!$A$"&amp;MATCH($J746,SorP!$B$1:$B$6230,0))))</f>
        <v/>
      </c>
      <c r="U746" s="176"/>
      <c r="V746" s="177" t="e">
        <f>IF(C746="",NA(),IF(OR(C746="Smelter not listed",C746="Smelter not yet identified"),MATCH($B746&amp;$D746,'Smelter Look-up'!$J:$J,0),MATCH($B746&amp;$C746,'Smelter Look-up'!$J:$J,0)))</f>
        <v>#N/A</v>
      </c>
      <c r="X746" s="140">
        <f t="shared" ca="1" si="88"/>
        <v>0</v>
      </c>
      <c r="AB746" s="178" t="str">
        <f t="shared" si="89"/>
        <v/>
      </c>
    </row>
    <row r="747" spans="1:28" s="140" customFormat="1" ht="20.25">
      <c r="A747" s="167"/>
      <c r="B747" s="168" t="str">
        <f>IF(LEN(A747)=0,"",INDEX('Smelter Look-up'!$A:$A,MATCH($A747,'Smelter Look-up'!$E:$E,0)))</f>
        <v/>
      </c>
      <c r="C747" s="169" t="str">
        <f>IF(LEN(A747)=0,"",INDEX('Smelter Look-up'!$C:$C,MATCH($A747,'Smelter Look-up'!$E:$E,0)))</f>
        <v/>
      </c>
      <c r="D747" s="170"/>
      <c r="E747" s="168" t="str">
        <f ca="1">IF(ISERROR($V747),"",OFFSET('Smelter Look-up'!$D$4,$V747-4,0)&amp;"")</f>
        <v/>
      </c>
      <c r="F747" s="168" t="str">
        <f ca="1">IF(ISERROR($V747),"",OFFSET('Smelter Look-up'!$E$4,$V747-4,0))</f>
        <v/>
      </c>
      <c r="G747" s="168" t="str">
        <f ca="1">IF(C747=$X$4,IF(ISERROR($V747),"Enter smelter details","RMI"),IF(ISERROR($V747),"",OFFSET('Smelter Look-up'!$F$4,$V747-4,0)))</f>
        <v/>
      </c>
      <c r="H747" s="171" t="str">
        <f ca="1">IF(ISERROR($V747),"",OFFSET('Smelter Look-up'!$G$4,$V747-4,0))</f>
        <v/>
      </c>
      <c r="I747" s="172" t="str">
        <f ca="1">IF(ISERROR($V747),"",OFFSET('Smelter Look-up'!$H$4,$V747-4,0))</f>
        <v/>
      </c>
      <c r="J747" s="172" t="str">
        <f ca="1">IF(ISERROR($V747),"",OFFSET('Smelter Look-up'!$I$4,$V747-4,0))</f>
        <v/>
      </c>
      <c r="K747" s="173"/>
      <c r="L747" s="173"/>
      <c r="M747" s="173"/>
      <c r="N747" s="173"/>
      <c r="O747" s="173"/>
      <c r="P747" s="174"/>
      <c r="Q747" s="175"/>
      <c r="R747" s="168" t="str">
        <f ca="1">IF(ISERROR($V747),"",OFFSET('Smelter Look-up'!$C$4,$V747-4,0)&amp;"")</f>
        <v/>
      </c>
      <c r="S747" s="167" t="str">
        <f t="shared" ca="1" si="87"/>
        <v/>
      </c>
      <c r="T747" s="167" t="str">
        <f ca="1">IF(B747="","",IF(ISERROR(MATCH($J747,SorP!$B$1:$B$6230,0)),"",INDIRECT("'SorP'!$A$"&amp;MATCH($J747,SorP!$B$1:$B$6230,0))))</f>
        <v/>
      </c>
      <c r="U747" s="176"/>
      <c r="V747" s="177" t="e">
        <f>IF(C747="",NA(),IF(OR(C747="Smelter not listed",C747="Smelter not yet identified"),MATCH($B747&amp;$D747,'Smelter Look-up'!$J:$J,0),MATCH($B747&amp;$C747,'Smelter Look-up'!$J:$J,0)))</f>
        <v>#N/A</v>
      </c>
      <c r="X747" s="140">
        <f t="shared" ca="1" si="88"/>
        <v>0</v>
      </c>
      <c r="AB747" s="178" t="str">
        <f t="shared" si="89"/>
        <v/>
      </c>
    </row>
    <row r="748" spans="1:28" s="140" customFormat="1" ht="20.25">
      <c r="A748" s="167"/>
      <c r="B748" s="168" t="str">
        <f>IF(LEN(A748)=0,"",INDEX('Smelter Look-up'!$A:$A,MATCH($A748,'Smelter Look-up'!$E:$E,0)))</f>
        <v/>
      </c>
      <c r="C748" s="169" t="str">
        <f>IF(LEN(A748)=0,"",INDEX('Smelter Look-up'!$C:$C,MATCH($A748,'Smelter Look-up'!$E:$E,0)))</f>
        <v/>
      </c>
      <c r="D748" s="170"/>
      <c r="E748" s="168" t="str">
        <f ca="1">IF(ISERROR($V748),"",OFFSET('Smelter Look-up'!$D$4,$V748-4,0)&amp;"")</f>
        <v/>
      </c>
      <c r="F748" s="168" t="str">
        <f ca="1">IF(ISERROR($V748),"",OFFSET('Smelter Look-up'!$E$4,$V748-4,0))</f>
        <v/>
      </c>
      <c r="G748" s="168" t="str">
        <f ca="1">IF(C748=$X$4,IF(ISERROR($V748),"Enter smelter details","RMI"),IF(ISERROR($V748),"",OFFSET('Smelter Look-up'!$F$4,$V748-4,0)))</f>
        <v/>
      </c>
      <c r="H748" s="171" t="str">
        <f ca="1">IF(ISERROR($V748),"",OFFSET('Smelter Look-up'!$G$4,$V748-4,0))</f>
        <v/>
      </c>
      <c r="I748" s="172" t="str">
        <f ca="1">IF(ISERROR($V748),"",OFFSET('Smelter Look-up'!$H$4,$V748-4,0))</f>
        <v/>
      </c>
      <c r="J748" s="172" t="str">
        <f ca="1">IF(ISERROR($V748),"",OFFSET('Smelter Look-up'!$I$4,$V748-4,0))</f>
        <v/>
      </c>
      <c r="K748" s="173"/>
      <c r="L748" s="173"/>
      <c r="M748" s="173"/>
      <c r="N748" s="173"/>
      <c r="O748" s="173"/>
      <c r="P748" s="174"/>
      <c r="Q748" s="175"/>
      <c r="R748" s="168" t="str">
        <f ca="1">IF(ISERROR($V748),"",OFFSET('Smelter Look-up'!$C$4,$V748-4,0)&amp;"")</f>
        <v/>
      </c>
      <c r="S748" s="167" t="str">
        <f t="shared" ca="1" si="87"/>
        <v/>
      </c>
      <c r="T748" s="167" t="str">
        <f ca="1">IF(B748="","",IF(ISERROR(MATCH($J748,SorP!$B$1:$B$6230,0)),"",INDIRECT("'SorP'!$A$"&amp;MATCH($J748,SorP!$B$1:$B$6230,0))))</f>
        <v/>
      </c>
      <c r="U748" s="176"/>
      <c r="V748" s="177" t="e">
        <f>IF(C748="",NA(),IF(OR(C748="Smelter not listed",C748="Smelter not yet identified"),MATCH($B748&amp;$D748,'Smelter Look-up'!$J:$J,0),MATCH($B748&amp;$C748,'Smelter Look-up'!$J:$J,0)))</f>
        <v>#N/A</v>
      </c>
      <c r="X748" s="140">
        <f t="shared" ca="1" si="88"/>
        <v>0</v>
      </c>
      <c r="AB748" s="178" t="str">
        <f t="shared" si="89"/>
        <v/>
      </c>
    </row>
    <row r="749" spans="1:28" s="140" customFormat="1" ht="20.25">
      <c r="A749" s="167"/>
      <c r="B749" s="168" t="str">
        <f>IF(LEN(A749)=0,"",INDEX('Smelter Look-up'!$A:$A,MATCH($A749,'Smelter Look-up'!$E:$E,0)))</f>
        <v/>
      </c>
      <c r="C749" s="169" t="str">
        <f>IF(LEN(A749)=0,"",INDEX('Smelter Look-up'!$C:$C,MATCH($A749,'Smelter Look-up'!$E:$E,0)))</f>
        <v/>
      </c>
      <c r="D749" s="170"/>
      <c r="E749" s="168" t="str">
        <f ca="1">IF(ISERROR($V749),"",OFFSET('Smelter Look-up'!$D$4,$V749-4,0)&amp;"")</f>
        <v/>
      </c>
      <c r="F749" s="168" t="str">
        <f ca="1">IF(ISERROR($V749),"",OFFSET('Smelter Look-up'!$E$4,$V749-4,0))</f>
        <v/>
      </c>
      <c r="G749" s="168" t="str">
        <f ca="1">IF(C749=$X$4,IF(ISERROR($V749),"Enter smelter details","RMI"),IF(ISERROR($V749),"",OFFSET('Smelter Look-up'!$F$4,$V749-4,0)))</f>
        <v/>
      </c>
      <c r="H749" s="171" t="str">
        <f ca="1">IF(ISERROR($V749),"",OFFSET('Smelter Look-up'!$G$4,$V749-4,0))</f>
        <v/>
      </c>
      <c r="I749" s="172" t="str">
        <f ca="1">IF(ISERROR($V749),"",OFFSET('Smelter Look-up'!$H$4,$V749-4,0))</f>
        <v/>
      </c>
      <c r="J749" s="172" t="str">
        <f ca="1">IF(ISERROR($V749),"",OFFSET('Smelter Look-up'!$I$4,$V749-4,0))</f>
        <v/>
      </c>
      <c r="K749" s="173"/>
      <c r="L749" s="173"/>
      <c r="M749" s="173"/>
      <c r="N749" s="173"/>
      <c r="O749" s="173"/>
      <c r="P749" s="174"/>
      <c r="Q749" s="175"/>
      <c r="R749" s="168" t="str">
        <f ca="1">IF(ISERROR($V749),"",OFFSET('Smelter Look-up'!$C$4,$V749-4,0)&amp;"")</f>
        <v/>
      </c>
      <c r="S749" s="167" t="str">
        <f t="shared" ca="1" si="87"/>
        <v/>
      </c>
      <c r="T749" s="167" t="str">
        <f ca="1">IF(B749="","",IF(ISERROR(MATCH($J749,SorP!$B$1:$B$6230,0)),"",INDIRECT("'SorP'!$A$"&amp;MATCH($J749,SorP!$B$1:$B$6230,0))))</f>
        <v/>
      </c>
      <c r="U749" s="176"/>
      <c r="V749" s="177" t="e">
        <f>IF(C749="",NA(),IF(OR(C749="Smelter not listed",C749="Smelter not yet identified"),MATCH($B749&amp;$D749,'Smelter Look-up'!$J:$J,0),MATCH($B749&amp;$C749,'Smelter Look-up'!$J:$J,0)))</f>
        <v>#N/A</v>
      </c>
      <c r="X749" s="140">
        <f t="shared" ca="1" si="88"/>
        <v>0</v>
      </c>
      <c r="AB749" s="178" t="str">
        <f t="shared" si="89"/>
        <v/>
      </c>
    </row>
    <row r="750" spans="1:28" s="140" customFormat="1" ht="20.25">
      <c r="A750" s="167"/>
      <c r="B750" s="168" t="str">
        <f>IF(LEN(A750)=0,"",INDEX('Smelter Look-up'!$A:$A,MATCH($A750,'Smelter Look-up'!$E:$E,0)))</f>
        <v/>
      </c>
      <c r="C750" s="169" t="str">
        <f>IF(LEN(A750)=0,"",INDEX('Smelter Look-up'!$C:$C,MATCH($A750,'Smelter Look-up'!$E:$E,0)))</f>
        <v/>
      </c>
      <c r="D750" s="170"/>
      <c r="E750" s="168" t="str">
        <f ca="1">IF(ISERROR($V750),"",OFFSET('Smelter Look-up'!$D$4,$V750-4,0)&amp;"")</f>
        <v/>
      </c>
      <c r="F750" s="168" t="str">
        <f ca="1">IF(ISERROR($V750),"",OFFSET('Smelter Look-up'!$E$4,$V750-4,0))</f>
        <v/>
      </c>
      <c r="G750" s="168" t="str">
        <f ca="1">IF(C750=$X$4,IF(ISERROR($V750),"Enter smelter details","RMI"),IF(ISERROR($V750),"",OFFSET('Smelter Look-up'!$F$4,$V750-4,0)))</f>
        <v/>
      </c>
      <c r="H750" s="171" t="str">
        <f ca="1">IF(ISERROR($V750),"",OFFSET('Smelter Look-up'!$G$4,$V750-4,0))</f>
        <v/>
      </c>
      <c r="I750" s="172" t="str">
        <f ca="1">IF(ISERROR($V750),"",OFFSET('Smelter Look-up'!$H$4,$V750-4,0))</f>
        <v/>
      </c>
      <c r="J750" s="172" t="str">
        <f ca="1">IF(ISERROR($V750),"",OFFSET('Smelter Look-up'!$I$4,$V750-4,0))</f>
        <v/>
      </c>
      <c r="K750" s="173"/>
      <c r="L750" s="173"/>
      <c r="M750" s="173"/>
      <c r="N750" s="173"/>
      <c r="O750" s="173"/>
      <c r="P750" s="174"/>
      <c r="Q750" s="175"/>
      <c r="R750" s="168" t="str">
        <f ca="1">IF(ISERROR($V750),"",OFFSET('Smelter Look-up'!$C$4,$V750-4,0)&amp;"")</f>
        <v/>
      </c>
      <c r="S750" s="167" t="str">
        <f t="shared" ca="1" si="87"/>
        <v/>
      </c>
      <c r="T750" s="167" t="str">
        <f ca="1">IF(B750="","",IF(ISERROR(MATCH($J750,SorP!$B$1:$B$6230,0)),"",INDIRECT("'SorP'!$A$"&amp;MATCH($J750,SorP!$B$1:$B$6230,0))))</f>
        <v/>
      </c>
      <c r="U750" s="176"/>
      <c r="V750" s="177" t="e">
        <f>IF(C750="",NA(),IF(OR(C750="Smelter not listed",C750="Smelter not yet identified"),MATCH($B750&amp;$D750,'Smelter Look-up'!$J:$J,0),MATCH($B750&amp;$C750,'Smelter Look-up'!$J:$J,0)))</f>
        <v>#N/A</v>
      </c>
      <c r="X750" s="140">
        <f t="shared" ca="1" si="88"/>
        <v>0</v>
      </c>
      <c r="AB750" s="178" t="str">
        <f t="shared" si="89"/>
        <v/>
      </c>
    </row>
    <row r="751" spans="1:28" s="140" customFormat="1" ht="20.25">
      <c r="A751" s="167"/>
      <c r="B751" s="168" t="str">
        <f>IF(LEN(A751)=0,"",INDEX('Smelter Look-up'!$A:$A,MATCH($A751,'Smelter Look-up'!$E:$E,0)))</f>
        <v/>
      </c>
      <c r="C751" s="169" t="str">
        <f>IF(LEN(A751)=0,"",INDEX('Smelter Look-up'!$C:$C,MATCH($A751,'Smelter Look-up'!$E:$E,0)))</f>
        <v/>
      </c>
      <c r="D751" s="170"/>
      <c r="E751" s="168" t="str">
        <f ca="1">IF(ISERROR($V751),"",OFFSET('Smelter Look-up'!$D$4,$V751-4,0)&amp;"")</f>
        <v/>
      </c>
      <c r="F751" s="168" t="str">
        <f ca="1">IF(ISERROR($V751),"",OFFSET('Smelter Look-up'!$E$4,$V751-4,0))</f>
        <v/>
      </c>
      <c r="G751" s="168" t="str">
        <f ca="1">IF(C751=$X$4,IF(ISERROR($V751),"Enter smelter details","RMI"),IF(ISERROR($V751),"",OFFSET('Smelter Look-up'!$F$4,$V751-4,0)))</f>
        <v/>
      </c>
      <c r="H751" s="171" t="str">
        <f ca="1">IF(ISERROR($V751),"",OFFSET('Smelter Look-up'!$G$4,$V751-4,0))</f>
        <v/>
      </c>
      <c r="I751" s="172" t="str">
        <f ca="1">IF(ISERROR($V751),"",OFFSET('Smelter Look-up'!$H$4,$V751-4,0))</f>
        <v/>
      </c>
      <c r="J751" s="172" t="str">
        <f ca="1">IF(ISERROR($V751),"",OFFSET('Smelter Look-up'!$I$4,$V751-4,0))</f>
        <v/>
      </c>
      <c r="K751" s="173"/>
      <c r="L751" s="173"/>
      <c r="M751" s="173"/>
      <c r="N751" s="173"/>
      <c r="O751" s="173"/>
      <c r="P751" s="174"/>
      <c r="Q751" s="175"/>
      <c r="R751" s="168" t="str">
        <f ca="1">IF(ISERROR($V751),"",OFFSET('Smelter Look-up'!$C$4,$V751-4,0)&amp;"")</f>
        <v/>
      </c>
      <c r="S751" s="167" t="str">
        <f t="shared" ca="1" si="87"/>
        <v/>
      </c>
      <c r="T751" s="167" t="str">
        <f ca="1">IF(B751="","",IF(ISERROR(MATCH($J751,SorP!$B$1:$B$6230,0)),"",INDIRECT("'SorP'!$A$"&amp;MATCH($J751,SorP!$B$1:$B$6230,0))))</f>
        <v/>
      </c>
      <c r="U751" s="176"/>
      <c r="V751" s="177" t="e">
        <f>IF(C751="",NA(),IF(OR(C751="Smelter not listed",C751="Smelter not yet identified"),MATCH($B751&amp;$D751,'Smelter Look-up'!$J:$J,0),MATCH($B751&amp;$C751,'Smelter Look-up'!$J:$J,0)))</f>
        <v>#N/A</v>
      </c>
      <c r="X751" s="140">
        <f t="shared" ca="1" si="88"/>
        <v>0</v>
      </c>
      <c r="AB751" s="178" t="str">
        <f t="shared" si="89"/>
        <v/>
      </c>
    </row>
    <row r="752" spans="1:28" s="140" customFormat="1" ht="20.25">
      <c r="A752" s="167"/>
      <c r="B752" s="168" t="str">
        <f>IF(LEN(A752)=0,"",INDEX('Smelter Look-up'!$A:$A,MATCH($A752,'Smelter Look-up'!$E:$E,0)))</f>
        <v/>
      </c>
      <c r="C752" s="169" t="str">
        <f>IF(LEN(A752)=0,"",INDEX('Smelter Look-up'!$C:$C,MATCH($A752,'Smelter Look-up'!$E:$E,0)))</f>
        <v/>
      </c>
      <c r="D752" s="170"/>
      <c r="E752" s="168" t="str">
        <f ca="1">IF(ISERROR($V752),"",OFFSET('Smelter Look-up'!$D$4,$V752-4,0)&amp;"")</f>
        <v/>
      </c>
      <c r="F752" s="168" t="str">
        <f ca="1">IF(ISERROR($V752),"",OFFSET('Smelter Look-up'!$E$4,$V752-4,0))</f>
        <v/>
      </c>
      <c r="G752" s="168" t="str">
        <f ca="1">IF(C752=$X$4,IF(ISERROR($V752),"Enter smelter details","RMI"),IF(ISERROR($V752),"",OFFSET('Smelter Look-up'!$F$4,$V752-4,0)))</f>
        <v/>
      </c>
      <c r="H752" s="171" t="str">
        <f ca="1">IF(ISERROR($V752),"",OFFSET('Smelter Look-up'!$G$4,$V752-4,0))</f>
        <v/>
      </c>
      <c r="I752" s="172" t="str">
        <f ca="1">IF(ISERROR($V752),"",OFFSET('Smelter Look-up'!$H$4,$V752-4,0))</f>
        <v/>
      </c>
      <c r="J752" s="172" t="str">
        <f ca="1">IF(ISERROR($V752),"",OFFSET('Smelter Look-up'!$I$4,$V752-4,0))</f>
        <v/>
      </c>
      <c r="K752" s="173"/>
      <c r="L752" s="173"/>
      <c r="M752" s="173"/>
      <c r="N752" s="173"/>
      <c r="O752" s="173"/>
      <c r="P752" s="174"/>
      <c r="Q752" s="175"/>
      <c r="R752" s="168" t="str">
        <f ca="1">IF(ISERROR($V752),"",OFFSET('Smelter Look-up'!$C$4,$V752-4,0)&amp;"")</f>
        <v/>
      </c>
      <c r="S752" s="167" t="str">
        <f t="shared" ca="1" si="87"/>
        <v/>
      </c>
      <c r="T752" s="167" t="str">
        <f ca="1">IF(B752="","",IF(ISERROR(MATCH($J752,SorP!$B$1:$B$6230,0)),"",INDIRECT("'SorP'!$A$"&amp;MATCH($J752,SorP!$B$1:$B$6230,0))))</f>
        <v/>
      </c>
      <c r="U752" s="176"/>
      <c r="V752" s="177" t="e">
        <f>IF(C752="",NA(),IF(OR(C752="Smelter not listed",C752="Smelter not yet identified"),MATCH($B752&amp;$D752,'Smelter Look-up'!$J:$J,0),MATCH($B752&amp;$C752,'Smelter Look-up'!$J:$J,0)))</f>
        <v>#N/A</v>
      </c>
      <c r="X752" s="140">
        <f t="shared" ca="1" si="88"/>
        <v>0</v>
      </c>
      <c r="AB752" s="178" t="str">
        <f t="shared" si="89"/>
        <v/>
      </c>
    </row>
    <row r="753" spans="1:28" s="140" customFormat="1" ht="20.25">
      <c r="A753" s="167"/>
      <c r="B753" s="168" t="str">
        <f>IF(LEN(A753)=0,"",INDEX('Smelter Look-up'!$A:$A,MATCH($A753,'Smelter Look-up'!$E:$E,0)))</f>
        <v/>
      </c>
      <c r="C753" s="169" t="str">
        <f>IF(LEN(A753)=0,"",INDEX('Smelter Look-up'!$C:$C,MATCH($A753,'Smelter Look-up'!$E:$E,0)))</f>
        <v/>
      </c>
      <c r="D753" s="170"/>
      <c r="E753" s="168" t="str">
        <f ca="1">IF(ISERROR($V753),"",OFFSET('Smelter Look-up'!$D$4,$V753-4,0)&amp;"")</f>
        <v/>
      </c>
      <c r="F753" s="168" t="str">
        <f ca="1">IF(ISERROR($V753),"",OFFSET('Smelter Look-up'!$E$4,$V753-4,0))</f>
        <v/>
      </c>
      <c r="G753" s="168" t="str">
        <f ca="1">IF(C753=$X$4,IF(ISERROR($V753),"Enter smelter details","RMI"),IF(ISERROR($V753),"",OFFSET('Smelter Look-up'!$F$4,$V753-4,0)))</f>
        <v/>
      </c>
      <c r="H753" s="171" t="str">
        <f ca="1">IF(ISERROR($V753),"",OFFSET('Smelter Look-up'!$G$4,$V753-4,0))</f>
        <v/>
      </c>
      <c r="I753" s="172" t="str">
        <f ca="1">IF(ISERROR($V753),"",OFFSET('Smelter Look-up'!$H$4,$V753-4,0))</f>
        <v/>
      </c>
      <c r="J753" s="172" t="str">
        <f ca="1">IF(ISERROR($V753),"",OFFSET('Smelter Look-up'!$I$4,$V753-4,0))</f>
        <v/>
      </c>
      <c r="K753" s="173"/>
      <c r="L753" s="173"/>
      <c r="M753" s="173"/>
      <c r="N753" s="173"/>
      <c r="O753" s="173"/>
      <c r="P753" s="174"/>
      <c r="Q753" s="175"/>
      <c r="R753" s="168" t="str">
        <f ca="1">IF(ISERROR($V753),"",OFFSET('Smelter Look-up'!$C$4,$V753-4,0)&amp;"")</f>
        <v/>
      </c>
      <c r="S753" s="167" t="str">
        <f t="shared" ca="1" si="87"/>
        <v/>
      </c>
      <c r="T753" s="167" t="str">
        <f ca="1">IF(B753="","",IF(ISERROR(MATCH($J753,SorP!$B$1:$B$6230,0)),"",INDIRECT("'SorP'!$A$"&amp;MATCH($J753,SorP!$B$1:$B$6230,0))))</f>
        <v/>
      </c>
      <c r="U753" s="176"/>
      <c r="V753" s="177" t="e">
        <f>IF(C753="",NA(),IF(OR(C753="Smelter not listed",C753="Smelter not yet identified"),MATCH($B753&amp;$D753,'Smelter Look-up'!$J:$J,0),MATCH($B753&amp;$C753,'Smelter Look-up'!$J:$J,0)))</f>
        <v>#N/A</v>
      </c>
      <c r="X753" s="140">
        <f t="shared" ca="1" si="88"/>
        <v>0</v>
      </c>
      <c r="AB753" s="178" t="str">
        <f t="shared" si="89"/>
        <v/>
      </c>
    </row>
    <row r="754" spans="1:28" s="140" customFormat="1" ht="20.25">
      <c r="A754" s="167"/>
      <c r="B754" s="168" t="str">
        <f>IF(LEN(A754)=0,"",INDEX('Smelter Look-up'!$A:$A,MATCH($A754,'Smelter Look-up'!$E:$E,0)))</f>
        <v/>
      </c>
      <c r="C754" s="169" t="str">
        <f>IF(LEN(A754)=0,"",INDEX('Smelter Look-up'!$C:$C,MATCH($A754,'Smelter Look-up'!$E:$E,0)))</f>
        <v/>
      </c>
      <c r="D754" s="170"/>
      <c r="E754" s="168" t="str">
        <f ca="1">IF(ISERROR($V754),"",OFFSET('Smelter Look-up'!$D$4,$V754-4,0)&amp;"")</f>
        <v/>
      </c>
      <c r="F754" s="168" t="str">
        <f ca="1">IF(ISERROR($V754),"",OFFSET('Smelter Look-up'!$E$4,$V754-4,0))</f>
        <v/>
      </c>
      <c r="G754" s="168" t="str">
        <f ca="1">IF(C754=$X$4,IF(ISERROR($V754),"Enter smelter details","RMI"),IF(ISERROR($V754),"",OFFSET('Smelter Look-up'!$F$4,$V754-4,0)))</f>
        <v/>
      </c>
      <c r="H754" s="171" t="str">
        <f ca="1">IF(ISERROR($V754),"",OFFSET('Smelter Look-up'!$G$4,$V754-4,0))</f>
        <v/>
      </c>
      <c r="I754" s="172" t="str">
        <f ca="1">IF(ISERROR($V754),"",OFFSET('Smelter Look-up'!$H$4,$V754-4,0))</f>
        <v/>
      </c>
      <c r="J754" s="172" t="str">
        <f ca="1">IF(ISERROR($V754),"",OFFSET('Smelter Look-up'!$I$4,$V754-4,0))</f>
        <v/>
      </c>
      <c r="K754" s="173"/>
      <c r="L754" s="173"/>
      <c r="M754" s="173"/>
      <c r="N754" s="173"/>
      <c r="O754" s="173"/>
      <c r="P754" s="174"/>
      <c r="Q754" s="175"/>
      <c r="R754" s="168" t="str">
        <f ca="1">IF(ISERROR($V754),"",OFFSET('Smelter Look-up'!$C$4,$V754-4,0)&amp;"")</f>
        <v/>
      </c>
      <c r="S754" s="167" t="str">
        <f t="shared" ca="1" si="87"/>
        <v/>
      </c>
      <c r="T754" s="167" t="str">
        <f ca="1">IF(B754="","",IF(ISERROR(MATCH($J754,SorP!$B$1:$B$6230,0)),"",INDIRECT("'SorP'!$A$"&amp;MATCH($J754,SorP!$B$1:$B$6230,0))))</f>
        <v/>
      </c>
      <c r="U754" s="176"/>
      <c r="V754" s="177" t="e">
        <f>IF(C754="",NA(),IF(OR(C754="Smelter not listed",C754="Smelter not yet identified"),MATCH($B754&amp;$D754,'Smelter Look-up'!$J:$J,0),MATCH($B754&amp;$C754,'Smelter Look-up'!$J:$J,0)))</f>
        <v>#N/A</v>
      </c>
      <c r="X754" s="140">
        <f t="shared" ca="1" si="88"/>
        <v>0</v>
      </c>
      <c r="AB754" s="178" t="str">
        <f t="shared" si="89"/>
        <v/>
      </c>
    </row>
    <row r="755" spans="1:28" s="140" customFormat="1" ht="20.25">
      <c r="A755" s="167"/>
      <c r="B755" s="168" t="str">
        <f>IF(LEN(A755)=0,"",INDEX('Smelter Look-up'!$A:$A,MATCH($A755,'Smelter Look-up'!$E:$E,0)))</f>
        <v/>
      </c>
      <c r="C755" s="169" t="str">
        <f>IF(LEN(A755)=0,"",INDEX('Smelter Look-up'!$C:$C,MATCH($A755,'Smelter Look-up'!$E:$E,0)))</f>
        <v/>
      </c>
      <c r="D755" s="170"/>
      <c r="E755" s="168" t="str">
        <f ca="1">IF(ISERROR($V755),"",OFFSET('Smelter Look-up'!$D$4,$V755-4,0)&amp;"")</f>
        <v/>
      </c>
      <c r="F755" s="168" t="str">
        <f ca="1">IF(ISERROR($V755),"",OFFSET('Smelter Look-up'!$E$4,$V755-4,0))</f>
        <v/>
      </c>
      <c r="G755" s="168" t="str">
        <f ca="1">IF(C755=$X$4,IF(ISERROR($V755),"Enter smelter details","RMI"),IF(ISERROR($V755),"",OFFSET('Smelter Look-up'!$F$4,$V755-4,0)))</f>
        <v/>
      </c>
      <c r="H755" s="171" t="str">
        <f ca="1">IF(ISERROR($V755),"",OFFSET('Smelter Look-up'!$G$4,$V755-4,0))</f>
        <v/>
      </c>
      <c r="I755" s="172" t="str">
        <f ca="1">IF(ISERROR($V755),"",OFFSET('Smelter Look-up'!$H$4,$V755-4,0))</f>
        <v/>
      </c>
      <c r="J755" s="172" t="str">
        <f ca="1">IF(ISERROR($V755),"",OFFSET('Smelter Look-up'!$I$4,$V755-4,0))</f>
        <v/>
      </c>
      <c r="K755" s="173"/>
      <c r="L755" s="173"/>
      <c r="M755" s="173"/>
      <c r="N755" s="173"/>
      <c r="O755" s="173"/>
      <c r="P755" s="174"/>
      <c r="Q755" s="175"/>
      <c r="R755" s="168" t="str">
        <f ca="1">IF(ISERROR($V755),"",OFFSET('Smelter Look-up'!$C$4,$V755-4,0)&amp;"")</f>
        <v/>
      </c>
      <c r="S755" s="167" t="str">
        <f t="shared" ca="1" si="87"/>
        <v/>
      </c>
      <c r="T755" s="167" t="str">
        <f ca="1">IF(B755="","",IF(ISERROR(MATCH($J755,SorP!$B$1:$B$6230,0)),"",INDIRECT("'SorP'!$A$"&amp;MATCH($J755,SorP!$B$1:$B$6230,0))))</f>
        <v/>
      </c>
      <c r="U755" s="176"/>
      <c r="V755" s="177" t="e">
        <f>IF(C755="",NA(),IF(OR(C755="Smelter not listed",C755="Smelter not yet identified"),MATCH($B755&amp;$D755,'Smelter Look-up'!$J:$J,0),MATCH($B755&amp;$C755,'Smelter Look-up'!$J:$J,0)))</f>
        <v>#N/A</v>
      </c>
      <c r="X755" s="140">
        <f t="shared" ca="1" si="88"/>
        <v>0</v>
      </c>
      <c r="AB755" s="178" t="str">
        <f t="shared" si="89"/>
        <v/>
      </c>
    </row>
    <row r="756" spans="1:28" s="140" customFormat="1" ht="20.25">
      <c r="A756" s="167"/>
      <c r="B756" s="168" t="str">
        <f>IF(LEN(A756)=0,"",INDEX('Smelter Look-up'!$A:$A,MATCH($A756,'Smelter Look-up'!$E:$E,0)))</f>
        <v/>
      </c>
      <c r="C756" s="169" t="str">
        <f>IF(LEN(A756)=0,"",INDEX('Smelter Look-up'!$C:$C,MATCH($A756,'Smelter Look-up'!$E:$E,0)))</f>
        <v/>
      </c>
      <c r="D756" s="170"/>
      <c r="E756" s="168" t="str">
        <f ca="1">IF(ISERROR($V756),"",OFFSET('Smelter Look-up'!$D$4,$V756-4,0)&amp;"")</f>
        <v/>
      </c>
      <c r="F756" s="168" t="str">
        <f ca="1">IF(ISERROR($V756),"",OFFSET('Smelter Look-up'!$E$4,$V756-4,0))</f>
        <v/>
      </c>
      <c r="G756" s="168" t="str">
        <f ca="1">IF(C756=$X$4,IF(ISERROR($V756),"Enter smelter details","RMI"),IF(ISERROR($V756),"",OFFSET('Smelter Look-up'!$F$4,$V756-4,0)))</f>
        <v/>
      </c>
      <c r="H756" s="171" t="str">
        <f ca="1">IF(ISERROR($V756),"",OFFSET('Smelter Look-up'!$G$4,$V756-4,0))</f>
        <v/>
      </c>
      <c r="I756" s="172" t="str">
        <f ca="1">IF(ISERROR($V756),"",OFFSET('Smelter Look-up'!$H$4,$V756-4,0))</f>
        <v/>
      </c>
      <c r="J756" s="172" t="str">
        <f ca="1">IF(ISERROR($V756),"",OFFSET('Smelter Look-up'!$I$4,$V756-4,0))</f>
        <v/>
      </c>
      <c r="K756" s="173"/>
      <c r="L756" s="173"/>
      <c r="M756" s="173"/>
      <c r="N756" s="173"/>
      <c r="O756" s="173"/>
      <c r="P756" s="174"/>
      <c r="Q756" s="175"/>
      <c r="R756" s="168" t="str">
        <f ca="1">IF(ISERROR($V756),"",OFFSET('Smelter Look-up'!$C$4,$V756-4,0)&amp;"")</f>
        <v/>
      </c>
      <c r="S756" s="167" t="str">
        <f t="shared" ca="1" si="87"/>
        <v/>
      </c>
      <c r="T756" s="167" t="str">
        <f ca="1">IF(B756="","",IF(ISERROR(MATCH($J756,SorP!$B$1:$B$6230,0)),"",INDIRECT("'SorP'!$A$"&amp;MATCH($J756,SorP!$B$1:$B$6230,0))))</f>
        <v/>
      </c>
      <c r="U756" s="176"/>
      <c r="V756" s="177" t="e">
        <f>IF(C756="",NA(),IF(OR(C756="Smelter not listed",C756="Smelter not yet identified"),MATCH($B756&amp;$D756,'Smelter Look-up'!$J:$J,0),MATCH($B756&amp;$C756,'Smelter Look-up'!$J:$J,0)))</f>
        <v>#N/A</v>
      </c>
      <c r="X756" s="140">
        <f t="shared" ca="1" si="88"/>
        <v>0</v>
      </c>
      <c r="AB756" s="178" t="str">
        <f t="shared" si="89"/>
        <v/>
      </c>
    </row>
    <row r="757" spans="1:28" s="140" customFormat="1" ht="20.25">
      <c r="A757" s="167"/>
      <c r="B757" s="168" t="str">
        <f>IF(LEN(A757)=0,"",INDEX('Smelter Look-up'!$A:$A,MATCH($A757,'Smelter Look-up'!$E:$E,0)))</f>
        <v/>
      </c>
      <c r="C757" s="169" t="str">
        <f>IF(LEN(A757)=0,"",INDEX('Smelter Look-up'!$C:$C,MATCH($A757,'Smelter Look-up'!$E:$E,0)))</f>
        <v/>
      </c>
      <c r="D757" s="170"/>
      <c r="E757" s="168" t="str">
        <f ca="1">IF(ISERROR($V757),"",OFFSET('Smelter Look-up'!$D$4,$V757-4,0)&amp;"")</f>
        <v/>
      </c>
      <c r="F757" s="168" t="str">
        <f ca="1">IF(ISERROR($V757),"",OFFSET('Smelter Look-up'!$E$4,$V757-4,0))</f>
        <v/>
      </c>
      <c r="G757" s="168" t="str">
        <f ca="1">IF(C757=$X$4,IF(ISERROR($V757),"Enter smelter details","RMI"),IF(ISERROR($V757),"",OFFSET('Smelter Look-up'!$F$4,$V757-4,0)))</f>
        <v/>
      </c>
      <c r="H757" s="171" t="str">
        <f ca="1">IF(ISERROR($V757),"",OFFSET('Smelter Look-up'!$G$4,$V757-4,0))</f>
        <v/>
      </c>
      <c r="I757" s="172" t="str">
        <f ca="1">IF(ISERROR($V757),"",OFFSET('Smelter Look-up'!$H$4,$V757-4,0))</f>
        <v/>
      </c>
      <c r="J757" s="172" t="str">
        <f ca="1">IF(ISERROR($V757),"",OFFSET('Smelter Look-up'!$I$4,$V757-4,0))</f>
        <v/>
      </c>
      <c r="K757" s="173"/>
      <c r="L757" s="173"/>
      <c r="M757" s="173"/>
      <c r="N757" s="173"/>
      <c r="O757" s="173"/>
      <c r="P757" s="174"/>
      <c r="Q757" s="175"/>
      <c r="R757" s="168" t="str">
        <f ca="1">IF(ISERROR($V757),"",OFFSET('Smelter Look-up'!$C$4,$V757-4,0)&amp;"")</f>
        <v/>
      </c>
      <c r="S757" s="167" t="str">
        <f t="shared" ca="1" si="87"/>
        <v/>
      </c>
      <c r="T757" s="167" t="str">
        <f ca="1">IF(B757="","",IF(ISERROR(MATCH($J757,SorP!$B$1:$B$6230,0)),"",INDIRECT("'SorP'!$A$"&amp;MATCH($J757,SorP!$B$1:$B$6230,0))))</f>
        <v/>
      </c>
      <c r="U757" s="176"/>
      <c r="V757" s="177" t="e">
        <f>IF(C757="",NA(),IF(OR(C757="Smelter not listed",C757="Smelter not yet identified"),MATCH($B757&amp;$D757,'Smelter Look-up'!$J:$J,0),MATCH($B757&amp;$C757,'Smelter Look-up'!$J:$J,0)))</f>
        <v>#N/A</v>
      </c>
      <c r="X757" s="140">
        <f t="shared" ca="1" si="88"/>
        <v>0</v>
      </c>
      <c r="AB757" s="178" t="str">
        <f t="shared" si="89"/>
        <v/>
      </c>
    </row>
    <row r="758" spans="1:28" s="140" customFormat="1" ht="20.25">
      <c r="A758" s="167"/>
      <c r="B758" s="168" t="str">
        <f>IF(LEN(A758)=0,"",INDEX('Smelter Look-up'!$A:$A,MATCH($A758,'Smelter Look-up'!$E:$E,0)))</f>
        <v/>
      </c>
      <c r="C758" s="169" t="str">
        <f>IF(LEN(A758)=0,"",INDEX('Smelter Look-up'!$C:$C,MATCH($A758,'Smelter Look-up'!$E:$E,0)))</f>
        <v/>
      </c>
      <c r="D758" s="170"/>
      <c r="E758" s="168" t="str">
        <f ca="1">IF(ISERROR($V758),"",OFFSET('Smelter Look-up'!$D$4,$V758-4,0)&amp;"")</f>
        <v/>
      </c>
      <c r="F758" s="168" t="str">
        <f ca="1">IF(ISERROR($V758),"",OFFSET('Smelter Look-up'!$E$4,$V758-4,0))</f>
        <v/>
      </c>
      <c r="G758" s="168" t="str">
        <f ca="1">IF(C758=$X$4,IF(ISERROR($V758),"Enter smelter details","RMI"),IF(ISERROR($V758),"",OFFSET('Smelter Look-up'!$F$4,$V758-4,0)))</f>
        <v/>
      </c>
      <c r="H758" s="171" t="str">
        <f ca="1">IF(ISERROR($V758),"",OFFSET('Smelter Look-up'!$G$4,$V758-4,0))</f>
        <v/>
      </c>
      <c r="I758" s="172" t="str">
        <f ca="1">IF(ISERROR($V758),"",OFFSET('Smelter Look-up'!$H$4,$V758-4,0))</f>
        <v/>
      </c>
      <c r="J758" s="172" t="str">
        <f ca="1">IF(ISERROR($V758),"",OFFSET('Smelter Look-up'!$I$4,$V758-4,0))</f>
        <v/>
      </c>
      <c r="K758" s="173"/>
      <c r="L758" s="173"/>
      <c r="M758" s="173"/>
      <c r="N758" s="173"/>
      <c r="O758" s="173"/>
      <c r="P758" s="174"/>
      <c r="Q758" s="175"/>
      <c r="R758" s="168" t="str">
        <f ca="1">IF(ISERROR($V758),"",OFFSET('Smelter Look-up'!$C$4,$V758-4,0)&amp;"")</f>
        <v/>
      </c>
      <c r="S758" s="167" t="str">
        <f t="shared" ca="1" si="87"/>
        <v/>
      </c>
      <c r="T758" s="167" t="str">
        <f ca="1">IF(B758="","",IF(ISERROR(MATCH($J758,SorP!$B$1:$B$6230,0)),"",INDIRECT("'SorP'!$A$"&amp;MATCH($J758,SorP!$B$1:$B$6230,0))))</f>
        <v/>
      </c>
      <c r="U758" s="176"/>
      <c r="V758" s="177" t="e">
        <f>IF(C758="",NA(),IF(OR(C758="Smelter not listed",C758="Smelter not yet identified"),MATCH($B758&amp;$D758,'Smelter Look-up'!$J:$J,0),MATCH($B758&amp;$C758,'Smelter Look-up'!$J:$J,0)))</f>
        <v>#N/A</v>
      </c>
      <c r="X758" s="140">
        <f t="shared" ca="1" si="88"/>
        <v>0</v>
      </c>
      <c r="AB758" s="178" t="str">
        <f t="shared" si="89"/>
        <v/>
      </c>
    </row>
    <row r="759" spans="1:28" s="140" customFormat="1" ht="20.25">
      <c r="A759" s="167"/>
      <c r="B759" s="168" t="str">
        <f>IF(LEN(A759)=0,"",INDEX('Smelter Look-up'!$A:$A,MATCH($A759,'Smelter Look-up'!$E:$E,0)))</f>
        <v/>
      </c>
      <c r="C759" s="169" t="str">
        <f>IF(LEN(A759)=0,"",INDEX('Smelter Look-up'!$C:$C,MATCH($A759,'Smelter Look-up'!$E:$E,0)))</f>
        <v/>
      </c>
      <c r="D759" s="170"/>
      <c r="E759" s="168" t="str">
        <f ca="1">IF(ISERROR($V759),"",OFFSET('Smelter Look-up'!$D$4,$V759-4,0)&amp;"")</f>
        <v/>
      </c>
      <c r="F759" s="168" t="str">
        <f ca="1">IF(ISERROR($V759),"",OFFSET('Smelter Look-up'!$E$4,$V759-4,0))</f>
        <v/>
      </c>
      <c r="G759" s="168" t="str">
        <f ca="1">IF(C759=$X$4,IF(ISERROR($V759),"Enter smelter details","RMI"),IF(ISERROR($V759),"",OFFSET('Smelter Look-up'!$F$4,$V759-4,0)))</f>
        <v/>
      </c>
      <c r="H759" s="171" t="str">
        <f ca="1">IF(ISERROR($V759),"",OFFSET('Smelter Look-up'!$G$4,$V759-4,0))</f>
        <v/>
      </c>
      <c r="I759" s="172" t="str">
        <f ca="1">IF(ISERROR($V759),"",OFFSET('Smelter Look-up'!$H$4,$V759-4,0))</f>
        <v/>
      </c>
      <c r="J759" s="172" t="str">
        <f ca="1">IF(ISERROR($V759),"",OFFSET('Smelter Look-up'!$I$4,$V759-4,0))</f>
        <v/>
      </c>
      <c r="K759" s="173"/>
      <c r="L759" s="173"/>
      <c r="M759" s="173"/>
      <c r="N759" s="173"/>
      <c r="O759" s="173"/>
      <c r="P759" s="174"/>
      <c r="Q759" s="175"/>
      <c r="R759" s="168" t="str">
        <f ca="1">IF(ISERROR($V759),"",OFFSET('Smelter Look-up'!$C$4,$V759-4,0)&amp;"")</f>
        <v/>
      </c>
      <c r="S759" s="167" t="str">
        <f t="shared" ca="1" si="87"/>
        <v/>
      </c>
      <c r="T759" s="167" t="str">
        <f ca="1">IF(B759="","",IF(ISERROR(MATCH($J759,SorP!$B$1:$B$6230,0)),"",INDIRECT("'SorP'!$A$"&amp;MATCH($J759,SorP!$B$1:$B$6230,0))))</f>
        <v/>
      </c>
      <c r="U759" s="176"/>
      <c r="V759" s="177" t="e">
        <f>IF(C759="",NA(),IF(OR(C759="Smelter not listed",C759="Smelter not yet identified"),MATCH($B759&amp;$D759,'Smelter Look-up'!$J:$J,0),MATCH($B759&amp;$C759,'Smelter Look-up'!$J:$J,0)))</f>
        <v>#N/A</v>
      </c>
      <c r="X759" s="140">
        <f t="shared" ca="1" si="88"/>
        <v>0</v>
      </c>
      <c r="AB759" s="178" t="str">
        <f t="shared" si="89"/>
        <v/>
      </c>
    </row>
    <row r="760" spans="1:28" s="140" customFormat="1" ht="20.25">
      <c r="A760" s="167"/>
      <c r="B760" s="168" t="str">
        <f>IF(LEN(A760)=0,"",INDEX('Smelter Look-up'!$A:$A,MATCH($A760,'Smelter Look-up'!$E:$E,0)))</f>
        <v/>
      </c>
      <c r="C760" s="169" t="str">
        <f>IF(LEN(A760)=0,"",INDEX('Smelter Look-up'!$C:$C,MATCH($A760,'Smelter Look-up'!$E:$E,0)))</f>
        <v/>
      </c>
      <c r="D760" s="170"/>
      <c r="E760" s="168" t="str">
        <f ca="1">IF(ISERROR($V760),"",OFFSET('Smelter Look-up'!$D$4,$V760-4,0)&amp;"")</f>
        <v/>
      </c>
      <c r="F760" s="168" t="str">
        <f ca="1">IF(ISERROR($V760),"",OFFSET('Smelter Look-up'!$E$4,$V760-4,0))</f>
        <v/>
      </c>
      <c r="G760" s="168" t="str">
        <f ca="1">IF(C760=$X$4,IF(ISERROR($V760),"Enter smelter details","RMI"),IF(ISERROR($V760),"",OFFSET('Smelter Look-up'!$F$4,$V760-4,0)))</f>
        <v/>
      </c>
      <c r="H760" s="171" t="str">
        <f ca="1">IF(ISERROR($V760),"",OFFSET('Smelter Look-up'!$G$4,$V760-4,0))</f>
        <v/>
      </c>
      <c r="I760" s="172" t="str">
        <f ca="1">IF(ISERROR($V760),"",OFFSET('Smelter Look-up'!$H$4,$V760-4,0))</f>
        <v/>
      </c>
      <c r="J760" s="172" t="str">
        <f ca="1">IF(ISERROR($V760),"",OFFSET('Smelter Look-up'!$I$4,$V760-4,0))</f>
        <v/>
      </c>
      <c r="K760" s="173"/>
      <c r="L760" s="173"/>
      <c r="M760" s="173"/>
      <c r="N760" s="173"/>
      <c r="O760" s="173"/>
      <c r="P760" s="174"/>
      <c r="Q760" s="175"/>
      <c r="R760" s="168" t="str">
        <f ca="1">IF(ISERROR($V760),"",OFFSET('Smelter Look-up'!$C$4,$V760-4,0)&amp;"")</f>
        <v/>
      </c>
      <c r="S760" s="167" t="str">
        <f t="shared" ca="1" si="87"/>
        <v/>
      </c>
      <c r="T760" s="167" t="str">
        <f ca="1">IF(B760="","",IF(ISERROR(MATCH($J760,SorP!$B$1:$B$6230,0)),"",INDIRECT("'SorP'!$A$"&amp;MATCH($J760,SorP!$B$1:$B$6230,0))))</f>
        <v/>
      </c>
      <c r="U760" s="176"/>
      <c r="V760" s="177" t="e">
        <f>IF(C760="",NA(),IF(OR(C760="Smelter not listed",C760="Smelter not yet identified"),MATCH($B760&amp;$D760,'Smelter Look-up'!$J:$J,0),MATCH($B760&amp;$C760,'Smelter Look-up'!$J:$J,0)))</f>
        <v>#N/A</v>
      </c>
      <c r="X760" s="140">
        <f t="shared" ca="1" si="88"/>
        <v>0</v>
      </c>
      <c r="AB760" s="178" t="str">
        <f t="shared" si="89"/>
        <v/>
      </c>
    </row>
    <row r="761" spans="1:28" s="140" customFormat="1" ht="20.25">
      <c r="A761" s="167"/>
      <c r="B761" s="168" t="str">
        <f>IF(LEN(A761)=0,"",INDEX('Smelter Look-up'!$A:$A,MATCH($A761,'Smelter Look-up'!$E:$E,0)))</f>
        <v/>
      </c>
      <c r="C761" s="169" t="str">
        <f>IF(LEN(A761)=0,"",INDEX('Smelter Look-up'!$C:$C,MATCH($A761,'Smelter Look-up'!$E:$E,0)))</f>
        <v/>
      </c>
      <c r="D761" s="170"/>
      <c r="E761" s="168" t="str">
        <f ca="1">IF(ISERROR($V761),"",OFFSET('Smelter Look-up'!$D$4,$V761-4,0)&amp;"")</f>
        <v/>
      </c>
      <c r="F761" s="168" t="str">
        <f ca="1">IF(ISERROR($V761),"",OFFSET('Smelter Look-up'!$E$4,$V761-4,0))</f>
        <v/>
      </c>
      <c r="G761" s="168" t="str">
        <f ca="1">IF(C761=$X$4,IF(ISERROR($V761),"Enter smelter details","RMI"),IF(ISERROR($V761),"",OFFSET('Smelter Look-up'!$F$4,$V761-4,0)))</f>
        <v/>
      </c>
      <c r="H761" s="171" t="str">
        <f ca="1">IF(ISERROR($V761),"",OFFSET('Smelter Look-up'!$G$4,$V761-4,0))</f>
        <v/>
      </c>
      <c r="I761" s="172" t="str">
        <f ca="1">IF(ISERROR($V761),"",OFFSET('Smelter Look-up'!$H$4,$V761-4,0))</f>
        <v/>
      </c>
      <c r="J761" s="172" t="str">
        <f ca="1">IF(ISERROR($V761),"",OFFSET('Smelter Look-up'!$I$4,$V761-4,0))</f>
        <v/>
      </c>
      <c r="K761" s="173"/>
      <c r="L761" s="173"/>
      <c r="M761" s="173"/>
      <c r="N761" s="173"/>
      <c r="O761" s="173"/>
      <c r="P761" s="174"/>
      <c r="Q761" s="175"/>
      <c r="R761" s="168" t="str">
        <f ca="1">IF(ISERROR($V761),"",OFFSET('Smelter Look-up'!$C$4,$V761-4,0)&amp;"")</f>
        <v/>
      </c>
      <c r="S761" s="167" t="str">
        <f t="shared" ca="1" si="87"/>
        <v/>
      </c>
      <c r="T761" s="167" t="str">
        <f ca="1">IF(B761="","",IF(ISERROR(MATCH($J761,SorP!$B$1:$B$6230,0)),"",INDIRECT("'SorP'!$A$"&amp;MATCH($J761,SorP!$B$1:$B$6230,0))))</f>
        <v/>
      </c>
      <c r="U761" s="176"/>
      <c r="V761" s="177" t="e">
        <f>IF(C761="",NA(),IF(OR(C761="Smelter not listed",C761="Smelter not yet identified"),MATCH($B761&amp;$D761,'Smelter Look-up'!$J:$J,0),MATCH($B761&amp;$C761,'Smelter Look-up'!$J:$J,0)))</f>
        <v>#N/A</v>
      </c>
      <c r="X761" s="140">
        <f t="shared" ca="1" si="88"/>
        <v>0</v>
      </c>
      <c r="AB761" s="178" t="str">
        <f t="shared" si="89"/>
        <v/>
      </c>
    </row>
    <row r="762" spans="1:28" s="140" customFormat="1" ht="20.25">
      <c r="A762" s="167"/>
      <c r="B762" s="168" t="str">
        <f>IF(LEN(A762)=0,"",INDEX('Smelter Look-up'!$A:$A,MATCH($A762,'Smelter Look-up'!$E:$E,0)))</f>
        <v/>
      </c>
      <c r="C762" s="169" t="str">
        <f>IF(LEN(A762)=0,"",INDEX('Smelter Look-up'!$C:$C,MATCH($A762,'Smelter Look-up'!$E:$E,0)))</f>
        <v/>
      </c>
      <c r="D762" s="170"/>
      <c r="E762" s="168" t="str">
        <f ca="1">IF(ISERROR($V762),"",OFFSET('Smelter Look-up'!$D$4,$V762-4,0)&amp;"")</f>
        <v/>
      </c>
      <c r="F762" s="168" t="str">
        <f ca="1">IF(ISERROR($V762),"",OFFSET('Smelter Look-up'!$E$4,$V762-4,0))</f>
        <v/>
      </c>
      <c r="G762" s="168" t="str">
        <f ca="1">IF(C762=$X$4,IF(ISERROR($V762),"Enter smelter details","RMI"),IF(ISERROR($V762),"",OFFSET('Smelter Look-up'!$F$4,$V762-4,0)))</f>
        <v/>
      </c>
      <c r="H762" s="171" t="str">
        <f ca="1">IF(ISERROR($V762),"",OFFSET('Smelter Look-up'!$G$4,$V762-4,0))</f>
        <v/>
      </c>
      <c r="I762" s="172" t="str">
        <f ca="1">IF(ISERROR($V762),"",OFFSET('Smelter Look-up'!$H$4,$V762-4,0))</f>
        <v/>
      </c>
      <c r="J762" s="172" t="str">
        <f ca="1">IF(ISERROR($V762),"",OFFSET('Smelter Look-up'!$I$4,$V762-4,0))</f>
        <v/>
      </c>
      <c r="K762" s="173"/>
      <c r="L762" s="173"/>
      <c r="M762" s="173"/>
      <c r="N762" s="173"/>
      <c r="O762" s="173"/>
      <c r="P762" s="174"/>
      <c r="Q762" s="175"/>
      <c r="R762" s="168" t="str">
        <f ca="1">IF(ISERROR($V762),"",OFFSET('Smelter Look-up'!$C$4,$V762-4,0)&amp;"")</f>
        <v/>
      </c>
      <c r="S762" s="167" t="str">
        <f t="shared" ca="1" si="87"/>
        <v/>
      </c>
      <c r="T762" s="167" t="str">
        <f ca="1">IF(B762="","",IF(ISERROR(MATCH($J762,SorP!$B$1:$B$6230,0)),"",INDIRECT("'SorP'!$A$"&amp;MATCH($J762,SorP!$B$1:$B$6230,0))))</f>
        <v/>
      </c>
      <c r="U762" s="176"/>
      <c r="V762" s="177" t="e">
        <f>IF(C762="",NA(),IF(OR(C762="Smelter not listed",C762="Smelter not yet identified"),MATCH($B762&amp;$D762,'Smelter Look-up'!$J:$J,0),MATCH($B762&amp;$C762,'Smelter Look-up'!$J:$J,0)))</f>
        <v>#N/A</v>
      </c>
      <c r="X762" s="140">
        <f t="shared" ca="1" si="88"/>
        <v>0</v>
      </c>
      <c r="AB762" s="178" t="str">
        <f t="shared" si="89"/>
        <v/>
      </c>
    </row>
    <row r="763" spans="1:28" s="140" customFormat="1" ht="20.25">
      <c r="A763" s="167"/>
      <c r="B763" s="168" t="str">
        <f>IF(LEN(A763)=0,"",INDEX('Smelter Look-up'!$A:$A,MATCH($A763,'Smelter Look-up'!$E:$E,0)))</f>
        <v/>
      </c>
      <c r="C763" s="169" t="str">
        <f>IF(LEN(A763)=0,"",INDEX('Smelter Look-up'!$C:$C,MATCH($A763,'Smelter Look-up'!$E:$E,0)))</f>
        <v/>
      </c>
      <c r="D763" s="170"/>
      <c r="E763" s="168" t="str">
        <f ca="1">IF(ISERROR($V763),"",OFFSET('Smelter Look-up'!$D$4,$V763-4,0)&amp;"")</f>
        <v/>
      </c>
      <c r="F763" s="168" t="str">
        <f ca="1">IF(ISERROR($V763),"",OFFSET('Smelter Look-up'!$E$4,$V763-4,0))</f>
        <v/>
      </c>
      <c r="G763" s="168" t="str">
        <f ca="1">IF(C763=$X$4,IF(ISERROR($V763),"Enter smelter details","RMI"),IF(ISERROR($V763),"",OFFSET('Smelter Look-up'!$F$4,$V763-4,0)))</f>
        <v/>
      </c>
      <c r="H763" s="171" t="str">
        <f ca="1">IF(ISERROR($V763),"",OFFSET('Smelter Look-up'!$G$4,$V763-4,0))</f>
        <v/>
      </c>
      <c r="I763" s="172" t="str">
        <f ca="1">IF(ISERROR($V763),"",OFFSET('Smelter Look-up'!$H$4,$V763-4,0))</f>
        <v/>
      </c>
      <c r="J763" s="172" t="str">
        <f ca="1">IF(ISERROR($V763),"",OFFSET('Smelter Look-up'!$I$4,$V763-4,0))</f>
        <v/>
      </c>
      <c r="K763" s="173"/>
      <c r="L763" s="173"/>
      <c r="M763" s="173"/>
      <c r="N763" s="173"/>
      <c r="O763" s="173"/>
      <c r="P763" s="174"/>
      <c r="Q763" s="175"/>
      <c r="R763" s="168" t="str">
        <f ca="1">IF(ISERROR($V763),"",OFFSET('Smelter Look-up'!$C$4,$V763-4,0)&amp;"")</f>
        <v/>
      </c>
      <c r="S763" s="167" t="str">
        <f t="shared" ca="1" si="87"/>
        <v/>
      </c>
      <c r="T763" s="167" t="str">
        <f ca="1">IF(B763="","",IF(ISERROR(MATCH($J763,SorP!$B$1:$B$6230,0)),"",INDIRECT("'SorP'!$A$"&amp;MATCH($J763,SorP!$B$1:$B$6230,0))))</f>
        <v/>
      </c>
      <c r="U763" s="176"/>
      <c r="V763" s="177" t="e">
        <f>IF(C763="",NA(),IF(OR(C763="Smelter not listed",C763="Smelter not yet identified"),MATCH($B763&amp;$D763,'Smelter Look-up'!$J:$J,0),MATCH($B763&amp;$C763,'Smelter Look-up'!$J:$J,0)))</f>
        <v>#N/A</v>
      </c>
      <c r="X763" s="140">
        <f t="shared" ca="1" si="88"/>
        <v>0</v>
      </c>
      <c r="AB763" s="178" t="str">
        <f t="shared" si="89"/>
        <v/>
      </c>
    </row>
    <row r="764" spans="1:28" s="140" customFormat="1" ht="20.25">
      <c r="A764" s="167"/>
      <c r="B764" s="168" t="str">
        <f>IF(LEN(A764)=0,"",INDEX('Smelter Look-up'!$A:$A,MATCH($A764,'Smelter Look-up'!$E:$E,0)))</f>
        <v/>
      </c>
      <c r="C764" s="169" t="str">
        <f>IF(LEN(A764)=0,"",INDEX('Smelter Look-up'!$C:$C,MATCH($A764,'Smelter Look-up'!$E:$E,0)))</f>
        <v/>
      </c>
      <c r="D764" s="170"/>
      <c r="E764" s="168" t="str">
        <f ca="1">IF(ISERROR($V764),"",OFFSET('Smelter Look-up'!$D$4,$V764-4,0)&amp;"")</f>
        <v/>
      </c>
      <c r="F764" s="168" t="str">
        <f ca="1">IF(ISERROR($V764),"",OFFSET('Smelter Look-up'!$E$4,$V764-4,0))</f>
        <v/>
      </c>
      <c r="G764" s="168" t="str">
        <f ca="1">IF(C764=$X$4,IF(ISERROR($V764),"Enter smelter details","RMI"),IF(ISERROR($V764),"",OFFSET('Smelter Look-up'!$F$4,$V764-4,0)))</f>
        <v/>
      </c>
      <c r="H764" s="171" t="str">
        <f ca="1">IF(ISERROR($V764),"",OFFSET('Smelter Look-up'!$G$4,$V764-4,0))</f>
        <v/>
      </c>
      <c r="I764" s="172" t="str">
        <f ca="1">IF(ISERROR($V764),"",OFFSET('Smelter Look-up'!$H$4,$V764-4,0))</f>
        <v/>
      </c>
      <c r="J764" s="172" t="str">
        <f ca="1">IF(ISERROR($V764),"",OFFSET('Smelter Look-up'!$I$4,$V764-4,0))</f>
        <v/>
      </c>
      <c r="K764" s="173"/>
      <c r="L764" s="173"/>
      <c r="M764" s="173"/>
      <c r="N764" s="173"/>
      <c r="O764" s="173"/>
      <c r="P764" s="174"/>
      <c r="Q764" s="175"/>
      <c r="R764" s="168" t="str">
        <f ca="1">IF(ISERROR($V764),"",OFFSET('Smelter Look-up'!$C$4,$V764-4,0)&amp;"")</f>
        <v/>
      </c>
      <c r="S764" s="167" t="str">
        <f t="shared" ca="1" si="87"/>
        <v/>
      </c>
      <c r="T764" s="167" t="str">
        <f ca="1">IF(B764="","",IF(ISERROR(MATCH($J764,SorP!$B$1:$B$6230,0)),"",INDIRECT("'SorP'!$A$"&amp;MATCH($J764,SorP!$B$1:$B$6230,0))))</f>
        <v/>
      </c>
      <c r="U764" s="176"/>
      <c r="V764" s="177" t="e">
        <f>IF(C764="",NA(),IF(OR(C764="Smelter not listed",C764="Smelter not yet identified"),MATCH($B764&amp;$D764,'Smelter Look-up'!$J:$J,0),MATCH($B764&amp;$C764,'Smelter Look-up'!$J:$J,0)))</f>
        <v>#N/A</v>
      </c>
      <c r="X764" s="140">
        <f t="shared" ca="1" si="88"/>
        <v>0</v>
      </c>
      <c r="AB764" s="178" t="str">
        <f t="shared" si="89"/>
        <v/>
      </c>
    </row>
    <row r="765" spans="1:28" s="140" customFormat="1" ht="20.25">
      <c r="A765" s="167"/>
      <c r="B765" s="168" t="str">
        <f>IF(LEN(A765)=0,"",INDEX('Smelter Look-up'!$A:$A,MATCH($A765,'Smelter Look-up'!$E:$E,0)))</f>
        <v/>
      </c>
      <c r="C765" s="169" t="str">
        <f>IF(LEN(A765)=0,"",INDEX('Smelter Look-up'!$C:$C,MATCH($A765,'Smelter Look-up'!$E:$E,0)))</f>
        <v/>
      </c>
      <c r="D765" s="170"/>
      <c r="E765" s="168" t="str">
        <f ca="1">IF(ISERROR($V765),"",OFFSET('Smelter Look-up'!$D$4,$V765-4,0)&amp;"")</f>
        <v/>
      </c>
      <c r="F765" s="168" t="str">
        <f ca="1">IF(ISERROR($V765),"",OFFSET('Smelter Look-up'!$E$4,$V765-4,0))</f>
        <v/>
      </c>
      <c r="G765" s="168" t="str">
        <f ca="1">IF(C765=$X$4,IF(ISERROR($V765),"Enter smelter details","RMI"),IF(ISERROR($V765),"",OFFSET('Smelter Look-up'!$F$4,$V765-4,0)))</f>
        <v/>
      </c>
      <c r="H765" s="171" t="str">
        <f ca="1">IF(ISERROR($V765),"",OFFSET('Smelter Look-up'!$G$4,$V765-4,0))</f>
        <v/>
      </c>
      <c r="I765" s="172" t="str">
        <f ca="1">IF(ISERROR($V765),"",OFFSET('Smelter Look-up'!$H$4,$V765-4,0))</f>
        <v/>
      </c>
      <c r="J765" s="172" t="str">
        <f ca="1">IF(ISERROR($V765),"",OFFSET('Smelter Look-up'!$I$4,$V765-4,0))</f>
        <v/>
      </c>
      <c r="K765" s="173"/>
      <c r="L765" s="173"/>
      <c r="M765" s="173"/>
      <c r="N765" s="173"/>
      <c r="O765" s="173"/>
      <c r="P765" s="174"/>
      <c r="Q765" s="175"/>
      <c r="R765" s="168" t="str">
        <f ca="1">IF(ISERROR($V765),"",OFFSET('Smelter Look-up'!$C$4,$V765-4,0)&amp;"")</f>
        <v/>
      </c>
      <c r="S765" s="167" t="str">
        <f t="shared" ca="1" si="87"/>
        <v/>
      </c>
      <c r="T765" s="167" t="str">
        <f ca="1">IF(B765="","",IF(ISERROR(MATCH($J765,SorP!$B$1:$B$6230,0)),"",INDIRECT("'SorP'!$A$"&amp;MATCH($J765,SorP!$B$1:$B$6230,0))))</f>
        <v/>
      </c>
      <c r="U765" s="176"/>
      <c r="V765" s="177" t="e">
        <f>IF(C765="",NA(),IF(OR(C765="Smelter not listed",C765="Smelter not yet identified"),MATCH($B765&amp;$D765,'Smelter Look-up'!$J:$J,0),MATCH($B765&amp;$C765,'Smelter Look-up'!$J:$J,0)))</f>
        <v>#N/A</v>
      </c>
      <c r="X765" s="140">
        <f t="shared" ca="1" si="88"/>
        <v>0</v>
      </c>
      <c r="AB765" s="178" t="str">
        <f t="shared" si="89"/>
        <v/>
      </c>
    </row>
    <row r="766" spans="1:28" s="140" customFormat="1" ht="20.25">
      <c r="A766" s="167"/>
      <c r="B766" s="168" t="str">
        <f>IF(LEN(A766)=0,"",INDEX('Smelter Look-up'!$A:$A,MATCH($A766,'Smelter Look-up'!$E:$E,0)))</f>
        <v/>
      </c>
      <c r="C766" s="169" t="str">
        <f>IF(LEN(A766)=0,"",INDEX('Smelter Look-up'!$C:$C,MATCH($A766,'Smelter Look-up'!$E:$E,0)))</f>
        <v/>
      </c>
      <c r="D766" s="170"/>
      <c r="E766" s="168" t="str">
        <f ca="1">IF(ISERROR($V766),"",OFFSET('Smelter Look-up'!$D$4,$V766-4,0)&amp;"")</f>
        <v/>
      </c>
      <c r="F766" s="168" t="str">
        <f ca="1">IF(ISERROR($V766),"",OFFSET('Smelter Look-up'!$E$4,$V766-4,0))</f>
        <v/>
      </c>
      <c r="G766" s="168" t="str">
        <f ca="1">IF(C766=$X$4,IF(ISERROR($V766),"Enter smelter details","RMI"),IF(ISERROR($V766),"",OFFSET('Smelter Look-up'!$F$4,$V766-4,0)))</f>
        <v/>
      </c>
      <c r="H766" s="171" t="str">
        <f ca="1">IF(ISERROR($V766),"",OFFSET('Smelter Look-up'!$G$4,$V766-4,0))</f>
        <v/>
      </c>
      <c r="I766" s="172" t="str">
        <f ca="1">IF(ISERROR($V766),"",OFFSET('Smelter Look-up'!$H$4,$V766-4,0))</f>
        <v/>
      </c>
      <c r="J766" s="172" t="str">
        <f ca="1">IF(ISERROR($V766),"",OFFSET('Smelter Look-up'!$I$4,$V766-4,0))</f>
        <v/>
      </c>
      <c r="K766" s="173"/>
      <c r="L766" s="173"/>
      <c r="M766" s="173"/>
      <c r="N766" s="173"/>
      <c r="O766" s="173"/>
      <c r="P766" s="174"/>
      <c r="Q766" s="175"/>
      <c r="R766" s="168" t="str">
        <f ca="1">IF(ISERROR($V766),"",OFFSET('Smelter Look-up'!$C$4,$V766-4,0)&amp;"")</f>
        <v/>
      </c>
      <c r="S766" s="167" t="str">
        <f t="shared" ca="1" si="87"/>
        <v/>
      </c>
      <c r="T766" s="167" t="str">
        <f ca="1">IF(B766="","",IF(ISERROR(MATCH($J766,SorP!$B$1:$B$6230,0)),"",INDIRECT("'SorP'!$A$"&amp;MATCH($J766,SorP!$B$1:$B$6230,0))))</f>
        <v/>
      </c>
      <c r="U766" s="176"/>
      <c r="V766" s="177" t="e">
        <f>IF(C766="",NA(),IF(OR(C766="Smelter not listed",C766="Smelter not yet identified"),MATCH($B766&amp;$D766,'Smelter Look-up'!$J:$J,0),MATCH($B766&amp;$C766,'Smelter Look-up'!$J:$J,0)))</f>
        <v>#N/A</v>
      </c>
      <c r="X766" s="140">
        <f t="shared" ca="1" si="88"/>
        <v>0</v>
      </c>
      <c r="AB766" s="178" t="str">
        <f t="shared" si="89"/>
        <v/>
      </c>
    </row>
    <row r="767" spans="1:28" s="140" customFormat="1" ht="20.25">
      <c r="A767" s="167"/>
      <c r="B767" s="168" t="str">
        <f>IF(LEN(A767)=0,"",INDEX('Smelter Look-up'!$A:$A,MATCH($A767,'Smelter Look-up'!$E:$E,0)))</f>
        <v/>
      </c>
      <c r="C767" s="169" t="str">
        <f>IF(LEN(A767)=0,"",INDEX('Smelter Look-up'!$C:$C,MATCH($A767,'Smelter Look-up'!$E:$E,0)))</f>
        <v/>
      </c>
      <c r="D767" s="170"/>
      <c r="E767" s="168" t="str">
        <f ca="1">IF(ISERROR($V767),"",OFFSET('Smelter Look-up'!$D$4,$V767-4,0)&amp;"")</f>
        <v/>
      </c>
      <c r="F767" s="168" t="str">
        <f ca="1">IF(ISERROR($V767),"",OFFSET('Smelter Look-up'!$E$4,$V767-4,0))</f>
        <v/>
      </c>
      <c r="G767" s="168" t="str">
        <f ca="1">IF(C767=$X$4,IF(ISERROR($V767),"Enter smelter details","RMI"),IF(ISERROR($V767),"",OFFSET('Smelter Look-up'!$F$4,$V767-4,0)))</f>
        <v/>
      </c>
      <c r="H767" s="171" t="str">
        <f ca="1">IF(ISERROR($V767),"",OFFSET('Smelter Look-up'!$G$4,$V767-4,0))</f>
        <v/>
      </c>
      <c r="I767" s="172" t="str">
        <f ca="1">IF(ISERROR($V767),"",OFFSET('Smelter Look-up'!$H$4,$V767-4,0))</f>
        <v/>
      </c>
      <c r="J767" s="172" t="str">
        <f ca="1">IF(ISERROR($V767),"",OFFSET('Smelter Look-up'!$I$4,$V767-4,0))</f>
        <v/>
      </c>
      <c r="K767" s="173"/>
      <c r="L767" s="173"/>
      <c r="M767" s="173"/>
      <c r="N767" s="173"/>
      <c r="O767" s="173"/>
      <c r="P767" s="174"/>
      <c r="Q767" s="175"/>
      <c r="R767" s="168" t="str">
        <f ca="1">IF(ISERROR($V767),"",OFFSET('Smelter Look-up'!$C$4,$V767-4,0)&amp;"")</f>
        <v/>
      </c>
      <c r="S767" s="167" t="str">
        <f t="shared" ca="1" si="87"/>
        <v/>
      </c>
      <c r="T767" s="167" t="str">
        <f ca="1">IF(B767="","",IF(ISERROR(MATCH($J767,SorP!$B$1:$B$6230,0)),"",INDIRECT("'SorP'!$A$"&amp;MATCH($J767,SorP!$B$1:$B$6230,0))))</f>
        <v/>
      </c>
      <c r="U767" s="176"/>
      <c r="V767" s="177" t="e">
        <f>IF(C767="",NA(),IF(OR(C767="Smelter not listed",C767="Smelter not yet identified"),MATCH($B767&amp;$D767,'Smelter Look-up'!$J:$J,0),MATCH($B767&amp;$C767,'Smelter Look-up'!$J:$J,0)))</f>
        <v>#N/A</v>
      </c>
      <c r="X767" s="140">
        <f t="shared" ca="1" si="88"/>
        <v>0</v>
      </c>
      <c r="AB767" s="178" t="str">
        <f t="shared" si="89"/>
        <v/>
      </c>
    </row>
    <row r="768" spans="1:28" s="140" customFormat="1" ht="20.25">
      <c r="A768" s="167"/>
      <c r="B768" s="168" t="str">
        <f>IF(LEN(A768)=0,"",INDEX('Smelter Look-up'!$A:$A,MATCH($A768,'Smelter Look-up'!$E:$E,0)))</f>
        <v/>
      </c>
      <c r="C768" s="169" t="str">
        <f>IF(LEN(A768)=0,"",INDEX('Smelter Look-up'!$C:$C,MATCH($A768,'Smelter Look-up'!$E:$E,0)))</f>
        <v/>
      </c>
      <c r="D768" s="170"/>
      <c r="E768" s="168" t="str">
        <f ca="1">IF(ISERROR($V768),"",OFFSET('Smelter Look-up'!$D$4,$V768-4,0)&amp;"")</f>
        <v/>
      </c>
      <c r="F768" s="168" t="str">
        <f ca="1">IF(ISERROR($V768),"",OFFSET('Smelter Look-up'!$E$4,$V768-4,0))</f>
        <v/>
      </c>
      <c r="G768" s="168" t="str">
        <f ca="1">IF(C768=$X$4,IF(ISERROR($V768),"Enter smelter details","RMI"),IF(ISERROR($V768),"",OFFSET('Smelter Look-up'!$F$4,$V768-4,0)))</f>
        <v/>
      </c>
      <c r="H768" s="171" t="str">
        <f ca="1">IF(ISERROR($V768),"",OFFSET('Smelter Look-up'!$G$4,$V768-4,0))</f>
        <v/>
      </c>
      <c r="I768" s="172" t="str">
        <f ca="1">IF(ISERROR($V768),"",OFFSET('Smelter Look-up'!$H$4,$V768-4,0))</f>
        <v/>
      </c>
      <c r="J768" s="172" t="str">
        <f ca="1">IF(ISERROR($V768),"",OFFSET('Smelter Look-up'!$I$4,$V768-4,0))</f>
        <v/>
      </c>
      <c r="K768" s="173"/>
      <c r="L768" s="173"/>
      <c r="M768" s="173"/>
      <c r="N768" s="173"/>
      <c r="O768" s="173"/>
      <c r="P768" s="174"/>
      <c r="Q768" s="175"/>
      <c r="R768" s="168" t="str">
        <f ca="1">IF(ISERROR($V768),"",OFFSET('Smelter Look-up'!$C$4,$V768-4,0)&amp;"")</f>
        <v/>
      </c>
      <c r="S768" s="167" t="str">
        <f t="shared" ca="1" si="87"/>
        <v/>
      </c>
      <c r="T768" s="167" t="str">
        <f ca="1">IF(B768="","",IF(ISERROR(MATCH($J768,SorP!$B$1:$B$6230,0)),"",INDIRECT("'SorP'!$A$"&amp;MATCH($J768,SorP!$B$1:$B$6230,0))))</f>
        <v/>
      </c>
      <c r="U768" s="176"/>
      <c r="V768" s="177" t="e">
        <f>IF(C768="",NA(),IF(OR(C768="Smelter not listed",C768="Smelter not yet identified"),MATCH($B768&amp;$D768,'Smelter Look-up'!$J:$J,0),MATCH($B768&amp;$C768,'Smelter Look-up'!$J:$J,0)))</f>
        <v>#N/A</v>
      </c>
      <c r="X768" s="140">
        <f t="shared" ca="1" si="88"/>
        <v>0</v>
      </c>
      <c r="AB768" s="178" t="str">
        <f t="shared" si="89"/>
        <v/>
      </c>
    </row>
    <row r="769" spans="1:28" s="140" customFormat="1" ht="20.25">
      <c r="A769" s="167"/>
      <c r="B769" s="168" t="str">
        <f>IF(LEN(A769)=0,"",INDEX('Smelter Look-up'!$A:$A,MATCH($A769,'Smelter Look-up'!$E:$E,0)))</f>
        <v/>
      </c>
      <c r="C769" s="169" t="str">
        <f>IF(LEN(A769)=0,"",INDEX('Smelter Look-up'!$C:$C,MATCH($A769,'Smelter Look-up'!$E:$E,0)))</f>
        <v/>
      </c>
      <c r="D769" s="170"/>
      <c r="E769" s="168" t="str">
        <f ca="1">IF(ISERROR($V769),"",OFFSET('Smelter Look-up'!$D$4,$V769-4,0)&amp;"")</f>
        <v/>
      </c>
      <c r="F769" s="168" t="str">
        <f ca="1">IF(ISERROR($V769),"",OFFSET('Smelter Look-up'!$E$4,$V769-4,0))</f>
        <v/>
      </c>
      <c r="G769" s="168" t="str">
        <f ca="1">IF(C769=$X$4,IF(ISERROR($V769),"Enter smelter details","RMI"),IF(ISERROR($V769),"",OFFSET('Smelter Look-up'!$F$4,$V769-4,0)))</f>
        <v/>
      </c>
      <c r="H769" s="171" t="str">
        <f ca="1">IF(ISERROR($V769),"",OFFSET('Smelter Look-up'!$G$4,$V769-4,0))</f>
        <v/>
      </c>
      <c r="I769" s="172" t="str">
        <f ca="1">IF(ISERROR($V769),"",OFFSET('Smelter Look-up'!$H$4,$V769-4,0))</f>
        <v/>
      </c>
      <c r="J769" s="172" t="str">
        <f ca="1">IF(ISERROR($V769),"",OFFSET('Smelter Look-up'!$I$4,$V769-4,0))</f>
        <v/>
      </c>
      <c r="K769" s="173"/>
      <c r="L769" s="173"/>
      <c r="M769" s="173"/>
      <c r="N769" s="173"/>
      <c r="O769" s="173"/>
      <c r="P769" s="174"/>
      <c r="Q769" s="175"/>
      <c r="R769" s="168" t="str">
        <f ca="1">IF(ISERROR($V769),"",OFFSET('Smelter Look-up'!$C$4,$V769-4,0)&amp;"")</f>
        <v/>
      </c>
      <c r="S769" s="167" t="str">
        <f t="shared" ca="1" si="87"/>
        <v/>
      </c>
      <c r="T769" s="167" t="str">
        <f ca="1">IF(B769="","",IF(ISERROR(MATCH($J769,SorP!$B$1:$B$6230,0)),"",INDIRECT("'SorP'!$A$"&amp;MATCH($J769,SorP!$B$1:$B$6230,0))))</f>
        <v/>
      </c>
      <c r="U769" s="176"/>
      <c r="V769" s="177" t="e">
        <f>IF(C769="",NA(),IF(OR(C769="Smelter not listed",C769="Smelter not yet identified"),MATCH($B769&amp;$D769,'Smelter Look-up'!$J:$J,0),MATCH($B769&amp;$C769,'Smelter Look-up'!$J:$J,0)))</f>
        <v>#N/A</v>
      </c>
      <c r="X769" s="140">
        <f t="shared" ca="1" si="88"/>
        <v>0</v>
      </c>
      <c r="AB769" s="178" t="str">
        <f t="shared" si="89"/>
        <v/>
      </c>
    </row>
    <row r="770" spans="1:28" s="140" customFormat="1" ht="20.25">
      <c r="A770" s="167"/>
      <c r="B770" s="168" t="str">
        <f>IF(LEN(A770)=0,"",INDEX('Smelter Look-up'!$A:$A,MATCH($A770,'Smelter Look-up'!$E:$E,0)))</f>
        <v/>
      </c>
      <c r="C770" s="169" t="str">
        <f>IF(LEN(A770)=0,"",INDEX('Smelter Look-up'!$C:$C,MATCH($A770,'Smelter Look-up'!$E:$E,0)))</f>
        <v/>
      </c>
      <c r="D770" s="170"/>
      <c r="E770" s="168" t="str">
        <f ca="1">IF(ISERROR($V770),"",OFFSET('Smelter Look-up'!$D$4,$V770-4,0)&amp;"")</f>
        <v/>
      </c>
      <c r="F770" s="168" t="str">
        <f ca="1">IF(ISERROR($V770),"",OFFSET('Smelter Look-up'!$E$4,$V770-4,0))</f>
        <v/>
      </c>
      <c r="G770" s="168" t="str">
        <f ca="1">IF(C770=$X$4,IF(ISERROR($V770),"Enter smelter details","RMI"),IF(ISERROR($V770),"",OFFSET('Smelter Look-up'!$F$4,$V770-4,0)))</f>
        <v/>
      </c>
      <c r="H770" s="171" t="str">
        <f ca="1">IF(ISERROR($V770),"",OFFSET('Smelter Look-up'!$G$4,$V770-4,0))</f>
        <v/>
      </c>
      <c r="I770" s="172" t="str">
        <f ca="1">IF(ISERROR($V770),"",OFFSET('Smelter Look-up'!$H$4,$V770-4,0))</f>
        <v/>
      </c>
      <c r="J770" s="172" t="str">
        <f ca="1">IF(ISERROR($V770),"",OFFSET('Smelter Look-up'!$I$4,$V770-4,0))</f>
        <v/>
      </c>
      <c r="K770" s="173"/>
      <c r="L770" s="173"/>
      <c r="M770" s="173"/>
      <c r="N770" s="173"/>
      <c r="O770" s="173"/>
      <c r="P770" s="174"/>
      <c r="Q770" s="175"/>
      <c r="R770" s="168" t="str">
        <f ca="1">IF(ISERROR($V770),"",OFFSET('Smelter Look-up'!$C$4,$V770-4,0)&amp;"")</f>
        <v/>
      </c>
      <c r="S770" s="167" t="str">
        <f t="shared" ca="1" si="87"/>
        <v/>
      </c>
      <c r="T770" s="167" t="str">
        <f ca="1">IF(B770="","",IF(ISERROR(MATCH($J770,SorP!$B$1:$B$6230,0)),"",INDIRECT("'SorP'!$A$"&amp;MATCH($J770,SorP!$B$1:$B$6230,0))))</f>
        <v/>
      </c>
      <c r="U770" s="176"/>
      <c r="V770" s="177" t="e">
        <f>IF(C770="",NA(),IF(OR(C770="Smelter not listed",C770="Smelter not yet identified"),MATCH($B770&amp;$D770,'Smelter Look-up'!$J:$J,0),MATCH($B770&amp;$C770,'Smelter Look-up'!$J:$J,0)))</f>
        <v>#N/A</v>
      </c>
      <c r="X770" s="140">
        <f t="shared" ca="1" si="88"/>
        <v>0</v>
      </c>
      <c r="AB770" s="178" t="str">
        <f t="shared" si="89"/>
        <v/>
      </c>
    </row>
    <row r="771" spans="1:28" s="140" customFormat="1" ht="20.25">
      <c r="A771" s="167"/>
      <c r="B771" s="168" t="str">
        <f>IF(LEN(A771)=0,"",INDEX('Smelter Look-up'!$A:$A,MATCH($A771,'Smelter Look-up'!$E:$E,0)))</f>
        <v/>
      </c>
      <c r="C771" s="169" t="str">
        <f>IF(LEN(A771)=0,"",INDEX('Smelter Look-up'!$C:$C,MATCH($A771,'Smelter Look-up'!$E:$E,0)))</f>
        <v/>
      </c>
      <c r="D771" s="170"/>
      <c r="E771" s="168" t="str">
        <f ca="1">IF(ISERROR($V771),"",OFFSET('Smelter Look-up'!$D$4,$V771-4,0)&amp;"")</f>
        <v/>
      </c>
      <c r="F771" s="168" t="str">
        <f ca="1">IF(ISERROR($V771),"",OFFSET('Smelter Look-up'!$E$4,$V771-4,0))</f>
        <v/>
      </c>
      <c r="G771" s="168" t="str">
        <f ca="1">IF(C771=$X$4,IF(ISERROR($V771),"Enter smelter details","RMI"),IF(ISERROR($V771),"",OFFSET('Smelter Look-up'!$F$4,$V771-4,0)))</f>
        <v/>
      </c>
      <c r="H771" s="171" t="str">
        <f ca="1">IF(ISERROR($V771),"",OFFSET('Smelter Look-up'!$G$4,$V771-4,0))</f>
        <v/>
      </c>
      <c r="I771" s="172" t="str">
        <f ca="1">IF(ISERROR($V771),"",OFFSET('Smelter Look-up'!$H$4,$V771-4,0))</f>
        <v/>
      </c>
      <c r="J771" s="172" t="str">
        <f ca="1">IF(ISERROR($V771),"",OFFSET('Smelter Look-up'!$I$4,$V771-4,0))</f>
        <v/>
      </c>
      <c r="K771" s="173"/>
      <c r="L771" s="173"/>
      <c r="M771" s="173"/>
      <c r="N771" s="173"/>
      <c r="O771" s="173"/>
      <c r="P771" s="174"/>
      <c r="Q771" s="175"/>
      <c r="R771" s="168" t="str">
        <f ca="1">IF(ISERROR($V771),"",OFFSET('Smelter Look-up'!$C$4,$V771-4,0)&amp;"")</f>
        <v/>
      </c>
      <c r="S771" s="167" t="str">
        <f t="shared" ca="1" si="87"/>
        <v/>
      </c>
      <c r="T771" s="167" t="str">
        <f ca="1">IF(B771="","",IF(ISERROR(MATCH($J771,SorP!$B$1:$B$6230,0)),"",INDIRECT("'SorP'!$A$"&amp;MATCH($J771,SorP!$B$1:$B$6230,0))))</f>
        <v/>
      </c>
      <c r="U771" s="176"/>
      <c r="V771" s="177" t="e">
        <f>IF(C771="",NA(),IF(OR(C771="Smelter not listed",C771="Smelter not yet identified"),MATCH($B771&amp;$D771,'Smelter Look-up'!$J:$J,0),MATCH($B771&amp;$C771,'Smelter Look-up'!$J:$J,0)))</f>
        <v>#N/A</v>
      </c>
      <c r="X771" s="140">
        <f t="shared" ca="1" si="88"/>
        <v>0</v>
      </c>
      <c r="AB771" s="178" t="str">
        <f t="shared" si="89"/>
        <v/>
      </c>
    </row>
    <row r="772" spans="1:28" s="140" customFormat="1" ht="20.25">
      <c r="A772" s="167"/>
      <c r="B772" s="168" t="str">
        <f>IF(LEN(A772)=0,"",INDEX('Smelter Look-up'!$A:$A,MATCH($A772,'Smelter Look-up'!$E:$E,0)))</f>
        <v/>
      </c>
      <c r="C772" s="169" t="str">
        <f>IF(LEN(A772)=0,"",INDEX('Smelter Look-up'!$C:$C,MATCH($A772,'Smelter Look-up'!$E:$E,0)))</f>
        <v/>
      </c>
      <c r="D772" s="170"/>
      <c r="E772" s="168" t="str">
        <f ca="1">IF(ISERROR($V772),"",OFFSET('Smelter Look-up'!$D$4,$V772-4,0)&amp;"")</f>
        <v/>
      </c>
      <c r="F772" s="168" t="str">
        <f ca="1">IF(ISERROR($V772),"",OFFSET('Smelter Look-up'!$E$4,$V772-4,0))</f>
        <v/>
      </c>
      <c r="G772" s="168" t="str">
        <f ca="1">IF(C772=$X$4,IF(ISERROR($V772),"Enter smelter details","RMI"),IF(ISERROR($V772),"",OFFSET('Smelter Look-up'!$F$4,$V772-4,0)))</f>
        <v/>
      </c>
      <c r="H772" s="171" t="str">
        <f ca="1">IF(ISERROR($V772),"",OFFSET('Smelter Look-up'!$G$4,$V772-4,0))</f>
        <v/>
      </c>
      <c r="I772" s="172" t="str">
        <f ca="1">IF(ISERROR($V772),"",OFFSET('Smelter Look-up'!$H$4,$V772-4,0))</f>
        <v/>
      </c>
      <c r="J772" s="172" t="str">
        <f ca="1">IF(ISERROR($V772),"",OFFSET('Smelter Look-up'!$I$4,$V772-4,0))</f>
        <v/>
      </c>
      <c r="K772" s="173"/>
      <c r="L772" s="173"/>
      <c r="M772" s="173"/>
      <c r="N772" s="173"/>
      <c r="O772" s="173"/>
      <c r="P772" s="174"/>
      <c r="Q772" s="175"/>
      <c r="R772" s="168" t="str">
        <f ca="1">IF(ISERROR($V772),"",OFFSET('Smelter Look-up'!$C$4,$V772-4,0)&amp;"")</f>
        <v/>
      </c>
      <c r="S772" s="167" t="str">
        <f t="shared" ca="1" si="87"/>
        <v/>
      </c>
      <c r="T772" s="167" t="str">
        <f ca="1">IF(B772="","",IF(ISERROR(MATCH($J772,SorP!$B$1:$B$6230,0)),"",INDIRECT("'SorP'!$A$"&amp;MATCH($J772,SorP!$B$1:$B$6230,0))))</f>
        <v/>
      </c>
      <c r="U772" s="176"/>
      <c r="V772" s="177" t="e">
        <f>IF(C772="",NA(),IF(OR(C772="Smelter not listed",C772="Smelter not yet identified"),MATCH($B772&amp;$D772,'Smelter Look-up'!$J:$J,0),MATCH($B772&amp;$C772,'Smelter Look-up'!$J:$J,0)))</f>
        <v>#N/A</v>
      </c>
      <c r="X772" s="140">
        <f t="shared" ca="1" si="88"/>
        <v>0</v>
      </c>
      <c r="AB772" s="178" t="str">
        <f t="shared" si="89"/>
        <v/>
      </c>
    </row>
    <row r="773" spans="1:28" s="140" customFormat="1" ht="20.25">
      <c r="A773" s="167"/>
      <c r="B773" s="168" t="str">
        <f>IF(LEN(A773)=0,"",INDEX('Smelter Look-up'!$A:$A,MATCH($A773,'Smelter Look-up'!$E:$E,0)))</f>
        <v/>
      </c>
      <c r="C773" s="169" t="str">
        <f>IF(LEN(A773)=0,"",INDEX('Smelter Look-up'!$C:$C,MATCH($A773,'Smelter Look-up'!$E:$E,0)))</f>
        <v/>
      </c>
      <c r="D773" s="170"/>
      <c r="E773" s="168" t="str">
        <f ca="1">IF(ISERROR($V773),"",OFFSET('Smelter Look-up'!$D$4,$V773-4,0)&amp;"")</f>
        <v/>
      </c>
      <c r="F773" s="168" t="str">
        <f ca="1">IF(ISERROR($V773),"",OFFSET('Smelter Look-up'!$E$4,$V773-4,0))</f>
        <v/>
      </c>
      <c r="G773" s="168" t="str">
        <f ca="1">IF(C773=$X$4,IF(ISERROR($V773),"Enter smelter details","RMI"),IF(ISERROR($V773),"",OFFSET('Smelter Look-up'!$F$4,$V773-4,0)))</f>
        <v/>
      </c>
      <c r="H773" s="171" t="str">
        <f ca="1">IF(ISERROR($V773),"",OFFSET('Smelter Look-up'!$G$4,$V773-4,0))</f>
        <v/>
      </c>
      <c r="I773" s="172" t="str">
        <f ca="1">IF(ISERROR($V773),"",OFFSET('Smelter Look-up'!$H$4,$V773-4,0))</f>
        <v/>
      </c>
      <c r="J773" s="172" t="str">
        <f ca="1">IF(ISERROR($V773),"",OFFSET('Smelter Look-up'!$I$4,$V773-4,0))</f>
        <v/>
      </c>
      <c r="K773" s="173"/>
      <c r="L773" s="173"/>
      <c r="M773" s="173"/>
      <c r="N773" s="173"/>
      <c r="O773" s="173"/>
      <c r="P773" s="174"/>
      <c r="Q773" s="175"/>
      <c r="R773" s="168" t="str">
        <f ca="1">IF(ISERROR($V773),"",OFFSET('Smelter Look-up'!$C$4,$V773-4,0)&amp;"")</f>
        <v/>
      </c>
      <c r="S773" s="167" t="str">
        <f t="shared" ca="1" si="87"/>
        <v/>
      </c>
      <c r="T773" s="167" t="str">
        <f ca="1">IF(B773="","",IF(ISERROR(MATCH($J773,SorP!$B$1:$B$6230,0)),"",INDIRECT("'SorP'!$A$"&amp;MATCH($J773,SorP!$B$1:$B$6230,0))))</f>
        <v/>
      </c>
      <c r="U773" s="176"/>
      <c r="V773" s="177" t="e">
        <f>IF(C773="",NA(),IF(OR(C773="Smelter not listed",C773="Smelter not yet identified"),MATCH($B773&amp;$D773,'Smelter Look-up'!$J:$J,0),MATCH($B773&amp;$C773,'Smelter Look-up'!$J:$J,0)))</f>
        <v>#N/A</v>
      </c>
      <c r="X773" s="140">
        <f t="shared" ca="1" si="88"/>
        <v>0</v>
      </c>
      <c r="AB773" s="178" t="str">
        <f t="shared" si="89"/>
        <v/>
      </c>
    </row>
    <row r="774" spans="1:28" s="140" customFormat="1" ht="20.25">
      <c r="A774" s="167"/>
      <c r="B774" s="168" t="str">
        <f>IF(LEN(A774)=0,"",INDEX('Smelter Look-up'!$A:$A,MATCH($A774,'Smelter Look-up'!$E:$E,0)))</f>
        <v/>
      </c>
      <c r="C774" s="169" t="str">
        <f>IF(LEN(A774)=0,"",INDEX('Smelter Look-up'!$C:$C,MATCH($A774,'Smelter Look-up'!$E:$E,0)))</f>
        <v/>
      </c>
      <c r="D774" s="170"/>
      <c r="E774" s="168" t="str">
        <f ca="1">IF(ISERROR($V774),"",OFFSET('Smelter Look-up'!$D$4,$V774-4,0)&amp;"")</f>
        <v/>
      </c>
      <c r="F774" s="168" t="str">
        <f ca="1">IF(ISERROR($V774),"",OFFSET('Smelter Look-up'!$E$4,$V774-4,0))</f>
        <v/>
      </c>
      <c r="G774" s="168" t="str">
        <f ca="1">IF(C774=$X$4,IF(ISERROR($V774),"Enter smelter details","RMI"),IF(ISERROR($V774),"",OFFSET('Smelter Look-up'!$F$4,$V774-4,0)))</f>
        <v/>
      </c>
      <c r="H774" s="171" t="str">
        <f ca="1">IF(ISERROR($V774),"",OFFSET('Smelter Look-up'!$G$4,$V774-4,0))</f>
        <v/>
      </c>
      <c r="I774" s="172" t="str">
        <f ca="1">IF(ISERROR($V774),"",OFFSET('Smelter Look-up'!$H$4,$V774-4,0))</f>
        <v/>
      </c>
      <c r="J774" s="172" t="str">
        <f ca="1">IF(ISERROR($V774),"",OFFSET('Smelter Look-up'!$I$4,$V774-4,0))</f>
        <v/>
      </c>
      <c r="K774" s="173"/>
      <c r="L774" s="173"/>
      <c r="M774" s="173"/>
      <c r="N774" s="173"/>
      <c r="O774" s="173"/>
      <c r="P774" s="174"/>
      <c r="Q774" s="175"/>
      <c r="R774" s="168" t="str">
        <f ca="1">IF(ISERROR($V774),"",OFFSET('Smelter Look-up'!$C$4,$V774-4,0)&amp;"")</f>
        <v/>
      </c>
      <c r="S774" s="167" t="str">
        <f t="shared" ca="1" si="87"/>
        <v/>
      </c>
      <c r="T774" s="167" t="str">
        <f ca="1">IF(B774="","",IF(ISERROR(MATCH($J774,SorP!$B$1:$B$6230,0)),"",INDIRECT("'SorP'!$A$"&amp;MATCH($J774,SorP!$B$1:$B$6230,0))))</f>
        <v/>
      </c>
      <c r="U774" s="176"/>
      <c r="V774" s="177" t="e">
        <f>IF(C774="",NA(),IF(OR(C774="Smelter not listed",C774="Smelter not yet identified"),MATCH($B774&amp;$D774,'Smelter Look-up'!$J:$J,0),MATCH($B774&amp;$C774,'Smelter Look-up'!$J:$J,0)))</f>
        <v>#N/A</v>
      </c>
      <c r="X774" s="140">
        <f t="shared" ca="1" si="88"/>
        <v>0</v>
      </c>
      <c r="AB774" s="178" t="str">
        <f t="shared" si="89"/>
        <v/>
      </c>
    </row>
    <row r="775" spans="1:28" s="140" customFormat="1" ht="20.25">
      <c r="A775" s="167"/>
      <c r="B775" s="168" t="str">
        <f>IF(LEN(A775)=0,"",INDEX('Smelter Look-up'!$A:$A,MATCH($A775,'Smelter Look-up'!$E:$E,0)))</f>
        <v/>
      </c>
      <c r="C775" s="169" t="str">
        <f>IF(LEN(A775)=0,"",INDEX('Smelter Look-up'!$C:$C,MATCH($A775,'Smelter Look-up'!$E:$E,0)))</f>
        <v/>
      </c>
      <c r="D775" s="170"/>
      <c r="E775" s="168" t="str">
        <f ca="1">IF(ISERROR($V775),"",OFFSET('Smelter Look-up'!$D$4,$V775-4,0)&amp;"")</f>
        <v/>
      </c>
      <c r="F775" s="168" t="str">
        <f ca="1">IF(ISERROR($V775),"",OFFSET('Smelter Look-up'!$E$4,$V775-4,0))</f>
        <v/>
      </c>
      <c r="G775" s="168" t="str">
        <f ca="1">IF(C775=$X$4,IF(ISERROR($V775),"Enter smelter details","RMI"),IF(ISERROR($V775),"",OFFSET('Smelter Look-up'!$F$4,$V775-4,0)))</f>
        <v/>
      </c>
      <c r="H775" s="171" t="str">
        <f ca="1">IF(ISERROR($V775),"",OFFSET('Smelter Look-up'!$G$4,$V775-4,0))</f>
        <v/>
      </c>
      <c r="I775" s="172" t="str">
        <f ca="1">IF(ISERROR($V775),"",OFFSET('Smelter Look-up'!$H$4,$V775-4,0))</f>
        <v/>
      </c>
      <c r="J775" s="172" t="str">
        <f ca="1">IF(ISERROR($V775),"",OFFSET('Smelter Look-up'!$I$4,$V775-4,0))</f>
        <v/>
      </c>
      <c r="K775" s="173"/>
      <c r="L775" s="173"/>
      <c r="M775" s="173"/>
      <c r="N775" s="173"/>
      <c r="O775" s="173"/>
      <c r="P775" s="174"/>
      <c r="Q775" s="175"/>
      <c r="R775" s="168" t="str">
        <f ca="1">IF(ISERROR($V775),"",OFFSET('Smelter Look-up'!$C$4,$V775-4,0)&amp;"")</f>
        <v/>
      </c>
      <c r="S775" s="167" t="str">
        <f t="shared" ca="1" si="87"/>
        <v/>
      </c>
      <c r="T775" s="167" t="str">
        <f ca="1">IF(B775="","",IF(ISERROR(MATCH($J775,SorP!$B$1:$B$6230,0)),"",INDIRECT("'SorP'!$A$"&amp;MATCH($J775,SorP!$B$1:$B$6230,0))))</f>
        <v/>
      </c>
      <c r="U775" s="176"/>
      <c r="V775" s="177" t="e">
        <f>IF(C775="",NA(),IF(OR(C775="Smelter not listed",C775="Smelter not yet identified"),MATCH($B775&amp;$D775,'Smelter Look-up'!$J:$J,0),MATCH($B775&amp;$C775,'Smelter Look-up'!$J:$J,0)))</f>
        <v>#N/A</v>
      </c>
      <c r="X775" s="140">
        <f t="shared" ca="1" si="88"/>
        <v>0</v>
      </c>
      <c r="AB775" s="178" t="str">
        <f t="shared" si="89"/>
        <v/>
      </c>
    </row>
    <row r="776" spans="1:28" s="140" customFormat="1" ht="20.25">
      <c r="A776" s="167"/>
      <c r="B776" s="168" t="str">
        <f>IF(LEN(A776)=0,"",INDEX('Smelter Look-up'!$A:$A,MATCH($A776,'Smelter Look-up'!$E:$E,0)))</f>
        <v/>
      </c>
      <c r="C776" s="169" t="str">
        <f>IF(LEN(A776)=0,"",INDEX('Smelter Look-up'!$C:$C,MATCH($A776,'Smelter Look-up'!$E:$E,0)))</f>
        <v/>
      </c>
      <c r="D776" s="170"/>
      <c r="E776" s="168" t="str">
        <f ca="1">IF(ISERROR($V776),"",OFFSET('Smelter Look-up'!$D$4,$V776-4,0)&amp;"")</f>
        <v/>
      </c>
      <c r="F776" s="168" t="str">
        <f ca="1">IF(ISERROR($V776),"",OFFSET('Smelter Look-up'!$E$4,$V776-4,0))</f>
        <v/>
      </c>
      <c r="G776" s="168" t="str">
        <f ca="1">IF(C776=$X$4,IF(ISERROR($V776),"Enter smelter details","RMI"),IF(ISERROR($V776),"",OFFSET('Smelter Look-up'!$F$4,$V776-4,0)))</f>
        <v/>
      </c>
      <c r="H776" s="171" t="str">
        <f ca="1">IF(ISERROR($V776),"",OFFSET('Smelter Look-up'!$G$4,$V776-4,0))</f>
        <v/>
      </c>
      <c r="I776" s="172" t="str">
        <f ca="1">IF(ISERROR($V776),"",OFFSET('Smelter Look-up'!$H$4,$V776-4,0))</f>
        <v/>
      </c>
      <c r="J776" s="172" t="str">
        <f ca="1">IF(ISERROR($V776),"",OFFSET('Smelter Look-up'!$I$4,$V776-4,0))</f>
        <v/>
      </c>
      <c r="K776" s="173"/>
      <c r="L776" s="173"/>
      <c r="M776" s="173"/>
      <c r="N776" s="173"/>
      <c r="O776" s="173"/>
      <c r="P776" s="174"/>
      <c r="Q776" s="175"/>
      <c r="R776" s="168" t="str">
        <f ca="1">IF(ISERROR($V776),"",OFFSET('Smelter Look-up'!$C$4,$V776-4,0)&amp;"")</f>
        <v/>
      </c>
      <c r="S776" s="167" t="str">
        <f t="shared" ca="1" si="87"/>
        <v/>
      </c>
      <c r="T776" s="167" t="str">
        <f ca="1">IF(B776="","",IF(ISERROR(MATCH($J776,SorP!$B$1:$B$6230,0)),"",INDIRECT("'SorP'!$A$"&amp;MATCH($J776,SorP!$B$1:$B$6230,0))))</f>
        <v/>
      </c>
      <c r="U776" s="176"/>
      <c r="V776" s="177" t="e">
        <f>IF(C776="",NA(),IF(OR(C776="Smelter not listed",C776="Smelter not yet identified"),MATCH($B776&amp;$D776,'Smelter Look-up'!$J:$J,0),MATCH($B776&amp;$C776,'Smelter Look-up'!$J:$J,0)))</f>
        <v>#N/A</v>
      </c>
      <c r="X776" s="140">
        <f t="shared" ca="1" si="88"/>
        <v>0</v>
      </c>
      <c r="AB776" s="178" t="str">
        <f t="shared" si="89"/>
        <v/>
      </c>
    </row>
    <row r="777" spans="1:28" s="140" customFormat="1" ht="20.25">
      <c r="A777" s="167"/>
      <c r="B777" s="168" t="str">
        <f>IF(LEN(A777)=0,"",INDEX('Smelter Look-up'!$A:$A,MATCH($A777,'Smelter Look-up'!$E:$E,0)))</f>
        <v/>
      </c>
      <c r="C777" s="169" t="str">
        <f>IF(LEN(A777)=0,"",INDEX('Smelter Look-up'!$C:$C,MATCH($A777,'Smelter Look-up'!$E:$E,0)))</f>
        <v/>
      </c>
      <c r="D777" s="170"/>
      <c r="E777" s="168" t="str">
        <f ca="1">IF(ISERROR($V777),"",OFFSET('Smelter Look-up'!$D$4,$V777-4,0)&amp;"")</f>
        <v/>
      </c>
      <c r="F777" s="168" t="str">
        <f ca="1">IF(ISERROR($V777),"",OFFSET('Smelter Look-up'!$E$4,$V777-4,0))</f>
        <v/>
      </c>
      <c r="G777" s="168" t="str">
        <f ca="1">IF(C777=$X$4,IF(ISERROR($V777),"Enter smelter details","RMI"),IF(ISERROR($V777),"",OFFSET('Smelter Look-up'!$F$4,$V777-4,0)))</f>
        <v/>
      </c>
      <c r="H777" s="171" t="str">
        <f ca="1">IF(ISERROR($V777),"",OFFSET('Smelter Look-up'!$G$4,$V777-4,0))</f>
        <v/>
      </c>
      <c r="I777" s="172" t="str">
        <f ca="1">IF(ISERROR($V777),"",OFFSET('Smelter Look-up'!$H$4,$V777-4,0))</f>
        <v/>
      </c>
      <c r="J777" s="172" t="str">
        <f ca="1">IF(ISERROR($V777),"",OFFSET('Smelter Look-up'!$I$4,$V777-4,0))</f>
        <v/>
      </c>
      <c r="K777" s="173"/>
      <c r="L777" s="173"/>
      <c r="M777" s="173"/>
      <c r="N777" s="173"/>
      <c r="O777" s="173"/>
      <c r="P777" s="174"/>
      <c r="Q777" s="175"/>
      <c r="R777" s="168" t="str">
        <f ca="1">IF(ISERROR($V777),"",OFFSET('Smelter Look-up'!$C$4,$V777-4,0)&amp;"")</f>
        <v/>
      </c>
      <c r="S777" s="167" t="str">
        <f t="shared" ca="1" si="87"/>
        <v/>
      </c>
      <c r="T777" s="167" t="str">
        <f ca="1">IF(B777="","",IF(ISERROR(MATCH($J777,SorP!$B$1:$B$6230,0)),"",INDIRECT("'SorP'!$A$"&amp;MATCH($J777,SorP!$B$1:$B$6230,0))))</f>
        <v/>
      </c>
      <c r="U777" s="176"/>
      <c r="V777" s="177" t="e">
        <f>IF(C777="",NA(),IF(OR(C777="Smelter not listed",C777="Smelter not yet identified"),MATCH($B777&amp;$D777,'Smelter Look-up'!$J:$J,0),MATCH($B777&amp;$C777,'Smelter Look-up'!$J:$J,0)))</f>
        <v>#N/A</v>
      </c>
      <c r="X777" s="140">
        <f t="shared" ca="1" si="88"/>
        <v>0</v>
      </c>
      <c r="AB777" s="178" t="str">
        <f t="shared" si="89"/>
        <v/>
      </c>
    </row>
    <row r="778" spans="1:28" s="140" customFormat="1" ht="20.25">
      <c r="A778" s="167"/>
      <c r="B778" s="168" t="str">
        <f>IF(LEN(A778)=0,"",INDEX('Smelter Look-up'!$A:$A,MATCH($A778,'Smelter Look-up'!$E:$E,0)))</f>
        <v/>
      </c>
      <c r="C778" s="169" t="str">
        <f>IF(LEN(A778)=0,"",INDEX('Smelter Look-up'!$C:$C,MATCH($A778,'Smelter Look-up'!$E:$E,0)))</f>
        <v/>
      </c>
      <c r="D778" s="170"/>
      <c r="E778" s="168" t="str">
        <f ca="1">IF(ISERROR($V778),"",OFFSET('Smelter Look-up'!$D$4,$V778-4,0)&amp;"")</f>
        <v/>
      </c>
      <c r="F778" s="168" t="str">
        <f ca="1">IF(ISERROR($V778),"",OFFSET('Smelter Look-up'!$E$4,$V778-4,0))</f>
        <v/>
      </c>
      <c r="G778" s="168" t="str">
        <f ca="1">IF(C778=$X$4,IF(ISERROR($V778),"Enter smelter details","RMI"),IF(ISERROR($V778),"",OFFSET('Smelter Look-up'!$F$4,$V778-4,0)))</f>
        <v/>
      </c>
      <c r="H778" s="171" t="str">
        <f ca="1">IF(ISERROR($V778),"",OFFSET('Smelter Look-up'!$G$4,$V778-4,0))</f>
        <v/>
      </c>
      <c r="I778" s="172" t="str">
        <f ca="1">IF(ISERROR($V778),"",OFFSET('Smelter Look-up'!$H$4,$V778-4,0))</f>
        <v/>
      </c>
      <c r="J778" s="172" t="str">
        <f ca="1">IF(ISERROR($V778),"",OFFSET('Smelter Look-up'!$I$4,$V778-4,0))</f>
        <v/>
      </c>
      <c r="K778" s="173"/>
      <c r="L778" s="173"/>
      <c r="M778" s="173"/>
      <c r="N778" s="173"/>
      <c r="O778" s="173"/>
      <c r="P778" s="174"/>
      <c r="Q778" s="175"/>
      <c r="R778" s="168" t="str">
        <f ca="1">IF(ISERROR($V778),"",OFFSET('Smelter Look-up'!$C$4,$V778-4,0)&amp;"")</f>
        <v/>
      </c>
      <c r="S778" s="167" t="str">
        <f t="shared" ca="1" si="87"/>
        <v/>
      </c>
      <c r="T778" s="167" t="str">
        <f ca="1">IF(B778="","",IF(ISERROR(MATCH($J778,SorP!$B$1:$B$6230,0)),"",INDIRECT("'SorP'!$A$"&amp;MATCH($J778,SorP!$B$1:$B$6230,0))))</f>
        <v/>
      </c>
      <c r="U778" s="176"/>
      <c r="V778" s="177" t="e">
        <f>IF(C778="",NA(),IF(OR(C778="Smelter not listed",C778="Smelter not yet identified"),MATCH($B778&amp;$D778,'Smelter Look-up'!$J:$J,0),MATCH($B778&amp;$C778,'Smelter Look-up'!$J:$J,0)))</f>
        <v>#N/A</v>
      </c>
      <c r="X778" s="140">
        <f t="shared" ca="1" si="88"/>
        <v>0</v>
      </c>
      <c r="AB778" s="178" t="str">
        <f t="shared" si="89"/>
        <v/>
      </c>
    </row>
    <row r="779" spans="1:28" s="140" customFormat="1" ht="20.25">
      <c r="A779" s="167"/>
      <c r="B779" s="168" t="str">
        <f>IF(LEN(A779)=0,"",INDEX('Smelter Look-up'!$A:$A,MATCH($A779,'Smelter Look-up'!$E:$E,0)))</f>
        <v/>
      </c>
      <c r="C779" s="169" t="str">
        <f>IF(LEN(A779)=0,"",INDEX('Smelter Look-up'!$C:$C,MATCH($A779,'Smelter Look-up'!$E:$E,0)))</f>
        <v/>
      </c>
      <c r="D779" s="170"/>
      <c r="E779" s="168" t="str">
        <f ca="1">IF(ISERROR($V779),"",OFFSET('Smelter Look-up'!$D$4,$V779-4,0)&amp;"")</f>
        <v/>
      </c>
      <c r="F779" s="168" t="str">
        <f ca="1">IF(ISERROR($V779),"",OFFSET('Smelter Look-up'!$E$4,$V779-4,0))</f>
        <v/>
      </c>
      <c r="G779" s="168" t="str">
        <f ca="1">IF(C779=$X$4,IF(ISERROR($V779),"Enter smelter details","RMI"),IF(ISERROR($V779),"",OFFSET('Smelter Look-up'!$F$4,$V779-4,0)))</f>
        <v/>
      </c>
      <c r="H779" s="171" t="str">
        <f ca="1">IF(ISERROR($V779),"",OFFSET('Smelter Look-up'!$G$4,$V779-4,0))</f>
        <v/>
      </c>
      <c r="I779" s="172" t="str">
        <f ca="1">IF(ISERROR($V779),"",OFFSET('Smelter Look-up'!$H$4,$V779-4,0))</f>
        <v/>
      </c>
      <c r="J779" s="172" t="str">
        <f ca="1">IF(ISERROR($V779),"",OFFSET('Smelter Look-up'!$I$4,$V779-4,0))</f>
        <v/>
      </c>
      <c r="K779" s="173"/>
      <c r="L779" s="173"/>
      <c r="M779" s="173"/>
      <c r="N779" s="173"/>
      <c r="O779" s="173"/>
      <c r="P779" s="174"/>
      <c r="Q779" s="175"/>
      <c r="R779" s="168" t="str">
        <f ca="1">IF(ISERROR($V779),"",OFFSET('Smelter Look-up'!$C$4,$V779-4,0)&amp;"")</f>
        <v/>
      </c>
      <c r="S779" s="167" t="str">
        <f t="shared" ca="1" si="87"/>
        <v/>
      </c>
      <c r="T779" s="167" t="str">
        <f ca="1">IF(B779="","",IF(ISERROR(MATCH($J779,SorP!$B$1:$B$6230,0)),"",INDIRECT("'SorP'!$A$"&amp;MATCH($J779,SorP!$B$1:$B$6230,0))))</f>
        <v/>
      </c>
      <c r="U779" s="176"/>
      <c r="V779" s="177" t="e">
        <f>IF(C779="",NA(),IF(OR(C779="Smelter not listed",C779="Smelter not yet identified"),MATCH($B779&amp;$D779,'Smelter Look-up'!$J:$J,0),MATCH($B779&amp;$C779,'Smelter Look-up'!$J:$J,0)))</f>
        <v>#N/A</v>
      </c>
      <c r="X779" s="140">
        <f t="shared" ca="1" si="88"/>
        <v>0</v>
      </c>
      <c r="AB779" s="178" t="str">
        <f t="shared" si="89"/>
        <v/>
      </c>
    </row>
    <row r="780" spans="1:28" s="140" customFormat="1" ht="20.25">
      <c r="A780" s="167"/>
      <c r="B780" s="168" t="str">
        <f>IF(LEN(A780)=0,"",INDEX('Smelter Look-up'!$A:$A,MATCH($A780,'Smelter Look-up'!$E:$E,0)))</f>
        <v/>
      </c>
      <c r="C780" s="169" t="str">
        <f>IF(LEN(A780)=0,"",INDEX('Smelter Look-up'!$C:$C,MATCH($A780,'Smelter Look-up'!$E:$E,0)))</f>
        <v/>
      </c>
      <c r="D780" s="170"/>
      <c r="E780" s="168" t="str">
        <f ca="1">IF(ISERROR($V780),"",OFFSET('Smelter Look-up'!$D$4,$V780-4,0)&amp;"")</f>
        <v/>
      </c>
      <c r="F780" s="168" t="str">
        <f ca="1">IF(ISERROR($V780),"",OFFSET('Smelter Look-up'!$E$4,$V780-4,0))</f>
        <v/>
      </c>
      <c r="G780" s="168" t="str">
        <f ca="1">IF(C780=$X$4,IF(ISERROR($V780),"Enter smelter details","RMI"),IF(ISERROR($V780),"",OFFSET('Smelter Look-up'!$F$4,$V780-4,0)))</f>
        <v/>
      </c>
      <c r="H780" s="171" t="str">
        <f ca="1">IF(ISERROR($V780),"",OFFSET('Smelter Look-up'!$G$4,$V780-4,0))</f>
        <v/>
      </c>
      <c r="I780" s="172" t="str">
        <f ca="1">IF(ISERROR($V780),"",OFFSET('Smelter Look-up'!$H$4,$V780-4,0))</f>
        <v/>
      </c>
      <c r="J780" s="172" t="str">
        <f ca="1">IF(ISERROR($V780),"",OFFSET('Smelter Look-up'!$I$4,$V780-4,0))</f>
        <v/>
      </c>
      <c r="K780" s="173"/>
      <c r="L780" s="173"/>
      <c r="M780" s="173"/>
      <c r="N780" s="173"/>
      <c r="O780" s="173"/>
      <c r="P780" s="174"/>
      <c r="Q780" s="175"/>
      <c r="R780" s="168" t="str">
        <f ca="1">IF(ISERROR($V780),"",OFFSET('Smelter Look-up'!$C$4,$V780-4,0)&amp;"")</f>
        <v/>
      </c>
      <c r="S780" s="167" t="str">
        <f t="shared" ca="1" si="87"/>
        <v/>
      </c>
      <c r="T780" s="167" t="str">
        <f ca="1">IF(B780="","",IF(ISERROR(MATCH($J780,SorP!$B$1:$B$6230,0)),"",INDIRECT("'SorP'!$A$"&amp;MATCH($J780,SorP!$B$1:$B$6230,0))))</f>
        <v/>
      </c>
      <c r="U780" s="176"/>
      <c r="V780" s="177" t="e">
        <f>IF(C780="",NA(),IF(OR(C780="Smelter not listed",C780="Smelter not yet identified"),MATCH($B780&amp;$D780,'Smelter Look-up'!$J:$J,0),MATCH($B780&amp;$C780,'Smelter Look-up'!$J:$J,0)))</f>
        <v>#N/A</v>
      </c>
      <c r="X780" s="140">
        <f t="shared" ca="1" si="88"/>
        <v>0</v>
      </c>
      <c r="AB780" s="178" t="str">
        <f t="shared" si="89"/>
        <v/>
      </c>
    </row>
    <row r="781" spans="1:28" s="140" customFormat="1" ht="20.25">
      <c r="A781" s="167"/>
      <c r="B781" s="168" t="str">
        <f>IF(LEN(A781)=0,"",INDEX('Smelter Look-up'!$A:$A,MATCH($A781,'Smelter Look-up'!$E:$E,0)))</f>
        <v/>
      </c>
      <c r="C781" s="169" t="str">
        <f>IF(LEN(A781)=0,"",INDEX('Smelter Look-up'!$C:$C,MATCH($A781,'Smelter Look-up'!$E:$E,0)))</f>
        <v/>
      </c>
      <c r="D781" s="170"/>
      <c r="E781" s="168" t="str">
        <f ca="1">IF(ISERROR($V781),"",OFFSET('Smelter Look-up'!$D$4,$V781-4,0)&amp;"")</f>
        <v/>
      </c>
      <c r="F781" s="168" t="str">
        <f ca="1">IF(ISERROR($V781),"",OFFSET('Smelter Look-up'!$E$4,$V781-4,0))</f>
        <v/>
      </c>
      <c r="G781" s="168" t="str">
        <f ca="1">IF(C781=$X$4,IF(ISERROR($V781),"Enter smelter details","RMI"),IF(ISERROR($V781),"",OFFSET('Smelter Look-up'!$F$4,$V781-4,0)))</f>
        <v/>
      </c>
      <c r="H781" s="171" t="str">
        <f ca="1">IF(ISERROR($V781),"",OFFSET('Smelter Look-up'!$G$4,$V781-4,0))</f>
        <v/>
      </c>
      <c r="I781" s="172" t="str">
        <f ca="1">IF(ISERROR($V781),"",OFFSET('Smelter Look-up'!$H$4,$V781-4,0))</f>
        <v/>
      </c>
      <c r="J781" s="172" t="str">
        <f ca="1">IF(ISERROR($V781),"",OFFSET('Smelter Look-up'!$I$4,$V781-4,0))</f>
        <v/>
      </c>
      <c r="K781" s="173"/>
      <c r="L781" s="173"/>
      <c r="M781" s="173"/>
      <c r="N781" s="173"/>
      <c r="O781" s="173"/>
      <c r="P781" s="174"/>
      <c r="Q781" s="175"/>
      <c r="R781" s="168" t="str">
        <f ca="1">IF(ISERROR($V781),"",OFFSET('Smelter Look-up'!$C$4,$V781-4,0)&amp;"")</f>
        <v/>
      </c>
      <c r="S781" s="167" t="str">
        <f t="shared" ca="1" si="87"/>
        <v/>
      </c>
      <c r="T781" s="167" t="str">
        <f ca="1">IF(B781="","",IF(ISERROR(MATCH($J781,SorP!$B$1:$B$6230,0)),"",INDIRECT("'SorP'!$A$"&amp;MATCH($J781,SorP!$B$1:$B$6230,0))))</f>
        <v/>
      </c>
      <c r="U781" s="176"/>
      <c r="V781" s="177" t="e">
        <f>IF(C781="",NA(),IF(OR(C781="Smelter not listed",C781="Smelter not yet identified"),MATCH($B781&amp;$D781,'Smelter Look-up'!$J:$J,0),MATCH($B781&amp;$C781,'Smelter Look-up'!$J:$J,0)))</f>
        <v>#N/A</v>
      </c>
      <c r="X781" s="140">
        <f t="shared" ca="1" si="88"/>
        <v>0</v>
      </c>
      <c r="AB781" s="178" t="str">
        <f t="shared" si="89"/>
        <v/>
      </c>
    </row>
    <row r="782" spans="1:28" s="140" customFormat="1" ht="20.25">
      <c r="A782" s="167"/>
      <c r="B782" s="168" t="str">
        <f>IF(LEN(A782)=0,"",INDEX('Smelter Look-up'!$A:$A,MATCH($A782,'Smelter Look-up'!$E:$E,0)))</f>
        <v/>
      </c>
      <c r="C782" s="169" t="str">
        <f>IF(LEN(A782)=0,"",INDEX('Smelter Look-up'!$C:$C,MATCH($A782,'Smelter Look-up'!$E:$E,0)))</f>
        <v/>
      </c>
      <c r="D782" s="170"/>
      <c r="E782" s="168" t="str">
        <f ca="1">IF(ISERROR($V782),"",OFFSET('Smelter Look-up'!$D$4,$V782-4,0)&amp;"")</f>
        <v/>
      </c>
      <c r="F782" s="168" t="str">
        <f ca="1">IF(ISERROR($V782),"",OFFSET('Smelter Look-up'!$E$4,$V782-4,0))</f>
        <v/>
      </c>
      <c r="G782" s="168" t="str">
        <f ca="1">IF(C782=$X$4,IF(ISERROR($V782),"Enter smelter details","RMI"),IF(ISERROR($V782),"",OFFSET('Smelter Look-up'!$F$4,$V782-4,0)))</f>
        <v/>
      </c>
      <c r="H782" s="171" t="str">
        <f ca="1">IF(ISERROR($V782),"",OFFSET('Smelter Look-up'!$G$4,$V782-4,0))</f>
        <v/>
      </c>
      <c r="I782" s="172" t="str">
        <f ca="1">IF(ISERROR($V782),"",OFFSET('Smelter Look-up'!$H$4,$V782-4,0))</f>
        <v/>
      </c>
      <c r="J782" s="172" t="str">
        <f ca="1">IF(ISERROR($V782),"",OFFSET('Smelter Look-up'!$I$4,$V782-4,0))</f>
        <v/>
      </c>
      <c r="K782" s="173"/>
      <c r="L782" s="173"/>
      <c r="M782" s="173"/>
      <c r="N782" s="173"/>
      <c r="O782" s="173"/>
      <c r="P782" s="174"/>
      <c r="Q782" s="175"/>
      <c r="R782" s="168" t="str">
        <f ca="1">IF(ISERROR($V782),"",OFFSET('Smelter Look-up'!$C$4,$V782-4,0)&amp;"")</f>
        <v/>
      </c>
      <c r="S782" s="167" t="str">
        <f t="shared" ca="1" si="87"/>
        <v/>
      </c>
      <c r="T782" s="167" t="str">
        <f ca="1">IF(B782="","",IF(ISERROR(MATCH($J782,SorP!$B$1:$B$6230,0)),"",INDIRECT("'SorP'!$A$"&amp;MATCH($J782,SorP!$B$1:$B$6230,0))))</f>
        <v/>
      </c>
      <c r="U782" s="176"/>
      <c r="V782" s="177" t="e">
        <f>IF(C782="",NA(),IF(OR(C782="Smelter not listed",C782="Smelter not yet identified"),MATCH($B782&amp;$D782,'Smelter Look-up'!$J:$J,0),MATCH($B782&amp;$C782,'Smelter Look-up'!$J:$J,0)))</f>
        <v>#N/A</v>
      </c>
      <c r="X782" s="140">
        <f t="shared" ca="1" si="88"/>
        <v>0</v>
      </c>
      <c r="AB782" s="178" t="str">
        <f t="shared" si="89"/>
        <v/>
      </c>
    </row>
    <row r="783" spans="1:28" s="140" customFormat="1" ht="20.25">
      <c r="A783" s="167"/>
      <c r="B783" s="168" t="str">
        <f>IF(LEN(A783)=0,"",INDEX('Smelter Look-up'!$A:$A,MATCH($A783,'Smelter Look-up'!$E:$E,0)))</f>
        <v/>
      </c>
      <c r="C783" s="169" t="str">
        <f>IF(LEN(A783)=0,"",INDEX('Smelter Look-up'!$C:$C,MATCH($A783,'Smelter Look-up'!$E:$E,0)))</f>
        <v/>
      </c>
      <c r="D783" s="170"/>
      <c r="E783" s="168" t="str">
        <f ca="1">IF(ISERROR($V783),"",OFFSET('Smelter Look-up'!$D$4,$V783-4,0)&amp;"")</f>
        <v/>
      </c>
      <c r="F783" s="168" t="str">
        <f ca="1">IF(ISERROR($V783),"",OFFSET('Smelter Look-up'!$E$4,$V783-4,0))</f>
        <v/>
      </c>
      <c r="G783" s="168" t="str">
        <f ca="1">IF(C783=$X$4,IF(ISERROR($V783),"Enter smelter details","RMI"),IF(ISERROR($V783),"",OFFSET('Smelter Look-up'!$F$4,$V783-4,0)))</f>
        <v/>
      </c>
      <c r="H783" s="171" t="str">
        <f ca="1">IF(ISERROR($V783),"",OFFSET('Smelter Look-up'!$G$4,$V783-4,0))</f>
        <v/>
      </c>
      <c r="I783" s="172" t="str">
        <f ca="1">IF(ISERROR($V783),"",OFFSET('Smelter Look-up'!$H$4,$V783-4,0))</f>
        <v/>
      </c>
      <c r="J783" s="172" t="str">
        <f ca="1">IF(ISERROR($V783),"",OFFSET('Smelter Look-up'!$I$4,$V783-4,0))</f>
        <v/>
      </c>
      <c r="K783" s="173"/>
      <c r="L783" s="173"/>
      <c r="M783" s="173"/>
      <c r="N783" s="173"/>
      <c r="O783" s="173"/>
      <c r="P783" s="174"/>
      <c r="Q783" s="175"/>
      <c r="R783" s="168" t="str">
        <f ca="1">IF(ISERROR($V783),"",OFFSET('Smelter Look-up'!$C$4,$V783-4,0)&amp;"")</f>
        <v/>
      </c>
      <c r="S783" s="167" t="str">
        <f t="shared" ca="1" si="87"/>
        <v/>
      </c>
      <c r="T783" s="167" t="str">
        <f ca="1">IF(B783="","",IF(ISERROR(MATCH($J783,SorP!$B$1:$B$6230,0)),"",INDIRECT("'SorP'!$A$"&amp;MATCH($J783,SorP!$B$1:$B$6230,0))))</f>
        <v/>
      </c>
      <c r="U783" s="176"/>
      <c r="V783" s="177" t="e">
        <f>IF(C783="",NA(),IF(OR(C783="Smelter not listed",C783="Smelter not yet identified"),MATCH($B783&amp;$D783,'Smelter Look-up'!$J:$J,0),MATCH($B783&amp;$C783,'Smelter Look-up'!$J:$J,0)))</f>
        <v>#N/A</v>
      </c>
      <c r="X783" s="140">
        <f t="shared" ca="1" si="88"/>
        <v>0</v>
      </c>
      <c r="AB783" s="178" t="str">
        <f t="shared" si="89"/>
        <v/>
      </c>
    </row>
    <row r="784" spans="1:28" s="140" customFormat="1" ht="20.25">
      <c r="A784" s="167"/>
      <c r="B784" s="168" t="str">
        <f>IF(LEN(A784)=0,"",INDEX('Smelter Look-up'!$A:$A,MATCH($A784,'Smelter Look-up'!$E:$E,0)))</f>
        <v/>
      </c>
      <c r="C784" s="169" t="str">
        <f>IF(LEN(A784)=0,"",INDEX('Smelter Look-up'!$C:$C,MATCH($A784,'Smelter Look-up'!$E:$E,0)))</f>
        <v/>
      </c>
      <c r="D784" s="170"/>
      <c r="E784" s="168" t="str">
        <f ca="1">IF(ISERROR($V784),"",OFFSET('Smelter Look-up'!$D$4,$V784-4,0)&amp;"")</f>
        <v/>
      </c>
      <c r="F784" s="168" t="str">
        <f ca="1">IF(ISERROR($V784),"",OFFSET('Smelter Look-up'!$E$4,$V784-4,0))</f>
        <v/>
      </c>
      <c r="G784" s="168" t="str">
        <f ca="1">IF(C784=$X$4,IF(ISERROR($V784),"Enter smelter details","RMI"),IF(ISERROR($V784),"",OFFSET('Smelter Look-up'!$F$4,$V784-4,0)))</f>
        <v/>
      </c>
      <c r="H784" s="171" t="str">
        <f ca="1">IF(ISERROR($V784),"",OFFSET('Smelter Look-up'!$G$4,$V784-4,0))</f>
        <v/>
      </c>
      <c r="I784" s="172" t="str">
        <f ca="1">IF(ISERROR($V784),"",OFFSET('Smelter Look-up'!$H$4,$V784-4,0))</f>
        <v/>
      </c>
      <c r="J784" s="172" t="str">
        <f ca="1">IF(ISERROR($V784),"",OFFSET('Smelter Look-up'!$I$4,$V784-4,0))</f>
        <v/>
      </c>
      <c r="K784" s="173"/>
      <c r="L784" s="173"/>
      <c r="M784" s="173"/>
      <c r="N784" s="173"/>
      <c r="O784" s="173"/>
      <c r="P784" s="174"/>
      <c r="Q784" s="175"/>
      <c r="R784" s="168" t="str">
        <f ca="1">IF(ISERROR($V784),"",OFFSET('Smelter Look-up'!$C$4,$V784-4,0)&amp;"")</f>
        <v/>
      </c>
      <c r="S784" s="167" t="str">
        <f t="shared" ca="1" si="87"/>
        <v/>
      </c>
      <c r="T784" s="167" t="str">
        <f ca="1">IF(B784="","",IF(ISERROR(MATCH($J784,SorP!$B$1:$B$6230,0)),"",INDIRECT("'SorP'!$A$"&amp;MATCH($J784,SorP!$B$1:$B$6230,0))))</f>
        <v/>
      </c>
      <c r="U784" s="176"/>
      <c r="V784" s="177" t="e">
        <f>IF(C784="",NA(),IF(OR(C784="Smelter not listed",C784="Smelter not yet identified"),MATCH($B784&amp;$D784,'Smelter Look-up'!$J:$J,0),MATCH($B784&amp;$C784,'Smelter Look-up'!$J:$J,0)))</f>
        <v>#N/A</v>
      </c>
      <c r="X784" s="140">
        <f t="shared" ca="1" si="88"/>
        <v>0</v>
      </c>
      <c r="AB784" s="178" t="str">
        <f t="shared" si="89"/>
        <v/>
      </c>
    </row>
    <row r="785" spans="1:28" s="140" customFormat="1" ht="20.25">
      <c r="A785" s="167"/>
      <c r="B785" s="168" t="str">
        <f>IF(LEN(A785)=0,"",INDEX('Smelter Look-up'!$A:$A,MATCH($A785,'Smelter Look-up'!$E:$E,0)))</f>
        <v/>
      </c>
      <c r="C785" s="169" t="str">
        <f>IF(LEN(A785)=0,"",INDEX('Smelter Look-up'!$C:$C,MATCH($A785,'Smelter Look-up'!$E:$E,0)))</f>
        <v/>
      </c>
      <c r="D785" s="170"/>
      <c r="E785" s="168" t="str">
        <f ca="1">IF(ISERROR($V785),"",OFFSET('Smelter Look-up'!$D$4,$V785-4,0)&amp;"")</f>
        <v/>
      </c>
      <c r="F785" s="168" t="str">
        <f ca="1">IF(ISERROR($V785),"",OFFSET('Smelter Look-up'!$E$4,$V785-4,0))</f>
        <v/>
      </c>
      <c r="G785" s="168" t="str">
        <f ca="1">IF(C785=$X$4,IF(ISERROR($V785),"Enter smelter details","RMI"),IF(ISERROR($V785),"",OFFSET('Smelter Look-up'!$F$4,$V785-4,0)))</f>
        <v/>
      </c>
      <c r="H785" s="171" t="str">
        <f ca="1">IF(ISERROR($V785),"",OFFSET('Smelter Look-up'!$G$4,$V785-4,0))</f>
        <v/>
      </c>
      <c r="I785" s="172" t="str">
        <f ca="1">IF(ISERROR($V785),"",OFFSET('Smelter Look-up'!$H$4,$V785-4,0))</f>
        <v/>
      </c>
      <c r="J785" s="172" t="str">
        <f ca="1">IF(ISERROR($V785),"",OFFSET('Smelter Look-up'!$I$4,$V785-4,0))</f>
        <v/>
      </c>
      <c r="K785" s="173"/>
      <c r="L785" s="173"/>
      <c r="M785" s="173"/>
      <c r="N785" s="173"/>
      <c r="O785" s="173"/>
      <c r="P785" s="174"/>
      <c r="Q785" s="175"/>
      <c r="R785" s="168" t="str">
        <f ca="1">IF(ISERROR($V785),"",OFFSET('Smelter Look-up'!$C$4,$V785-4,0)&amp;"")</f>
        <v/>
      </c>
      <c r="S785" s="167" t="str">
        <f t="shared" ca="1" si="87"/>
        <v/>
      </c>
      <c r="T785" s="167" t="str">
        <f ca="1">IF(B785="","",IF(ISERROR(MATCH($J785,SorP!$B$1:$B$6230,0)),"",INDIRECT("'SorP'!$A$"&amp;MATCH($J785,SorP!$B$1:$B$6230,0))))</f>
        <v/>
      </c>
      <c r="U785" s="176"/>
      <c r="V785" s="177" t="e">
        <f>IF(C785="",NA(),IF(OR(C785="Smelter not listed",C785="Smelter not yet identified"),MATCH($B785&amp;$D785,'Smelter Look-up'!$J:$J,0),MATCH($B785&amp;$C785,'Smelter Look-up'!$J:$J,0)))</f>
        <v>#N/A</v>
      </c>
      <c r="X785" s="140">
        <f t="shared" ca="1" si="88"/>
        <v>0</v>
      </c>
      <c r="AB785" s="178" t="str">
        <f t="shared" si="89"/>
        <v/>
      </c>
    </row>
    <row r="786" spans="1:28" s="140" customFormat="1" ht="20.25">
      <c r="A786" s="167"/>
      <c r="B786" s="168" t="str">
        <f>IF(LEN(A786)=0,"",INDEX('Smelter Look-up'!$A:$A,MATCH($A786,'Smelter Look-up'!$E:$E,0)))</f>
        <v/>
      </c>
      <c r="C786" s="169" t="str">
        <f>IF(LEN(A786)=0,"",INDEX('Smelter Look-up'!$C:$C,MATCH($A786,'Smelter Look-up'!$E:$E,0)))</f>
        <v/>
      </c>
      <c r="D786" s="170"/>
      <c r="E786" s="168" t="str">
        <f ca="1">IF(ISERROR($V786),"",OFFSET('Smelter Look-up'!$D$4,$V786-4,0)&amp;"")</f>
        <v/>
      </c>
      <c r="F786" s="168" t="str">
        <f ca="1">IF(ISERROR($V786),"",OFFSET('Smelter Look-up'!$E$4,$V786-4,0))</f>
        <v/>
      </c>
      <c r="G786" s="168" t="str">
        <f ca="1">IF(C786=$X$4,IF(ISERROR($V786),"Enter smelter details","RMI"),IF(ISERROR($V786),"",OFFSET('Smelter Look-up'!$F$4,$V786-4,0)))</f>
        <v/>
      </c>
      <c r="H786" s="171" t="str">
        <f ca="1">IF(ISERROR($V786),"",OFFSET('Smelter Look-up'!$G$4,$V786-4,0))</f>
        <v/>
      </c>
      <c r="I786" s="172" t="str">
        <f ca="1">IF(ISERROR($V786),"",OFFSET('Smelter Look-up'!$H$4,$V786-4,0))</f>
        <v/>
      </c>
      <c r="J786" s="172" t="str">
        <f ca="1">IF(ISERROR($V786),"",OFFSET('Smelter Look-up'!$I$4,$V786-4,0))</f>
        <v/>
      </c>
      <c r="K786" s="173"/>
      <c r="L786" s="173"/>
      <c r="M786" s="173"/>
      <c r="N786" s="173"/>
      <c r="O786" s="173"/>
      <c r="P786" s="174"/>
      <c r="Q786" s="175"/>
      <c r="R786" s="168" t="str">
        <f ca="1">IF(ISERROR($V786),"",OFFSET('Smelter Look-up'!$C$4,$V786-4,0)&amp;"")</f>
        <v/>
      </c>
      <c r="S786" s="167" t="str">
        <f t="shared" ca="1" si="87"/>
        <v/>
      </c>
      <c r="T786" s="167" t="str">
        <f ca="1">IF(B786="","",IF(ISERROR(MATCH($J786,SorP!$B$1:$B$6230,0)),"",INDIRECT("'SorP'!$A$"&amp;MATCH($J786,SorP!$B$1:$B$6230,0))))</f>
        <v/>
      </c>
      <c r="U786" s="176"/>
      <c r="V786" s="177" t="e">
        <f>IF(C786="",NA(),IF(OR(C786="Smelter not listed",C786="Smelter not yet identified"),MATCH($B786&amp;$D786,'Smelter Look-up'!$J:$J,0),MATCH($B786&amp;$C786,'Smelter Look-up'!$J:$J,0)))</f>
        <v>#N/A</v>
      </c>
      <c r="X786" s="140">
        <f t="shared" ca="1" si="88"/>
        <v>0</v>
      </c>
      <c r="AB786" s="178" t="str">
        <f t="shared" si="89"/>
        <v/>
      </c>
    </row>
    <row r="787" spans="1:28" s="140" customFormat="1" ht="20.25">
      <c r="A787" s="167"/>
      <c r="B787" s="168" t="str">
        <f>IF(LEN(A787)=0,"",INDEX('Smelter Look-up'!$A:$A,MATCH($A787,'Smelter Look-up'!$E:$E,0)))</f>
        <v/>
      </c>
      <c r="C787" s="169" t="str">
        <f>IF(LEN(A787)=0,"",INDEX('Smelter Look-up'!$C:$C,MATCH($A787,'Smelter Look-up'!$E:$E,0)))</f>
        <v/>
      </c>
      <c r="D787" s="170"/>
      <c r="E787" s="168" t="str">
        <f ca="1">IF(ISERROR($V787),"",OFFSET('Smelter Look-up'!$D$4,$V787-4,0)&amp;"")</f>
        <v/>
      </c>
      <c r="F787" s="168" t="str">
        <f ca="1">IF(ISERROR($V787),"",OFFSET('Smelter Look-up'!$E$4,$V787-4,0))</f>
        <v/>
      </c>
      <c r="G787" s="168" t="str">
        <f ca="1">IF(C787=$X$4,IF(ISERROR($V787),"Enter smelter details","RMI"),IF(ISERROR($V787),"",OFFSET('Smelter Look-up'!$F$4,$V787-4,0)))</f>
        <v/>
      </c>
      <c r="H787" s="171" t="str">
        <f ca="1">IF(ISERROR($V787),"",OFFSET('Smelter Look-up'!$G$4,$V787-4,0))</f>
        <v/>
      </c>
      <c r="I787" s="172" t="str">
        <f ca="1">IF(ISERROR($V787),"",OFFSET('Smelter Look-up'!$H$4,$V787-4,0))</f>
        <v/>
      </c>
      <c r="J787" s="172" t="str">
        <f ca="1">IF(ISERROR($V787),"",OFFSET('Smelter Look-up'!$I$4,$V787-4,0))</f>
        <v/>
      </c>
      <c r="K787" s="173"/>
      <c r="L787" s="173"/>
      <c r="M787" s="173"/>
      <c r="N787" s="173"/>
      <c r="O787" s="173"/>
      <c r="P787" s="174"/>
      <c r="Q787" s="175"/>
      <c r="R787" s="168" t="str">
        <f ca="1">IF(ISERROR($V787),"",OFFSET('Smelter Look-up'!$C$4,$V787-4,0)&amp;"")</f>
        <v/>
      </c>
      <c r="S787" s="167" t="str">
        <f t="shared" ca="1" si="87"/>
        <v/>
      </c>
      <c r="T787" s="167" t="str">
        <f ca="1">IF(B787="","",IF(ISERROR(MATCH($J787,SorP!$B$1:$B$6230,0)),"",INDIRECT("'SorP'!$A$"&amp;MATCH($J787,SorP!$B$1:$B$6230,0))))</f>
        <v/>
      </c>
      <c r="U787" s="176"/>
      <c r="V787" s="177" t="e">
        <f>IF(C787="",NA(),IF(OR(C787="Smelter not listed",C787="Smelter not yet identified"),MATCH($B787&amp;$D787,'Smelter Look-up'!$J:$J,0),MATCH($B787&amp;$C787,'Smelter Look-up'!$J:$J,0)))</f>
        <v>#N/A</v>
      </c>
      <c r="X787" s="140">
        <f t="shared" ca="1" si="88"/>
        <v>0</v>
      </c>
      <c r="AB787" s="178" t="str">
        <f t="shared" si="89"/>
        <v/>
      </c>
    </row>
    <row r="788" spans="1:28" s="140" customFormat="1" ht="20.25">
      <c r="A788" s="167"/>
      <c r="B788" s="168" t="str">
        <f>IF(LEN(A788)=0,"",INDEX('Smelter Look-up'!$A:$A,MATCH($A788,'Smelter Look-up'!$E:$E,0)))</f>
        <v/>
      </c>
      <c r="C788" s="169" t="str">
        <f>IF(LEN(A788)=0,"",INDEX('Smelter Look-up'!$C:$C,MATCH($A788,'Smelter Look-up'!$E:$E,0)))</f>
        <v/>
      </c>
      <c r="D788" s="170"/>
      <c r="E788" s="168" t="str">
        <f ca="1">IF(ISERROR($V788),"",OFFSET('Smelter Look-up'!$D$4,$V788-4,0)&amp;"")</f>
        <v/>
      </c>
      <c r="F788" s="168" t="str">
        <f ca="1">IF(ISERROR($V788),"",OFFSET('Smelter Look-up'!$E$4,$V788-4,0))</f>
        <v/>
      </c>
      <c r="G788" s="168" t="str">
        <f ca="1">IF(C788=$X$4,IF(ISERROR($V788),"Enter smelter details","RMI"),IF(ISERROR($V788),"",OFFSET('Smelter Look-up'!$F$4,$V788-4,0)))</f>
        <v/>
      </c>
      <c r="H788" s="171" t="str">
        <f ca="1">IF(ISERROR($V788),"",OFFSET('Smelter Look-up'!$G$4,$V788-4,0))</f>
        <v/>
      </c>
      <c r="I788" s="172" t="str">
        <f ca="1">IF(ISERROR($V788),"",OFFSET('Smelter Look-up'!$H$4,$V788-4,0))</f>
        <v/>
      </c>
      <c r="J788" s="172" t="str">
        <f ca="1">IF(ISERROR($V788),"",OFFSET('Smelter Look-up'!$I$4,$V788-4,0))</f>
        <v/>
      </c>
      <c r="K788" s="173"/>
      <c r="L788" s="173"/>
      <c r="M788" s="173"/>
      <c r="N788" s="173"/>
      <c r="O788" s="173"/>
      <c r="P788" s="174"/>
      <c r="Q788" s="175"/>
      <c r="R788" s="168" t="str">
        <f ca="1">IF(ISERROR($V788),"",OFFSET('Smelter Look-up'!$C$4,$V788-4,0)&amp;"")</f>
        <v/>
      </c>
      <c r="S788" s="167" t="str">
        <f t="shared" ca="1" si="87"/>
        <v/>
      </c>
      <c r="T788" s="167" t="str">
        <f ca="1">IF(B788="","",IF(ISERROR(MATCH($J788,SorP!$B$1:$B$6230,0)),"",INDIRECT("'SorP'!$A$"&amp;MATCH($J788,SorP!$B$1:$B$6230,0))))</f>
        <v/>
      </c>
      <c r="U788" s="176"/>
      <c r="V788" s="177" t="e">
        <f>IF(C788="",NA(),IF(OR(C788="Smelter not listed",C788="Smelter not yet identified"),MATCH($B788&amp;$D788,'Smelter Look-up'!$J:$J,0),MATCH($B788&amp;$C788,'Smelter Look-up'!$J:$J,0)))</f>
        <v>#N/A</v>
      </c>
      <c r="X788" s="140">
        <f t="shared" ca="1" si="88"/>
        <v>0</v>
      </c>
      <c r="AB788" s="178" t="str">
        <f t="shared" si="89"/>
        <v/>
      </c>
    </row>
    <row r="789" spans="1:28" s="140" customFormat="1" ht="20.25">
      <c r="A789" s="167"/>
      <c r="B789" s="168" t="str">
        <f>IF(LEN(A789)=0,"",INDEX('Smelter Look-up'!$A:$A,MATCH($A789,'Smelter Look-up'!$E:$E,0)))</f>
        <v/>
      </c>
      <c r="C789" s="169" t="str">
        <f>IF(LEN(A789)=0,"",INDEX('Smelter Look-up'!$C:$C,MATCH($A789,'Smelter Look-up'!$E:$E,0)))</f>
        <v/>
      </c>
      <c r="D789" s="170"/>
      <c r="E789" s="168" t="str">
        <f ca="1">IF(ISERROR($V789),"",OFFSET('Smelter Look-up'!$D$4,$V789-4,0)&amp;"")</f>
        <v/>
      </c>
      <c r="F789" s="168" t="str">
        <f ca="1">IF(ISERROR($V789),"",OFFSET('Smelter Look-up'!$E$4,$V789-4,0))</f>
        <v/>
      </c>
      <c r="G789" s="168" t="str">
        <f ca="1">IF(C789=$X$4,IF(ISERROR($V789),"Enter smelter details","RMI"),IF(ISERROR($V789),"",OFFSET('Smelter Look-up'!$F$4,$V789-4,0)))</f>
        <v/>
      </c>
      <c r="H789" s="171" t="str">
        <f ca="1">IF(ISERROR($V789),"",OFFSET('Smelter Look-up'!$G$4,$V789-4,0))</f>
        <v/>
      </c>
      <c r="I789" s="172" t="str">
        <f ca="1">IF(ISERROR($V789),"",OFFSET('Smelter Look-up'!$H$4,$V789-4,0))</f>
        <v/>
      </c>
      <c r="J789" s="172" t="str">
        <f ca="1">IF(ISERROR($V789),"",OFFSET('Smelter Look-up'!$I$4,$V789-4,0))</f>
        <v/>
      </c>
      <c r="K789" s="173"/>
      <c r="L789" s="173"/>
      <c r="M789" s="173"/>
      <c r="N789" s="173"/>
      <c r="O789" s="173"/>
      <c r="P789" s="174"/>
      <c r="Q789" s="175"/>
      <c r="R789" s="168" t="str">
        <f ca="1">IF(ISERROR($V789),"",OFFSET('Smelter Look-up'!$C$4,$V789-4,0)&amp;"")</f>
        <v/>
      </c>
      <c r="S789" s="167" t="str">
        <f t="shared" ca="1" si="87"/>
        <v/>
      </c>
      <c r="T789" s="167" t="str">
        <f ca="1">IF(B789="","",IF(ISERROR(MATCH($J789,SorP!$B$1:$B$6230,0)),"",INDIRECT("'SorP'!$A$"&amp;MATCH($J789,SorP!$B$1:$B$6230,0))))</f>
        <v/>
      </c>
      <c r="U789" s="176"/>
      <c r="V789" s="177" t="e">
        <f>IF(C789="",NA(),IF(OR(C789="Smelter not listed",C789="Smelter not yet identified"),MATCH($B789&amp;$D789,'Smelter Look-up'!$J:$J,0),MATCH($B789&amp;$C789,'Smelter Look-up'!$J:$J,0)))</f>
        <v>#N/A</v>
      </c>
      <c r="X789" s="140">
        <f t="shared" ca="1" si="88"/>
        <v>0</v>
      </c>
      <c r="AB789" s="178" t="str">
        <f t="shared" si="89"/>
        <v/>
      </c>
    </row>
    <row r="790" spans="1:28" s="140" customFormat="1" ht="20.25">
      <c r="A790" s="167"/>
      <c r="B790" s="168" t="str">
        <f>IF(LEN(A790)=0,"",INDEX('Smelter Look-up'!$A:$A,MATCH($A790,'Smelter Look-up'!$E:$E,0)))</f>
        <v/>
      </c>
      <c r="C790" s="169" t="str">
        <f>IF(LEN(A790)=0,"",INDEX('Smelter Look-up'!$C:$C,MATCH($A790,'Smelter Look-up'!$E:$E,0)))</f>
        <v/>
      </c>
      <c r="D790" s="170"/>
      <c r="E790" s="168" t="str">
        <f ca="1">IF(ISERROR($V790),"",OFFSET('Smelter Look-up'!$D$4,$V790-4,0)&amp;"")</f>
        <v/>
      </c>
      <c r="F790" s="168" t="str">
        <f ca="1">IF(ISERROR($V790),"",OFFSET('Smelter Look-up'!$E$4,$V790-4,0))</f>
        <v/>
      </c>
      <c r="G790" s="168" t="str">
        <f ca="1">IF(C790=$X$4,IF(ISERROR($V790),"Enter smelter details","RMI"),IF(ISERROR($V790),"",OFFSET('Smelter Look-up'!$F$4,$V790-4,0)))</f>
        <v/>
      </c>
      <c r="H790" s="171" t="str">
        <f ca="1">IF(ISERROR($V790),"",OFFSET('Smelter Look-up'!$G$4,$V790-4,0))</f>
        <v/>
      </c>
      <c r="I790" s="172" t="str">
        <f ca="1">IF(ISERROR($V790),"",OFFSET('Smelter Look-up'!$H$4,$V790-4,0))</f>
        <v/>
      </c>
      <c r="J790" s="172" t="str">
        <f ca="1">IF(ISERROR($V790),"",OFFSET('Smelter Look-up'!$I$4,$V790-4,0))</f>
        <v/>
      </c>
      <c r="K790" s="173"/>
      <c r="L790" s="173"/>
      <c r="M790" s="173"/>
      <c r="N790" s="173"/>
      <c r="O790" s="173"/>
      <c r="P790" s="174"/>
      <c r="Q790" s="175"/>
      <c r="R790" s="168" t="str">
        <f ca="1">IF(ISERROR($V790),"",OFFSET('Smelter Look-up'!$C$4,$V790-4,0)&amp;"")</f>
        <v/>
      </c>
      <c r="S790" s="167" t="str">
        <f t="shared" ca="1" si="87"/>
        <v/>
      </c>
      <c r="T790" s="167" t="str">
        <f ca="1">IF(B790="","",IF(ISERROR(MATCH($J790,SorP!$B$1:$B$6230,0)),"",INDIRECT("'SorP'!$A$"&amp;MATCH($J790,SorP!$B$1:$B$6230,0))))</f>
        <v/>
      </c>
      <c r="U790" s="176"/>
      <c r="V790" s="177" t="e">
        <f>IF(C790="",NA(),IF(OR(C790="Smelter not listed",C790="Smelter not yet identified"),MATCH($B790&amp;$D790,'Smelter Look-up'!$J:$J,0),MATCH($B790&amp;$C790,'Smelter Look-up'!$J:$J,0)))</f>
        <v>#N/A</v>
      </c>
      <c r="X790" s="140">
        <f t="shared" ca="1" si="88"/>
        <v>0</v>
      </c>
      <c r="AB790" s="178" t="str">
        <f t="shared" si="89"/>
        <v/>
      </c>
    </row>
    <row r="791" spans="1:28" s="140" customFormat="1" ht="20.25">
      <c r="A791" s="167"/>
      <c r="B791" s="168" t="str">
        <f>IF(LEN(A791)=0,"",INDEX('Smelter Look-up'!$A:$A,MATCH($A791,'Smelter Look-up'!$E:$E,0)))</f>
        <v/>
      </c>
      <c r="C791" s="169" t="str">
        <f>IF(LEN(A791)=0,"",INDEX('Smelter Look-up'!$C:$C,MATCH($A791,'Smelter Look-up'!$E:$E,0)))</f>
        <v/>
      </c>
      <c r="D791" s="170"/>
      <c r="E791" s="168" t="str">
        <f ca="1">IF(ISERROR($V791),"",OFFSET('Smelter Look-up'!$D$4,$V791-4,0)&amp;"")</f>
        <v/>
      </c>
      <c r="F791" s="168" t="str">
        <f ca="1">IF(ISERROR($V791),"",OFFSET('Smelter Look-up'!$E$4,$V791-4,0))</f>
        <v/>
      </c>
      <c r="G791" s="168" t="str">
        <f ca="1">IF(C791=$X$4,IF(ISERROR($V791),"Enter smelter details","RMI"),IF(ISERROR($V791),"",OFFSET('Smelter Look-up'!$F$4,$V791-4,0)))</f>
        <v/>
      </c>
      <c r="H791" s="171" t="str">
        <f ca="1">IF(ISERROR($V791),"",OFFSET('Smelter Look-up'!$G$4,$V791-4,0))</f>
        <v/>
      </c>
      <c r="I791" s="172" t="str">
        <f ca="1">IF(ISERROR($V791),"",OFFSET('Smelter Look-up'!$H$4,$V791-4,0))</f>
        <v/>
      </c>
      <c r="J791" s="172" t="str">
        <f ca="1">IF(ISERROR($V791),"",OFFSET('Smelter Look-up'!$I$4,$V791-4,0))</f>
        <v/>
      </c>
      <c r="K791" s="173"/>
      <c r="L791" s="173"/>
      <c r="M791" s="173"/>
      <c r="N791" s="173"/>
      <c r="O791" s="173"/>
      <c r="P791" s="174"/>
      <c r="Q791" s="175"/>
      <c r="R791" s="168" t="str">
        <f ca="1">IF(ISERROR($V791),"",OFFSET('Smelter Look-up'!$C$4,$V791-4,0)&amp;"")</f>
        <v/>
      </c>
      <c r="S791" s="167" t="str">
        <f t="shared" ca="1" si="87"/>
        <v/>
      </c>
      <c r="T791" s="167" t="str">
        <f ca="1">IF(B791="","",IF(ISERROR(MATCH($J791,SorP!$B$1:$B$6230,0)),"",INDIRECT("'SorP'!$A$"&amp;MATCH($J791,SorP!$B$1:$B$6230,0))))</f>
        <v/>
      </c>
      <c r="U791" s="176"/>
      <c r="V791" s="177" t="e">
        <f>IF(C791="",NA(),IF(OR(C791="Smelter not listed",C791="Smelter not yet identified"),MATCH($B791&amp;$D791,'Smelter Look-up'!$J:$J,0),MATCH($B791&amp;$C791,'Smelter Look-up'!$J:$J,0)))</f>
        <v>#N/A</v>
      </c>
      <c r="X791" s="140">
        <f t="shared" ca="1" si="88"/>
        <v>0</v>
      </c>
      <c r="AB791" s="178" t="str">
        <f t="shared" si="89"/>
        <v/>
      </c>
    </row>
    <row r="792" spans="1:28" s="140" customFormat="1" ht="20.25">
      <c r="A792" s="167"/>
      <c r="B792" s="168" t="str">
        <f>IF(LEN(A792)=0,"",INDEX('Smelter Look-up'!$A:$A,MATCH($A792,'Smelter Look-up'!$E:$E,0)))</f>
        <v/>
      </c>
      <c r="C792" s="169" t="str">
        <f>IF(LEN(A792)=0,"",INDEX('Smelter Look-up'!$C:$C,MATCH($A792,'Smelter Look-up'!$E:$E,0)))</f>
        <v/>
      </c>
      <c r="D792" s="170"/>
      <c r="E792" s="168" t="str">
        <f ca="1">IF(ISERROR($V792),"",OFFSET('Smelter Look-up'!$D$4,$V792-4,0)&amp;"")</f>
        <v/>
      </c>
      <c r="F792" s="168" t="str">
        <f ca="1">IF(ISERROR($V792),"",OFFSET('Smelter Look-up'!$E$4,$V792-4,0))</f>
        <v/>
      </c>
      <c r="G792" s="168" t="str">
        <f ca="1">IF(C792=$X$4,IF(ISERROR($V792),"Enter smelter details","RMI"),IF(ISERROR($V792),"",OFFSET('Smelter Look-up'!$F$4,$V792-4,0)))</f>
        <v/>
      </c>
      <c r="H792" s="171" t="str">
        <f ca="1">IF(ISERROR($V792),"",OFFSET('Smelter Look-up'!$G$4,$V792-4,0))</f>
        <v/>
      </c>
      <c r="I792" s="172" t="str">
        <f ca="1">IF(ISERROR($V792),"",OFFSET('Smelter Look-up'!$H$4,$V792-4,0))</f>
        <v/>
      </c>
      <c r="J792" s="172" t="str">
        <f ca="1">IF(ISERROR($V792),"",OFFSET('Smelter Look-up'!$I$4,$V792-4,0))</f>
        <v/>
      </c>
      <c r="K792" s="173"/>
      <c r="L792" s="173"/>
      <c r="M792" s="173"/>
      <c r="N792" s="173"/>
      <c r="O792" s="173"/>
      <c r="P792" s="174"/>
      <c r="Q792" s="175"/>
      <c r="R792" s="168" t="str">
        <f ca="1">IF(ISERROR($V792),"",OFFSET('Smelter Look-up'!$C$4,$V792-4,0)&amp;"")</f>
        <v/>
      </c>
      <c r="S792" s="167" t="str">
        <f t="shared" ca="1" si="87"/>
        <v/>
      </c>
      <c r="T792" s="167" t="str">
        <f ca="1">IF(B792="","",IF(ISERROR(MATCH($J792,SorP!$B$1:$B$6230,0)),"",INDIRECT("'SorP'!$A$"&amp;MATCH($J792,SorP!$B$1:$B$6230,0))))</f>
        <v/>
      </c>
      <c r="U792" s="176"/>
      <c r="V792" s="177" t="e">
        <f>IF(C792="",NA(),IF(OR(C792="Smelter not listed",C792="Smelter not yet identified"),MATCH($B792&amp;$D792,'Smelter Look-up'!$J:$J,0),MATCH($B792&amp;$C792,'Smelter Look-up'!$J:$J,0)))</f>
        <v>#N/A</v>
      </c>
      <c r="X792" s="140">
        <f t="shared" ca="1" si="88"/>
        <v>0</v>
      </c>
      <c r="AB792" s="178" t="str">
        <f t="shared" si="89"/>
        <v/>
      </c>
    </row>
    <row r="793" spans="1:28" s="140" customFormat="1" ht="20.25">
      <c r="A793" s="167"/>
      <c r="B793" s="168" t="str">
        <f>IF(LEN(A793)=0,"",INDEX('Smelter Look-up'!$A:$A,MATCH($A793,'Smelter Look-up'!$E:$E,0)))</f>
        <v/>
      </c>
      <c r="C793" s="169" t="str">
        <f>IF(LEN(A793)=0,"",INDEX('Smelter Look-up'!$C:$C,MATCH($A793,'Smelter Look-up'!$E:$E,0)))</f>
        <v/>
      </c>
      <c r="D793" s="170"/>
      <c r="E793" s="168" t="str">
        <f ca="1">IF(ISERROR($V793),"",OFFSET('Smelter Look-up'!$D$4,$V793-4,0)&amp;"")</f>
        <v/>
      </c>
      <c r="F793" s="168" t="str">
        <f ca="1">IF(ISERROR($V793),"",OFFSET('Smelter Look-up'!$E$4,$V793-4,0))</f>
        <v/>
      </c>
      <c r="G793" s="168" t="str">
        <f ca="1">IF(C793=$X$4,IF(ISERROR($V793),"Enter smelter details","RMI"),IF(ISERROR($V793),"",OFFSET('Smelter Look-up'!$F$4,$V793-4,0)))</f>
        <v/>
      </c>
      <c r="H793" s="171" t="str">
        <f ca="1">IF(ISERROR($V793),"",OFFSET('Smelter Look-up'!$G$4,$V793-4,0))</f>
        <v/>
      </c>
      <c r="I793" s="172" t="str">
        <f ca="1">IF(ISERROR($V793),"",OFFSET('Smelter Look-up'!$H$4,$V793-4,0))</f>
        <v/>
      </c>
      <c r="J793" s="172" t="str">
        <f ca="1">IF(ISERROR($V793),"",OFFSET('Smelter Look-up'!$I$4,$V793-4,0))</f>
        <v/>
      </c>
      <c r="K793" s="173"/>
      <c r="L793" s="173"/>
      <c r="M793" s="173"/>
      <c r="N793" s="173"/>
      <c r="O793" s="173"/>
      <c r="P793" s="174"/>
      <c r="Q793" s="175"/>
      <c r="R793" s="168" t="str">
        <f ca="1">IF(ISERROR($V793),"",OFFSET('Smelter Look-up'!$C$4,$V793-4,0)&amp;"")</f>
        <v/>
      </c>
      <c r="S793" s="167" t="str">
        <f t="shared" ca="1" si="87"/>
        <v/>
      </c>
      <c r="T793" s="167" t="str">
        <f ca="1">IF(B793="","",IF(ISERROR(MATCH($J793,SorP!$B$1:$B$6230,0)),"",INDIRECT("'SorP'!$A$"&amp;MATCH($J793,SorP!$B$1:$B$6230,0))))</f>
        <v/>
      </c>
      <c r="U793" s="176"/>
      <c r="V793" s="177" t="e">
        <f>IF(C793="",NA(),IF(OR(C793="Smelter not listed",C793="Smelter not yet identified"),MATCH($B793&amp;$D793,'Smelter Look-up'!$J:$J,0),MATCH($B793&amp;$C793,'Smelter Look-up'!$J:$J,0)))</f>
        <v>#N/A</v>
      </c>
      <c r="X793" s="140">
        <f t="shared" ca="1" si="88"/>
        <v>0</v>
      </c>
      <c r="AB793" s="178" t="str">
        <f t="shared" si="89"/>
        <v/>
      </c>
    </row>
    <row r="794" spans="1:28" s="140" customFormat="1" ht="20.25">
      <c r="A794" s="167"/>
      <c r="B794" s="168" t="str">
        <f>IF(LEN(A794)=0,"",INDEX('Smelter Look-up'!$A:$A,MATCH($A794,'Smelter Look-up'!$E:$E,0)))</f>
        <v/>
      </c>
      <c r="C794" s="169" t="str">
        <f>IF(LEN(A794)=0,"",INDEX('Smelter Look-up'!$C:$C,MATCH($A794,'Smelter Look-up'!$E:$E,0)))</f>
        <v/>
      </c>
      <c r="D794" s="170"/>
      <c r="E794" s="168" t="str">
        <f ca="1">IF(ISERROR($V794),"",OFFSET('Smelter Look-up'!$D$4,$V794-4,0)&amp;"")</f>
        <v/>
      </c>
      <c r="F794" s="168" t="str">
        <f ca="1">IF(ISERROR($V794),"",OFFSET('Smelter Look-up'!$E$4,$V794-4,0))</f>
        <v/>
      </c>
      <c r="G794" s="168" t="str">
        <f ca="1">IF(C794=$X$4,IF(ISERROR($V794),"Enter smelter details","RMI"),IF(ISERROR($V794),"",OFFSET('Smelter Look-up'!$F$4,$V794-4,0)))</f>
        <v/>
      </c>
      <c r="H794" s="171" t="str">
        <f ca="1">IF(ISERROR($V794),"",OFFSET('Smelter Look-up'!$G$4,$V794-4,0))</f>
        <v/>
      </c>
      <c r="I794" s="172" t="str">
        <f ca="1">IF(ISERROR($V794),"",OFFSET('Smelter Look-up'!$H$4,$V794-4,0))</f>
        <v/>
      </c>
      <c r="J794" s="172" t="str">
        <f ca="1">IF(ISERROR($V794),"",OFFSET('Smelter Look-up'!$I$4,$V794-4,0))</f>
        <v/>
      </c>
      <c r="K794" s="173"/>
      <c r="L794" s="173"/>
      <c r="M794" s="173"/>
      <c r="N794" s="173"/>
      <c r="O794" s="173"/>
      <c r="P794" s="174"/>
      <c r="Q794" s="175"/>
      <c r="R794" s="168" t="str">
        <f ca="1">IF(ISERROR($V794),"",OFFSET('Smelter Look-up'!$C$4,$V794-4,0)&amp;"")</f>
        <v/>
      </c>
      <c r="S794" s="167" t="str">
        <f t="shared" ca="1" si="87"/>
        <v/>
      </c>
      <c r="T794" s="167" t="str">
        <f ca="1">IF(B794="","",IF(ISERROR(MATCH($J794,SorP!$B$1:$B$6230,0)),"",INDIRECT("'SorP'!$A$"&amp;MATCH($J794,SorP!$B$1:$B$6230,0))))</f>
        <v/>
      </c>
      <c r="U794" s="176"/>
      <c r="V794" s="177" t="e">
        <f>IF(C794="",NA(),IF(OR(C794="Smelter not listed",C794="Smelter not yet identified"),MATCH($B794&amp;$D794,'Smelter Look-up'!$J:$J,0),MATCH($B794&amp;$C794,'Smelter Look-up'!$J:$J,0)))</f>
        <v>#N/A</v>
      </c>
      <c r="X794" s="140">
        <f t="shared" ca="1" si="88"/>
        <v>0</v>
      </c>
      <c r="AB794" s="178" t="str">
        <f t="shared" si="89"/>
        <v/>
      </c>
    </row>
    <row r="795" spans="1:28" s="140" customFormat="1" ht="20.25">
      <c r="A795" s="167"/>
      <c r="B795" s="168" t="str">
        <f>IF(LEN(A795)=0,"",INDEX('Smelter Look-up'!$A:$A,MATCH($A795,'Smelter Look-up'!$E:$E,0)))</f>
        <v/>
      </c>
      <c r="C795" s="169" t="str">
        <f>IF(LEN(A795)=0,"",INDEX('Smelter Look-up'!$C:$C,MATCH($A795,'Smelter Look-up'!$E:$E,0)))</f>
        <v/>
      </c>
      <c r="D795" s="170"/>
      <c r="E795" s="168" t="str">
        <f ca="1">IF(ISERROR($V795),"",OFFSET('Smelter Look-up'!$D$4,$V795-4,0)&amp;"")</f>
        <v/>
      </c>
      <c r="F795" s="168" t="str">
        <f ca="1">IF(ISERROR($V795),"",OFFSET('Smelter Look-up'!$E$4,$V795-4,0))</f>
        <v/>
      </c>
      <c r="G795" s="168" t="str">
        <f ca="1">IF(C795=$X$4,IF(ISERROR($V795),"Enter smelter details","RMI"),IF(ISERROR($V795),"",OFFSET('Smelter Look-up'!$F$4,$V795-4,0)))</f>
        <v/>
      </c>
      <c r="H795" s="171" t="str">
        <f ca="1">IF(ISERROR($V795),"",OFFSET('Smelter Look-up'!$G$4,$V795-4,0))</f>
        <v/>
      </c>
      <c r="I795" s="172" t="str">
        <f ca="1">IF(ISERROR($V795),"",OFFSET('Smelter Look-up'!$H$4,$V795-4,0))</f>
        <v/>
      </c>
      <c r="J795" s="172" t="str">
        <f ca="1">IF(ISERROR($V795),"",OFFSET('Smelter Look-up'!$I$4,$V795-4,0))</f>
        <v/>
      </c>
      <c r="K795" s="173"/>
      <c r="L795" s="173"/>
      <c r="M795" s="173"/>
      <c r="N795" s="173"/>
      <c r="O795" s="173"/>
      <c r="P795" s="174"/>
      <c r="Q795" s="175"/>
      <c r="R795" s="168" t="str">
        <f ca="1">IF(ISERROR($V795),"",OFFSET('Smelter Look-up'!$C$4,$V795-4,0)&amp;"")</f>
        <v/>
      </c>
      <c r="S795" s="167" t="str">
        <f t="shared" ca="1" si="87"/>
        <v/>
      </c>
      <c r="T795" s="167" t="str">
        <f ca="1">IF(B795="","",IF(ISERROR(MATCH($J795,SorP!$B$1:$B$6230,0)),"",INDIRECT("'SorP'!$A$"&amp;MATCH($J795,SorP!$B$1:$B$6230,0))))</f>
        <v/>
      </c>
      <c r="U795" s="176"/>
      <c r="V795" s="177" t="e">
        <f>IF(C795="",NA(),IF(OR(C795="Smelter not listed",C795="Smelter not yet identified"),MATCH($B795&amp;$D795,'Smelter Look-up'!$J:$J,0),MATCH($B795&amp;$C795,'Smelter Look-up'!$J:$J,0)))</f>
        <v>#N/A</v>
      </c>
      <c r="X795" s="140">
        <f t="shared" ca="1" si="88"/>
        <v>0</v>
      </c>
      <c r="AB795" s="178" t="str">
        <f t="shared" si="89"/>
        <v/>
      </c>
    </row>
    <row r="796" spans="1:28" s="140" customFormat="1" ht="20.25">
      <c r="A796" s="167"/>
      <c r="B796" s="168" t="str">
        <f>IF(LEN(A796)=0,"",INDEX('Smelter Look-up'!$A:$A,MATCH($A796,'Smelter Look-up'!$E:$E,0)))</f>
        <v/>
      </c>
      <c r="C796" s="169" t="str">
        <f>IF(LEN(A796)=0,"",INDEX('Smelter Look-up'!$C:$C,MATCH($A796,'Smelter Look-up'!$E:$E,0)))</f>
        <v/>
      </c>
      <c r="D796" s="170"/>
      <c r="E796" s="168" t="str">
        <f ca="1">IF(ISERROR($V796),"",OFFSET('Smelter Look-up'!$D$4,$V796-4,0)&amp;"")</f>
        <v/>
      </c>
      <c r="F796" s="168" t="str">
        <f ca="1">IF(ISERROR($V796),"",OFFSET('Smelter Look-up'!$E$4,$V796-4,0))</f>
        <v/>
      </c>
      <c r="G796" s="168" t="str">
        <f ca="1">IF(C796=$X$4,IF(ISERROR($V796),"Enter smelter details","RMI"),IF(ISERROR($V796),"",OFFSET('Smelter Look-up'!$F$4,$V796-4,0)))</f>
        <v/>
      </c>
      <c r="H796" s="171" t="str">
        <f ca="1">IF(ISERROR($V796),"",OFFSET('Smelter Look-up'!$G$4,$V796-4,0))</f>
        <v/>
      </c>
      <c r="I796" s="172" t="str">
        <f ca="1">IF(ISERROR($V796),"",OFFSET('Smelter Look-up'!$H$4,$V796-4,0))</f>
        <v/>
      </c>
      <c r="J796" s="172" t="str">
        <f ca="1">IF(ISERROR($V796),"",OFFSET('Smelter Look-up'!$I$4,$V796-4,0))</f>
        <v/>
      </c>
      <c r="K796" s="173"/>
      <c r="L796" s="173"/>
      <c r="M796" s="173"/>
      <c r="N796" s="173"/>
      <c r="O796" s="173"/>
      <c r="P796" s="174"/>
      <c r="Q796" s="175"/>
      <c r="R796" s="168" t="str">
        <f ca="1">IF(ISERROR($V796),"",OFFSET('Smelter Look-up'!$C$4,$V796-4,0)&amp;"")</f>
        <v/>
      </c>
      <c r="S796" s="167" t="str">
        <f t="shared" ca="1" si="87"/>
        <v/>
      </c>
      <c r="T796" s="167" t="str">
        <f ca="1">IF(B796="","",IF(ISERROR(MATCH($J796,SorP!$B$1:$B$6230,0)),"",INDIRECT("'SorP'!$A$"&amp;MATCH($J796,SorP!$B$1:$B$6230,0))))</f>
        <v/>
      </c>
      <c r="U796" s="176"/>
      <c r="V796" s="177" t="e">
        <f>IF(C796="",NA(),IF(OR(C796="Smelter not listed",C796="Smelter not yet identified"),MATCH($B796&amp;$D796,'Smelter Look-up'!$J:$J,0),MATCH($B796&amp;$C796,'Smelter Look-up'!$J:$J,0)))</f>
        <v>#N/A</v>
      </c>
      <c r="X796" s="140">
        <f t="shared" ca="1" si="88"/>
        <v>0</v>
      </c>
      <c r="AB796" s="178" t="str">
        <f t="shared" si="89"/>
        <v/>
      </c>
    </row>
    <row r="797" spans="1:28" s="140" customFormat="1" ht="20.25">
      <c r="A797" s="167"/>
      <c r="B797" s="168" t="str">
        <f>IF(LEN(A797)=0,"",INDEX('Smelter Look-up'!$A:$A,MATCH($A797,'Smelter Look-up'!$E:$E,0)))</f>
        <v/>
      </c>
      <c r="C797" s="169" t="str">
        <f>IF(LEN(A797)=0,"",INDEX('Smelter Look-up'!$C:$C,MATCH($A797,'Smelter Look-up'!$E:$E,0)))</f>
        <v/>
      </c>
      <c r="D797" s="170"/>
      <c r="E797" s="168" t="str">
        <f ca="1">IF(ISERROR($V797),"",OFFSET('Smelter Look-up'!$D$4,$V797-4,0)&amp;"")</f>
        <v/>
      </c>
      <c r="F797" s="168" t="str">
        <f ca="1">IF(ISERROR($V797),"",OFFSET('Smelter Look-up'!$E$4,$V797-4,0))</f>
        <v/>
      </c>
      <c r="G797" s="168" t="str">
        <f ca="1">IF(C797=$X$4,IF(ISERROR($V797),"Enter smelter details","RMI"),IF(ISERROR($V797),"",OFFSET('Smelter Look-up'!$F$4,$V797-4,0)))</f>
        <v/>
      </c>
      <c r="H797" s="171" t="str">
        <f ca="1">IF(ISERROR($V797),"",OFFSET('Smelter Look-up'!$G$4,$V797-4,0))</f>
        <v/>
      </c>
      <c r="I797" s="172" t="str">
        <f ca="1">IF(ISERROR($V797),"",OFFSET('Smelter Look-up'!$H$4,$V797-4,0))</f>
        <v/>
      </c>
      <c r="J797" s="172" t="str">
        <f ca="1">IF(ISERROR($V797),"",OFFSET('Smelter Look-up'!$I$4,$V797-4,0))</f>
        <v/>
      </c>
      <c r="K797" s="173"/>
      <c r="L797" s="173"/>
      <c r="M797" s="173"/>
      <c r="N797" s="173"/>
      <c r="O797" s="173"/>
      <c r="P797" s="174"/>
      <c r="Q797" s="175"/>
      <c r="R797" s="168" t="str">
        <f ca="1">IF(ISERROR($V797),"",OFFSET('Smelter Look-up'!$C$4,$V797-4,0)&amp;"")</f>
        <v/>
      </c>
      <c r="S797" s="167" t="str">
        <f t="shared" ca="1" si="87"/>
        <v/>
      </c>
      <c r="T797" s="167" t="str">
        <f ca="1">IF(B797="","",IF(ISERROR(MATCH($J797,SorP!$B$1:$B$6230,0)),"",INDIRECT("'SorP'!$A$"&amp;MATCH($J797,SorP!$B$1:$B$6230,0))))</f>
        <v/>
      </c>
      <c r="U797" s="176"/>
      <c r="V797" s="177" t="e">
        <f>IF(C797="",NA(),IF(OR(C797="Smelter not listed",C797="Smelter not yet identified"),MATCH($B797&amp;$D797,'Smelter Look-up'!$J:$J,0),MATCH($B797&amp;$C797,'Smelter Look-up'!$J:$J,0)))</f>
        <v>#N/A</v>
      </c>
      <c r="X797" s="140">
        <f t="shared" ca="1" si="88"/>
        <v>0</v>
      </c>
      <c r="AB797" s="178" t="str">
        <f t="shared" si="89"/>
        <v/>
      </c>
    </row>
    <row r="798" spans="1:28" s="140" customFormat="1" ht="20.25">
      <c r="A798" s="167"/>
      <c r="B798" s="168" t="str">
        <f>IF(LEN(A798)=0,"",INDEX('Smelter Look-up'!$A:$A,MATCH($A798,'Smelter Look-up'!$E:$E,0)))</f>
        <v/>
      </c>
      <c r="C798" s="169" t="str">
        <f>IF(LEN(A798)=0,"",INDEX('Smelter Look-up'!$C:$C,MATCH($A798,'Smelter Look-up'!$E:$E,0)))</f>
        <v/>
      </c>
      <c r="D798" s="170"/>
      <c r="E798" s="168" t="str">
        <f ca="1">IF(ISERROR($V798),"",OFFSET('Smelter Look-up'!$D$4,$V798-4,0)&amp;"")</f>
        <v/>
      </c>
      <c r="F798" s="168" t="str">
        <f ca="1">IF(ISERROR($V798),"",OFFSET('Smelter Look-up'!$E$4,$V798-4,0))</f>
        <v/>
      </c>
      <c r="G798" s="168" t="str">
        <f ca="1">IF(C798=$X$4,IF(ISERROR($V798),"Enter smelter details","RMI"),IF(ISERROR($V798),"",OFFSET('Smelter Look-up'!$F$4,$V798-4,0)))</f>
        <v/>
      </c>
      <c r="H798" s="171" t="str">
        <f ca="1">IF(ISERROR($V798),"",OFFSET('Smelter Look-up'!$G$4,$V798-4,0))</f>
        <v/>
      </c>
      <c r="I798" s="172" t="str">
        <f ca="1">IF(ISERROR($V798),"",OFFSET('Smelter Look-up'!$H$4,$V798-4,0))</f>
        <v/>
      </c>
      <c r="J798" s="172" t="str">
        <f ca="1">IF(ISERROR($V798),"",OFFSET('Smelter Look-up'!$I$4,$V798-4,0))</f>
        <v/>
      </c>
      <c r="K798" s="173"/>
      <c r="L798" s="173"/>
      <c r="M798" s="173"/>
      <c r="N798" s="173"/>
      <c r="O798" s="173"/>
      <c r="P798" s="174"/>
      <c r="Q798" s="175"/>
      <c r="R798" s="168" t="str">
        <f ca="1">IF(ISERROR($V798),"",OFFSET('Smelter Look-up'!$C$4,$V798-4,0)&amp;"")</f>
        <v/>
      </c>
      <c r="S798" s="167" t="str">
        <f t="shared" ca="1" si="87"/>
        <v/>
      </c>
      <c r="T798" s="167" t="str">
        <f ca="1">IF(B798="","",IF(ISERROR(MATCH($J798,SorP!$B$1:$B$6230,0)),"",INDIRECT("'SorP'!$A$"&amp;MATCH($J798,SorP!$B$1:$B$6230,0))))</f>
        <v/>
      </c>
      <c r="U798" s="176"/>
      <c r="V798" s="177" t="e">
        <f>IF(C798="",NA(),IF(OR(C798="Smelter not listed",C798="Smelter not yet identified"),MATCH($B798&amp;$D798,'Smelter Look-up'!$J:$J,0),MATCH($B798&amp;$C798,'Smelter Look-up'!$J:$J,0)))</f>
        <v>#N/A</v>
      </c>
      <c r="X798" s="140">
        <f t="shared" ca="1" si="88"/>
        <v>0</v>
      </c>
      <c r="AB798" s="178" t="str">
        <f t="shared" si="89"/>
        <v/>
      </c>
    </row>
    <row r="799" spans="1:28" s="140" customFormat="1" ht="20.25">
      <c r="A799" s="167"/>
      <c r="B799" s="168" t="str">
        <f>IF(LEN(A799)=0,"",INDEX('Smelter Look-up'!$A:$A,MATCH($A799,'Smelter Look-up'!$E:$E,0)))</f>
        <v/>
      </c>
      <c r="C799" s="169" t="str">
        <f>IF(LEN(A799)=0,"",INDEX('Smelter Look-up'!$C:$C,MATCH($A799,'Smelter Look-up'!$E:$E,0)))</f>
        <v/>
      </c>
      <c r="D799" s="170"/>
      <c r="E799" s="168" t="str">
        <f ca="1">IF(ISERROR($V799),"",OFFSET('Smelter Look-up'!$D$4,$V799-4,0)&amp;"")</f>
        <v/>
      </c>
      <c r="F799" s="168" t="str">
        <f ca="1">IF(ISERROR($V799),"",OFFSET('Smelter Look-up'!$E$4,$V799-4,0))</f>
        <v/>
      </c>
      <c r="G799" s="168" t="str">
        <f ca="1">IF(C799=$X$4,IF(ISERROR($V799),"Enter smelter details","RMI"),IF(ISERROR($V799),"",OFFSET('Smelter Look-up'!$F$4,$V799-4,0)))</f>
        <v/>
      </c>
      <c r="H799" s="171" t="str">
        <f ca="1">IF(ISERROR($V799),"",OFFSET('Smelter Look-up'!$G$4,$V799-4,0))</f>
        <v/>
      </c>
      <c r="I799" s="172" t="str">
        <f ca="1">IF(ISERROR($V799),"",OFFSET('Smelter Look-up'!$H$4,$V799-4,0))</f>
        <v/>
      </c>
      <c r="J799" s="172" t="str">
        <f ca="1">IF(ISERROR($V799),"",OFFSET('Smelter Look-up'!$I$4,$V799-4,0))</f>
        <v/>
      </c>
      <c r="K799" s="173"/>
      <c r="L799" s="173"/>
      <c r="M799" s="173"/>
      <c r="N799" s="173"/>
      <c r="O799" s="173"/>
      <c r="P799" s="174"/>
      <c r="Q799" s="175"/>
      <c r="R799" s="168" t="str">
        <f ca="1">IF(ISERROR($V799),"",OFFSET('Smelter Look-up'!$C$4,$V799-4,0)&amp;"")</f>
        <v/>
      </c>
      <c r="S799" s="167" t="str">
        <f t="shared" ca="1" si="87"/>
        <v/>
      </c>
      <c r="T799" s="167" t="str">
        <f ca="1">IF(B799="","",IF(ISERROR(MATCH($J799,SorP!$B$1:$B$6230,0)),"",INDIRECT("'SorP'!$A$"&amp;MATCH($J799,SorP!$B$1:$B$6230,0))))</f>
        <v/>
      </c>
      <c r="U799" s="176"/>
      <c r="V799" s="177" t="e">
        <f>IF(C799="",NA(),IF(OR(C799="Smelter not listed",C799="Smelter not yet identified"),MATCH($B799&amp;$D799,'Smelter Look-up'!$J:$J,0),MATCH($B799&amp;$C799,'Smelter Look-up'!$J:$J,0)))</f>
        <v>#N/A</v>
      </c>
      <c r="X799" s="140">
        <f t="shared" ca="1" si="88"/>
        <v>0</v>
      </c>
      <c r="AB799" s="178" t="str">
        <f t="shared" si="89"/>
        <v/>
      </c>
    </row>
    <row r="800" spans="1:28" s="140" customFormat="1" ht="20.25">
      <c r="A800" s="167"/>
      <c r="B800" s="168" t="str">
        <f>IF(LEN(A800)=0,"",INDEX('Smelter Look-up'!$A:$A,MATCH($A800,'Smelter Look-up'!$E:$E,0)))</f>
        <v/>
      </c>
      <c r="C800" s="169" t="str">
        <f>IF(LEN(A800)=0,"",INDEX('Smelter Look-up'!$C:$C,MATCH($A800,'Smelter Look-up'!$E:$E,0)))</f>
        <v/>
      </c>
      <c r="D800" s="170"/>
      <c r="E800" s="168" t="str">
        <f ca="1">IF(ISERROR($V800),"",OFFSET('Smelter Look-up'!$D$4,$V800-4,0)&amp;"")</f>
        <v/>
      </c>
      <c r="F800" s="168" t="str">
        <f ca="1">IF(ISERROR($V800),"",OFFSET('Smelter Look-up'!$E$4,$V800-4,0))</f>
        <v/>
      </c>
      <c r="G800" s="168" t="str">
        <f ca="1">IF(C800=$X$4,IF(ISERROR($V800),"Enter smelter details","RMI"),IF(ISERROR($V800),"",OFFSET('Smelter Look-up'!$F$4,$V800-4,0)))</f>
        <v/>
      </c>
      <c r="H800" s="171" t="str">
        <f ca="1">IF(ISERROR($V800),"",OFFSET('Smelter Look-up'!$G$4,$V800-4,0))</f>
        <v/>
      </c>
      <c r="I800" s="172" t="str">
        <f ca="1">IF(ISERROR($V800),"",OFFSET('Smelter Look-up'!$H$4,$V800-4,0))</f>
        <v/>
      </c>
      <c r="J800" s="172" t="str">
        <f ca="1">IF(ISERROR($V800),"",OFFSET('Smelter Look-up'!$I$4,$V800-4,0))</f>
        <v/>
      </c>
      <c r="K800" s="173"/>
      <c r="L800" s="173"/>
      <c r="M800" s="173"/>
      <c r="N800" s="173"/>
      <c r="O800" s="173"/>
      <c r="P800" s="174"/>
      <c r="Q800" s="175"/>
      <c r="R800" s="168" t="str">
        <f ca="1">IF(ISERROR($V800),"",OFFSET('Smelter Look-up'!$C$4,$V800-4,0)&amp;"")</f>
        <v/>
      </c>
      <c r="S800" s="167" t="str">
        <f t="shared" ca="1" si="87"/>
        <v/>
      </c>
      <c r="T800" s="167" t="str">
        <f ca="1">IF(B800="","",IF(ISERROR(MATCH($J800,SorP!$B$1:$B$6230,0)),"",INDIRECT("'SorP'!$A$"&amp;MATCH($J800,SorP!$B$1:$B$6230,0))))</f>
        <v/>
      </c>
      <c r="U800" s="176"/>
      <c r="V800" s="177" t="e">
        <f>IF(C800="",NA(),IF(OR(C800="Smelter not listed",C800="Smelter not yet identified"),MATCH($B800&amp;$D800,'Smelter Look-up'!$J:$J,0),MATCH($B800&amp;$C800,'Smelter Look-up'!$J:$J,0)))</f>
        <v>#N/A</v>
      </c>
      <c r="X800" s="140">
        <f t="shared" ca="1" si="88"/>
        <v>0</v>
      </c>
      <c r="AB800" s="178" t="str">
        <f t="shared" si="89"/>
        <v/>
      </c>
    </row>
    <row r="801" spans="1:28" s="140" customFormat="1" ht="20.25">
      <c r="A801" s="167"/>
      <c r="B801" s="168" t="str">
        <f>IF(LEN(A801)=0,"",INDEX('Smelter Look-up'!$A:$A,MATCH($A801,'Smelter Look-up'!$E:$E,0)))</f>
        <v/>
      </c>
      <c r="C801" s="169" t="str">
        <f>IF(LEN(A801)=0,"",INDEX('Smelter Look-up'!$C:$C,MATCH($A801,'Smelter Look-up'!$E:$E,0)))</f>
        <v/>
      </c>
      <c r="D801" s="170"/>
      <c r="E801" s="168" t="str">
        <f ca="1">IF(ISERROR($V801),"",OFFSET('Smelter Look-up'!$D$4,$V801-4,0)&amp;"")</f>
        <v/>
      </c>
      <c r="F801" s="168" t="str">
        <f ca="1">IF(ISERROR($V801),"",OFFSET('Smelter Look-up'!$E$4,$V801-4,0))</f>
        <v/>
      </c>
      <c r="G801" s="168" t="str">
        <f ca="1">IF(C801=$X$4,IF(ISERROR($V801),"Enter smelter details","RMI"),IF(ISERROR($V801),"",OFFSET('Smelter Look-up'!$F$4,$V801-4,0)))</f>
        <v/>
      </c>
      <c r="H801" s="171" t="str">
        <f ca="1">IF(ISERROR($V801),"",OFFSET('Smelter Look-up'!$G$4,$V801-4,0))</f>
        <v/>
      </c>
      <c r="I801" s="172" t="str">
        <f ca="1">IF(ISERROR($V801),"",OFFSET('Smelter Look-up'!$H$4,$V801-4,0))</f>
        <v/>
      </c>
      <c r="J801" s="172" t="str">
        <f ca="1">IF(ISERROR($V801),"",OFFSET('Smelter Look-up'!$I$4,$V801-4,0))</f>
        <v/>
      </c>
      <c r="K801" s="173"/>
      <c r="L801" s="173"/>
      <c r="M801" s="173"/>
      <c r="N801" s="173"/>
      <c r="O801" s="173"/>
      <c r="P801" s="174"/>
      <c r="Q801" s="175"/>
      <c r="R801" s="168" t="str">
        <f ca="1">IF(ISERROR($V801),"",OFFSET('Smelter Look-up'!$C$4,$V801-4,0)&amp;"")</f>
        <v/>
      </c>
      <c r="S801" s="167" t="str">
        <f t="shared" ca="1" si="87"/>
        <v/>
      </c>
      <c r="T801" s="167" t="str">
        <f ca="1">IF(B801="","",IF(ISERROR(MATCH($J801,SorP!$B$1:$B$6230,0)),"",INDIRECT("'SorP'!$A$"&amp;MATCH($J801,SorP!$B$1:$B$6230,0))))</f>
        <v/>
      </c>
      <c r="U801" s="176"/>
      <c r="V801" s="177" t="e">
        <f>IF(C801="",NA(),IF(OR(C801="Smelter not listed",C801="Smelter not yet identified"),MATCH($B801&amp;$D801,'Smelter Look-up'!$J:$J,0),MATCH($B801&amp;$C801,'Smelter Look-up'!$J:$J,0)))</f>
        <v>#N/A</v>
      </c>
      <c r="X801" s="140">
        <f t="shared" ca="1" si="88"/>
        <v>0</v>
      </c>
      <c r="AB801" s="178" t="str">
        <f t="shared" si="89"/>
        <v/>
      </c>
    </row>
    <row r="802" spans="1:28" s="140" customFormat="1" ht="20.25">
      <c r="A802" s="167"/>
      <c r="B802" s="168" t="str">
        <f>IF(LEN(A802)=0,"",INDEX('Smelter Look-up'!$A:$A,MATCH($A802,'Smelter Look-up'!$E:$E,0)))</f>
        <v/>
      </c>
      <c r="C802" s="169" t="str">
        <f>IF(LEN(A802)=0,"",INDEX('Smelter Look-up'!$C:$C,MATCH($A802,'Smelter Look-up'!$E:$E,0)))</f>
        <v/>
      </c>
      <c r="D802" s="170"/>
      <c r="E802" s="168" t="str">
        <f ca="1">IF(ISERROR($V802),"",OFFSET('Smelter Look-up'!$D$4,$V802-4,0)&amp;"")</f>
        <v/>
      </c>
      <c r="F802" s="168" t="str">
        <f ca="1">IF(ISERROR($V802),"",OFFSET('Smelter Look-up'!$E$4,$V802-4,0))</f>
        <v/>
      </c>
      <c r="G802" s="168" t="str">
        <f ca="1">IF(C802=$X$4,IF(ISERROR($V802),"Enter smelter details","RMI"),IF(ISERROR($V802),"",OFFSET('Smelter Look-up'!$F$4,$V802-4,0)))</f>
        <v/>
      </c>
      <c r="H802" s="171" t="str">
        <f ca="1">IF(ISERROR($V802),"",OFFSET('Smelter Look-up'!$G$4,$V802-4,0))</f>
        <v/>
      </c>
      <c r="I802" s="172" t="str">
        <f ca="1">IF(ISERROR($V802),"",OFFSET('Smelter Look-up'!$H$4,$V802-4,0))</f>
        <v/>
      </c>
      <c r="J802" s="172" t="str">
        <f ca="1">IF(ISERROR($V802),"",OFFSET('Smelter Look-up'!$I$4,$V802-4,0))</f>
        <v/>
      </c>
      <c r="K802" s="173"/>
      <c r="L802" s="173"/>
      <c r="M802" s="173"/>
      <c r="N802" s="173"/>
      <c r="O802" s="173"/>
      <c r="P802" s="174"/>
      <c r="Q802" s="175"/>
      <c r="R802" s="168" t="str">
        <f ca="1">IF(ISERROR($V802),"",OFFSET('Smelter Look-up'!$C$4,$V802-4,0)&amp;"")</f>
        <v/>
      </c>
      <c r="S802" s="167" t="str">
        <f t="shared" ca="1" si="87"/>
        <v/>
      </c>
      <c r="T802" s="167" t="str">
        <f ca="1">IF(B802="","",IF(ISERROR(MATCH($J802,SorP!$B$1:$B$6230,0)),"",INDIRECT("'SorP'!$A$"&amp;MATCH($J802,SorP!$B$1:$B$6230,0))))</f>
        <v/>
      </c>
      <c r="U802" s="176"/>
      <c r="V802" s="177" t="e">
        <f>IF(C802="",NA(),IF(OR(C802="Smelter not listed",C802="Smelter not yet identified"),MATCH($B802&amp;$D802,'Smelter Look-up'!$J:$J,0),MATCH($B802&amp;$C802,'Smelter Look-up'!$J:$J,0)))</f>
        <v>#N/A</v>
      </c>
      <c r="X802" s="140">
        <f t="shared" ca="1" si="88"/>
        <v>0</v>
      </c>
      <c r="AB802" s="178" t="str">
        <f t="shared" si="89"/>
        <v/>
      </c>
    </row>
    <row r="803" spans="1:28" s="140" customFormat="1" ht="20.25">
      <c r="A803" s="167"/>
      <c r="B803" s="168" t="str">
        <f>IF(LEN(A803)=0,"",INDEX('Smelter Look-up'!$A:$A,MATCH($A803,'Smelter Look-up'!$E:$E,0)))</f>
        <v/>
      </c>
      <c r="C803" s="169" t="str">
        <f>IF(LEN(A803)=0,"",INDEX('Smelter Look-up'!$C:$C,MATCH($A803,'Smelter Look-up'!$E:$E,0)))</f>
        <v/>
      </c>
      <c r="D803" s="170"/>
      <c r="E803" s="168" t="str">
        <f ca="1">IF(ISERROR($V803),"",OFFSET('Smelter Look-up'!$D$4,$V803-4,0)&amp;"")</f>
        <v/>
      </c>
      <c r="F803" s="168" t="str">
        <f ca="1">IF(ISERROR($V803),"",OFFSET('Smelter Look-up'!$E$4,$V803-4,0))</f>
        <v/>
      </c>
      <c r="G803" s="168" t="str">
        <f ca="1">IF(C803=$X$4,IF(ISERROR($V803),"Enter smelter details","RMI"),IF(ISERROR($V803),"",OFFSET('Smelter Look-up'!$F$4,$V803-4,0)))</f>
        <v/>
      </c>
      <c r="H803" s="171" t="str">
        <f ca="1">IF(ISERROR($V803),"",OFFSET('Smelter Look-up'!$G$4,$V803-4,0))</f>
        <v/>
      </c>
      <c r="I803" s="172" t="str">
        <f ca="1">IF(ISERROR($V803),"",OFFSET('Smelter Look-up'!$H$4,$V803-4,0))</f>
        <v/>
      </c>
      <c r="J803" s="172" t="str">
        <f ca="1">IF(ISERROR($V803),"",OFFSET('Smelter Look-up'!$I$4,$V803-4,0))</f>
        <v/>
      </c>
      <c r="K803" s="173"/>
      <c r="L803" s="173"/>
      <c r="M803" s="173"/>
      <c r="N803" s="173"/>
      <c r="O803" s="173"/>
      <c r="P803" s="174"/>
      <c r="Q803" s="175"/>
      <c r="R803" s="168" t="str">
        <f ca="1">IF(ISERROR($V803),"",OFFSET('Smelter Look-up'!$C$4,$V803-4,0)&amp;"")</f>
        <v/>
      </c>
      <c r="S803" s="167" t="str">
        <f t="shared" ca="1" si="87"/>
        <v/>
      </c>
      <c r="T803" s="167" t="str">
        <f ca="1">IF(B803="","",IF(ISERROR(MATCH($J803,SorP!$B$1:$B$6230,0)),"",INDIRECT("'SorP'!$A$"&amp;MATCH($J803,SorP!$B$1:$B$6230,0))))</f>
        <v/>
      </c>
      <c r="U803" s="176"/>
      <c r="V803" s="177" t="e">
        <f>IF(C803="",NA(),IF(OR(C803="Smelter not listed",C803="Smelter not yet identified"),MATCH($B803&amp;$D803,'Smelter Look-up'!$J:$J,0),MATCH($B803&amp;$C803,'Smelter Look-up'!$J:$J,0)))</f>
        <v>#N/A</v>
      </c>
      <c r="X803" s="140">
        <f t="shared" ca="1" si="88"/>
        <v>0</v>
      </c>
      <c r="AB803" s="178" t="str">
        <f t="shared" si="89"/>
        <v/>
      </c>
    </row>
    <row r="804" spans="1:28" s="140" customFormat="1" ht="20.25">
      <c r="A804" s="167"/>
      <c r="B804" s="168" t="str">
        <f>IF(LEN(A804)=0,"",INDEX('Smelter Look-up'!$A:$A,MATCH($A804,'Smelter Look-up'!$E:$E,0)))</f>
        <v/>
      </c>
      <c r="C804" s="169" t="str">
        <f>IF(LEN(A804)=0,"",INDEX('Smelter Look-up'!$C:$C,MATCH($A804,'Smelter Look-up'!$E:$E,0)))</f>
        <v/>
      </c>
      <c r="D804" s="170"/>
      <c r="E804" s="168" t="str">
        <f ca="1">IF(ISERROR($V804),"",OFFSET('Smelter Look-up'!$D$4,$V804-4,0)&amp;"")</f>
        <v/>
      </c>
      <c r="F804" s="168" t="str">
        <f ca="1">IF(ISERROR($V804),"",OFFSET('Smelter Look-up'!$E$4,$V804-4,0))</f>
        <v/>
      </c>
      <c r="G804" s="168" t="str">
        <f ca="1">IF(C804=$X$4,IF(ISERROR($V804),"Enter smelter details","RMI"),IF(ISERROR($V804),"",OFFSET('Smelter Look-up'!$F$4,$V804-4,0)))</f>
        <v/>
      </c>
      <c r="H804" s="171" t="str">
        <f ca="1">IF(ISERROR($V804),"",OFFSET('Smelter Look-up'!$G$4,$V804-4,0))</f>
        <v/>
      </c>
      <c r="I804" s="172" t="str">
        <f ca="1">IF(ISERROR($V804),"",OFFSET('Smelter Look-up'!$H$4,$V804-4,0))</f>
        <v/>
      </c>
      <c r="J804" s="172" t="str">
        <f ca="1">IF(ISERROR($V804),"",OFFSET('Smelter Look-up'!$I$4,$V804-4,0))</f>
        <v/>
      </c>
      <c r="K804" s="173"/>
      <c r="L804" s="173"/>
      <c r="M804" s="173"/>
      <c r="N804" s="173"/>
      <c r="O804" s="173"/>
      <c r="P804" s="174"/>
      <c r="Q804" s="175"/>
      <c r="R804" s="168" t="str">
        <f ca="1">IF(ISERROR($V804),"",OFFSET('Smelter Look-up'!$C$4,$V804-4,0)&amp;"")</f>
        <v/>
      </c>
      <c r="S804" s="167" t="str">
        <f t="shared" ca="1" si="87"/>
        <v/>
      </c>
      <c r="T804" s="167" t="str">
        <f ca="1">IF(B804="","",IF(ISERROR(MATCH($J804,SorP!$B$1:$B$6230,0)),"",INDIRECT("'SorP'!$A$"&amp;MATCH($J804,SorP!$B$1:$B$6230,0))))</f>
        <v/>
      </c>
      <c r="U804" s="176"/>
      <c r="V804" s="177" t="e">
        <f>IF(C804="",NA(),IF(OR(C804="Smelter not listed",C804="Smelter not yet identified"),MATCH($B804&amp;$D804,'Smelter Look-up'!$J:$J,0),MATCH($B804&amp;$C804,'Smelter Look-up'!$J:$J,0)))</f>
        <v>#N/A</v>
      </c>
      <c r="X804" s="140">
        <f t="shared" ca="1" si="88"/>
        <v>0</v>
      </c>
      <c r="AB804" s="178" t="str">
        <f t="shared" si="89"/>
        <v/>
      </c>
    </row>
    <row r="805" spans="1:28" s="140" customFormat="1" ht="20.25">
      <c r="A805" s="167"/>
      <c r="B805" s="168" t="str">
        <f>IF(LEN(A805)=0,"",INDEX('Smelter Look-up'!$A:$A,MATCH($A805,'Smelter Look-up'!$E:$E,0)))</f>
        <v/>
      </c>
      <c r="C805" s="169" t="str">
        <f>IF(LEN(A805)=0,"",INDEX('Smelter Look-up'!$C:$C,MATCH($A805,'Smelter Look-up'!$E:$E,0)))</f>
        <v/>
      </c>
      <c r="D805" s="170"/>
      <c r="E805" s="168" t="str">
        <f ca="1">IF(ISERROR($V805),"",OFFSET('Smelter Look-up'!$D$4,$V805-4,0)&amp;"")</f>
        <v/>
      </c>
      <c r="F805" s="168" t="str">
        <f ca="1">IF(ISERROR($V805),"",OFFSET('Smelter Look-up'!$E$4,$V805-4,0))</f>
        <v/>
      </c>
      <c r="G805" s="168" t="str">
        <f ca="1">IF(C805=$X$4,IF(ISERROR($V805),"Enter smelter details","RMI"),IF(ISERROR($V805),"",OFFSET('Smelter Look-up'!$F$4,$V805-4,0)))</f>
        <v/>
      </c>
      <c r="H805" s="171" t="str">
        <f ca="1">IF(ISERROR($V805),"",OFFSET('Smelter Look-up'!$G$4,$V805-4,0))</f>
        <v/>
      </c>
      <c r="I805" s="172" t="str">
        <f ca="1">IF(ISERROR($V805),"",OFFSET('Smelter Look-up'!$H$4,$V805-4,0))</f>
        <v/>
      </c>
      <c r="J805" s="172" t="str">
        <f ca="1">IF(ISERROR($V805),"",OFFSET('Smelter Look-up'!$I$4,$V805-4,0))</f>
        <v/>
      </c>
      <c r="K805" s="173"/>
      <c r="L805" s="173"/>
      <c r="M805" s="173"/>
      <c r="N805" s="173"/>
      <c r="O805" s="173"/>
      <c r="P805" s="174"/>
      <c r="Q805" s="175"/>
      <c r="R805" s="168" t="str">
        <f ca="1">IF(ISERROR($V805),"",OFFSET('Smelter Look-up'!$C$4,$V805-4,0)&amp;"")</f>
        <v/>
      </c>
      <c r="S805" s="167" t="str">
        <f t="shared" ref="S805:S868" ca="1" si="90">IF(B805="","",IF(ISERROR(MATCH($E805,CL,0)),"Unknown",INDIRECT("'C'!$A$"&amp;MATCH($E805,CL,0)+1)))</f>
        <v/>
      </c>
      <c r="T805" s="167" t="str">
        <f ca="1">IF(B805="","",IF(ISERROR(MATCH($J805,SorP!$B$1:$B$6230,0)),"",INDIRECT("'SorP'!$A$"&amp;MATCH($J805,SorP!$B$1:$B$6230,0))))</f>
        <v/>
      </c>
      <c r="U805" s="176"/>
      <c r="V805" s="177" t="e">
        <f>IF(C805="",NA(),IF(OR(C805="Smelter not listed",C805="Smelter not yet identified"),MATCH($B805&amp;$D805,'Smelter Look-up'!$J:$J,0),MATCH($B805&amp;$C805,'Smelter Look-up'!$J:$J,0)))</f>
        <v>#N/A</v>
      </c>
      <c r="X805" s="140">
        <f t="shared" ref="X805:X868" ca="1" si="91">IF(AND(C805="Smelter not listed",OR(LEN(D805)=0,LEN(E805)=0)),1,0)</f>
        <v>0</v>
      </c>
      <c r="AB805" s="178" t="str">
        <f t="shared" ref="AB805:AB868" si="92">B805&amp;C805</f>
        <v/>
      </c>
    </row>
    <row r="806" spans="1:28" s="140" customFormat="1" ht="20.25">
      <c r="A806" s="167"/>
      <c r="B806" s="168" t="str">
        <f>IF(LEN(A806)=0,"",INDEX('Smelter Look-up'!$A:$A,MATCH($A806,'Smelter Look-up'!$E:$E,0)))</f>
        <v/>
      </c>
      <c r="C806" s="169" t="str">
        <f>IF(LEN(A806)=0,"",INDEX('Smelter Look-up'!$C:$C,MATCH($A806,'Smelter Look-up'!$E:$E,0)))</f>
        <v/>
      </c>
      <c r="D806" s="170"/>
      <c r="E806" s="168" t="str">
        <f ca="1">IF(ISERROR($V806),"",OFFSET('Smelter Look-up'!$D$4,$V806-4,0)&amp;"")</f>
        <v/>
      </c>
      <c r="F806" s="168" t="str">
        <f ca="1">IF(ISERROR($V806),"",OFFSET('Smelter Look-up'!$E$4,$V806-4,0))</f>
        <v/>
      </c>
      <c r="G806" s="168" t="str">
        <f ca="1">IF(C806=$X$4,IF(ISERROR($V806),"Enter smelter details","RMI"),IF(ISERROR($V806),"",OFFSET('Smelter Look-up'!$F$4,$V806-4,0)))</f>
        <v/>
      </c>
      <c r="H806" s="171" t="str">
        <f ca="1">IF(ISERROR($V806),"",OFFSET('Smelter Look-up'!$G$4,$V806-4,0))</f>
        <v/>
      </c>
      <c r="I806" s="172" t="str">
        <f ca="1">IF(ISERROR($V806),"",OFFSET('Smelter Look-up'!$H$4,$V806-4,0))</f>
        <v/>
      </c>
      <c r="J806" s="172" t="str">
        <f ca="1">IF(ISERROR($V806),"",OFFSET('Smelter Look-up'!$I$4,$V806-4,0))</f>
        <v/>
      </c>
      <c r="K806" s="173"/>
      <c r="L806" s="173"/>
      <c r="M806" s="173"/>
      <c r="N806" s="173"/>
      <c r="O806" s="173"/>
      <c r="P806" s="174"/>
      <c r="Q806" s="175"/>
      <c r="R806" s="168" t="str">
        <f ca="1">IF(ISERROR($V806),"",OFFSET('Smelter Look-up'!$C$4,$V806-4,0)&amp;"")</f>
        <v/>
      </c>
      <c r="S806" s="167" t="str">
        <f t="shared" ca="1" si="90"/>
        <v/>
      </c>
      <c r="T806" s="167" t="str">
        <f ca="1">IF(B806="","",IF(ISERROR(MATCH($J806,SorP!$B$1:$B$6230,0)),"",INDIRECT("'SorP'!$A$"&amp;MATCH($J806,SorP!$B$1:$B$6230,0))))</f>
        <v/>
      </c>
      <c r="U806" s="176"/>
      <c r="V806" s="177" t="e">
        <f>IF(C806="",NA(),IF(OR(C806="Smelter not listed",C806="Smelter not yet identified"),MATCH($B806&amp;$D806,'Smelter Look-up'!$J:$J,0),MATCH($B806&amp;$C806,'Smelter Look-up'!$J:$J,0)))</f>
        <v>#N/A</v>
      </c>
      <c r="X806" s="140">
        <f t="shared" ca="1" si="91"/>
        <v>0</v>
      </c>
      <c r="AB806" s="178" t="str">
        <f t="shared" si="92"/>
        <v/>
      </c>
    </row>
    <row r="807" spans="1:28" s="140" customFormat="1" ht="20.25">
      <c r="A807" s="167"/>
      <c r="B807" s="168" t="str">
        <f>IF(LEN(A807)=0,"",INDEX('Smelter Look-up'!$A:$A,MATCH($A807,'Smelter Look-up'!$E:$E,0)))</f>
        <v/>
      </c>
      <c r="C807" s="169" t="str">
        <f>IF(LEN(A807)=0,"",INDEX('Smelter Look-up'!$C:$C,MATCH($A807,'Smelter Look-up'!$E:$E,0)))</f>
        <v/>
      </c>
      <c r="D807" s="170"/>
      <c r="E807" s="168" t="str">
        <f ca="1">IF(ISERROR($V807),"",OFFSET('Smelter Look-up'!$D$4,$V807-4,0)&amp;"")</f>
        <v/>
      </c>
      <c r="F807" s="168" t="str">
        <f ca="1">IF(ISERROR($V807),"",OFFSET('Smelter Look-up'!$E$4,$V807-4,0))</f>
        <v/>
      </c>
      <c r="G807" s="168" t="str">
        <f ca="1">IF(C807=$X$4,IF(ISERROR($V807),"Enter smelter details","RMI"),IF(ISERROR($V807),"",OFFSET('Smelter Look-up'!$F$4,$V807-4,0)))</f>
        <v/>
      </c>
      <c r="H807" s="171" t="str">
        <f ca="1">IF(ISERROR($V807),"",OFFSET('Smelter Look-up'!$G$4,$V807-4,0))</f>
        <v/>
      </c>
      <c r="I807" s="172" t="str">
        <f ca="1">IF(ISERROR($V807),"",OFFSET('Smelter Look-up'!$H$4,$V807-4,0))</f>
        <v/>
      </c>
      <c r="J807" s="172" t="str">
        <f ca="1">IF(ISERROR($V807),"",OFFSET('Smelter Look-up'!$I$4,$V807-4,0))</f>
        <v/>
      </c>
      <c r="K807" s="173"/>
      <c r="L807" s="173"/>
      <c r="M807" s="173"/>
      <c r="N807" s="173"/>
      <c r="O807" s="173"/>
      <c r="P807" s="174"/>
      <c r="Q807" s="175"/>
      <c r="R807" s="168" t="str">
        <f ca="1">IF(ISERROR($V807),"",OFFSET('Smelter Look-up'!$C$4,$V807-4,0)&amp;"")</f>
        <v/>
      </c>
      <c r="S807" s="167" t="str">
        <f t="shared" ca="1" si="90"/>
        <v/>
      </c>
      <c r="T807" s="167" t="str">
        <f ca="1">IF(B807="","",IF(ISERROR(MATCH($J807,SorP!$B$1:$B$6230,0)),"",INDIRECT("'SorP'!$A$"&amp;MATCH($J807,SorP!$B$1:$B$6230,0))))</f>
        <v/>
      </c>
      <c r="U807" s="176"/>
      <c r="V807" s="177" t="e">
        <f>IF(C807="",NA(),IF(OR(C807="Smelter not listed",C807="Smelter not yet identified"),MATCH($B807&amp;$D807,'Smelter Look-up'!$J:$J,0),MATCH($B807&amp;$C807,'Smelter Look-up'!$J:$J,0)))</f>
        <v>#N/A</v>
      </c>
      <c r="X807" s="140">
        <f t="shared" ca="1" si="91"/>
        <v>0</v>
      </c>
      <c r="AB807" s="178" t="str">
        <f t="shared" si="92"/>
        <v/>
      </c>
    </row>
    <row r="808" spans="1:28" s="140" customFormat="1" ht="20.25">
      <c r="A808" s="167"/>
      <c r="B808" s="168" t="str">
        <f>IF(LEN(A808)=0,"",INDEX('Smelter Look-up'!$A:$A,MATCH($A808,'Smelter Look-up'!$E:$E,0)))</f>
        <v/>
      </c>
      <c r="C808" s="169" t="str">
        <f>IF(LEN(A808)=0,"",INDEX('Smelter Look-up'!$C:$C,MATCH($A808,'Smelter Look-up'!$E:$E,0)))</f>
        <v/>
      </c>
      <c r="D808" s="170"/>
      <c r="E808" s="168" t="str">
        <f ca="1">IF(ISERROR($V808),"",OFFSET('Smelter Look-up'!$D$4,$V808-4,0)&amp;"")</f>
        <v/>
      </c>
      <c r="F808" s="168" t="str">
        <f ca="1">IF(ISERROR($V808),"",OFFSET('Smelter Look-up'!$E$4,$V808-4,0))</f>
        <v/>
      </c>
      <c r="G808" s="168" t="str">
        <f ca="1">IF(C808=$X$4,IF(ISERROR($V808),"Enter smelter details","RMI"),IF(ISERROR($V808),"",OFFSET('Smelter Look-up'!$F$4,$V808-4,0)))</f>
        <v/>
      </c>
      <c r="H808" s="171" t="str">
        <f ca="1">IF(ISERROR($V808),"",OFFSET('Smelter Look-up'!$G$4,$V808-4,0))</f>
        <v/>
      </c>
      <c r="I808" s="172" t="str">
        <f ca="1">IF(ISERROR($V808),"",OFFSET('Smelter Look-up'!$H$4,$V808-4,0))</f>
        <v/>
      </c>
      <c r="J808" s="172" t="str">
        <f ca="1">IF(ISERROR($V808),"",OFFSET('Smelter Look-up'!$I$4,$V808-4,0))</f>
        <v/>
      </c>
      <c r="K808" s="173"/>
      <c r="L808" s="173"/>
      <c r="M808" s="173"/>
      <c r="N808" s="173"/>
      <c r="O808" s="173"/>
      <c r="P808" s="174"/>
      <c r="Q808" s="175"/>
      <c r="R808" s="168" t="str">
        <f ca="1">IF(ISERROR($V808),"",OFFSET('Smelter Look-up'!$C$4,$V808-4,0)&amp;"")</f>
        <v/>
      </c>
      <c r="S808" s="167" t="str">
        <f t="shared" ca="1" si="90"/>
        <v/>
      </c>
      <c r="T808" s="167" t="str">
        <f ca="1">IF(B808="","",IF(ISERROR(MATCH($J808,SorP!$B$1:$B$6230,0)),"",INDIRECT("'SorP'!$A$"&amp;MATCH($J808,SorP!$B$1:$B$6230,0))))</f>
        <v/>
      </c>
      <c r="U808" s="176"/>
      <c r="V808" s="177" t="e">
        <f>IF(C808="",NA(),IF(OR(C808="Smelter not listed",C808="Smelter not yet identified"),MATCH($B808&amp;$D808,'Smelter Look-up'!$J:$J,0),MATCH($B808&amp;$C808,'Smelter Look-up'!$J:$J,0)))</f>
        <v>#N/A</v>
      </c>
      <c r="X808" s="140">
        <f t="shared" ca="1" si="91"/>
        <v>0</v>
      </c>
      <c r="AB808" s="178" t="str">
        <f t="shared" si="92"/>
        <v/>
      </c>
    </row>
    <row r="809" spans="1:28" s="140" customFormat="1" ht="20.25">
      <c r="A809" s="167"/>
      <c r="B809" s="168" t="str">
        <f>IF(LEN(A809)=0,"",INDEX('Smelter Look-up'!$A:$A,MATCH($A809,'Smelter Look-up'!$E:$E,0)))</f>
        <v/>
      </c>
      <c r="C809" s="169" t="str">
        <f>IF(LEN(A809)=0,"",INDEX('Smelter Look-up'!$C:$C,MATCH($A809,'Smelter Look-up'!$E:$E,0)))</f>
        <v/>
      </c>
      <c r="D809" s="170"/>
      <c r="E809" s="168" t="str">
        <f ca="1">IF(ISERROR($V809),"",OFFSET('Smelter Look-up'!$D$4,$V809-4,0)&amp;"")</f>
        <v/>
      </c>
      <c r="F809" s="168" t="str">
        <f ca="1">IF(ISERROR($V809),"",OFFSET('Smelter Look-up'!$E$4,$V809-4,0))</f>
        <v/>
      </c>
      <c r="G809" s="168" t="str">
        <f ca="1">IF(C809=$X$4,IF(ISERROR($V809),"Enter smelter details","RMI"),IF(ISERROR($V809),"",OFFSET('Smelter Look-up'!$F$4,$V809-4,0)))</f>
        <v/>
      </c>
      <c r="H809" s="171" t="str">
        <f ca="1">IF(ISERROR($V809),"",OFFSET('Smelter Look-up'!$G$4,$V809-4,0))</f>
        <v/>
      </c>
      <c r="I809" s="172" t="str">
        <f ca="1">IF(ISERROR($V809),"",OFFSET('Smelter Look-up'!$H$4,$V809-4,0))</f>
        <v/>
      </c>
      <c r="J809" s="172" t="str">
        <f ca="1">IF(ISERROR($V809),"",OFFSET('Smelter Look-up'!$I$4,$V809-4,0))</f>
        <v/>
      </c>
      <c r="K809" s="173"/>
      <c r="L809" s="173"/>
      <c r="M809" s="173"/>
      <c r="N809" s="173"/>
      <c r="O809" s="173"/>
      <c r="P809" s="174"/>
      <c r="Q809" s="175"/>
      <c r="R809" s="168" t="str">
        <f ca="1">IF(ISERROR($V809),"",OFFSET('Smelter Look-up'!$C$4,$V809-4,0)&amp;"")</f>
        <v/>
      </c>
      <c r="S809" s="167" t="str">
        <f t="shared" ca="1" si="90"/>
        <v/>
      </c>
      <c r="T809" s="167" t="str">
        <f ca="1">IF(B809="","",IF(ISERROR(MATCH($J809,SorP!$B$1:$B$6230,0)),"",INDIRECT("'SorP'!$A$"&amp;MATCH($J809,SorP!$B$1:$B$6230,0))))</f>
        <v/>
      </c>
      <c r="U809" s="176"/>
      <c r="V809" s="177" t="e">
        <f>IF(C809="",NA(),IF(OR(C809="Smelter not listed",C809="Smelter not yet identified"),MATCH($B809&amp;$D809,'Smelter Look-up'!$J:$J,0),MATCH($B809&amp;$C809,'Smelter Look-up'!$J:$J,0)))</f>
        <v>#N/A</v>
      </c>
      <c r="X809" s="140">
        <f t="shared" ca="1" si="91"/>
        <v>0</v>
      </c>
      <c r="AB809" s="178" t="str">
        <f t="shared" si="92"/>
        <v/>
      </c>
    </row>
    <row r="810" spans="1:28" s="140" customFormat="1" ht="20.25">
      <c r="A810" s="167"/>
      <c r="B810" s="168" t="str">
        <f>IF(LEN(A810)=0,"",INDEX('Smelter Look-up'!$A:$A,MATCH($A810,'Smelter Look-up'!$E:$E,0)))</f>
        <v/>
      </c>
      <c r="C810" s="169" t="str">
        <f>IF(LEN(A810)=0,"",INDEX('Smelter Look-up'!$C:$C,MATCH($A810,'Smelter Look-up'!$E:$E,0)))</f>
        <v/>
      </c>
      <c r="D810" s="170"/>
      <c r="E810" s="168" t="str">
        <f ca="1">IF(ISERROR($V810),"",OFFSET('Smelter Look-up'!$D$4,$V810-4,0)&amp;"")</f>
        <v/>
      </c>
      <c r="F810" s="168" t="str">
        <f ca="1">IF(ISERROR($V810),"",OFFSET('Smelter Look-up'!$E$4,$V810-4,0))</f>
        <v/>
      </c>
      <c r="G810" s="168" t="str">
        <f ca="1">IF(C810=$X$4,IF(ISERROR($V810),"Enter smelter details","RMI"),IF(ISERROR($V810),"",OFFSET('Smelter Look-up'!$F$4,$V810-4,0)))</f>
        <v/>
      </c>
      <c r="H810" s="171" t="str">
        <f ca="1">IF(ISERROR($V810),"",OFFSET('Smelter Look-up'!$G$4,$V810-4,0))</f>
        <v/>
      </c>
      <c r="I810" s="172" t="str">
        <f ca="1">IF(ISERROR($V810),"",OFFSET('Smelter Look-up'!$H$4,$V810-4,0))</f>
        <v/>
      </c>
      <c r="J810" s="172" t="str">
        <f ca="1">IF(ISERROR($V810),"",OFFSET('Smelter Look-up'!$I$4,$V810-4,0))</f>
        <v/>
      </c>
      <c r="K810" s="173"/>
      <c r="L810" s="173"/>
      <c r="M810" s="173"/>
      <c r="N810" s="173"/>
      <c r="O810" s="173"/>
      <c r="P810" s="174"/>
      <c r="Q810" s="175"/>
      <c r="R810" s="168" t="str">
        <f ca="1">IF(ISERROR($V810),"",OFFSET('Smelter Look-up'!$C$4,$V810-4,0)&amp;"")</f>
        <v/>
      </c>
      <c r="S810" s="167" t="str">
        <f t="shared" ca="1" si="90"/>
        <v/>
      </c>
      <c r="T810" s="167" t="str">
        <f ca="1">IF(B810="","",IF(ISERROR(MATCH($J810,SorP!$B$1:$B$6230,0)),"",INDIRECT("'SorP'!$A$"&amp;MATCH($J810,SorP!$B$1:$B$6230,0))))</f>
        <v/>
      </c>
      <c r="U810" s="176"/>
      <c r="V810" s="177" t="e">
        <f>IF(C810="",NA(),IF(OR(C810="Smelter not listed",C810="Smelter not yet identified"),MATCH($B810&amp;$D810,'Smelter Look-up'!$J:$J,0),MATCH($B810&amp;$C810,'Smelter Look-up'!$J:$J,0)))</f>
        <v>#N/A</v>
      </c>
      <c r="X810" s="140">
        <f t="shared" ca="1" si="91"/>
        <v>0</v>
      </c>
      <c r="AB810" s="178" t="str">
        <f t="shared" si="92"/>
        <v/>
      </c>
    </row>
    <row r="811" spans="1:28" s="140" customFormat="1" ht="20.25">
      <c r="A811" s="167"/>
      <c r="B811" s="168" t="str">
        <f>IF(LEN(A811)=0,"",INDEX('Smelter Look-up'!$A:$A,MATCH($A811,'Smelter Look-up'!$E:$E,0)))</f>
        <v/>
      </c>
      <c r="C811" s="169" t="str">
        <f>IF(LEN(A811)=0,"",INDEX('Smelter Look-up'!$C:$C,MATCH($A811,'Smelter Look-up'!$E:$E,0)))</f>
        <v/>
      </c>
      <c r="D811" s="170"/>
      <c r="E811" s="168" t="str">
        <f ca="1">IF(ISERROR($V811),"",OFFSET('Smelter Look-up'!$D$4,$V811-4,0)&amp;"")</f>
        <v/>
      </c>
      <c r="F811" s="168" t="str">
        <f ca="1">IF(ISERROR($V811),"",OFFSET('Smelter Look-up'!$E$4,$V811-4,0))</f>
        <v/>
      </c>
      <c r="G811" s="168" t="str">
        <f ca="1">IF(C811=$X$4,IF(ISERROR($V811),"Enter smelter details","RMI"),IF(ISERROR($V811),"",OFFSET('Smelter Look-up'!$F$4,$V811-4,0)))</f>
        <v/>
      </c>
      <c r="H811" s="171" t="str">
        <f ca="1">IF(ISERROR($V811),"",OFFSET('Smelter Look-up'!$G$4,$V811-4,0))</f>
        <v/>
      </c>
      <c r="I811" s="172" t="str">
        <f ca="1">IF(ISERROR($V811),"",OFFSET('Smelter Look-up'!$H$4,$V811-4,0))</f>
        <v/>
      </c>
      <c r="J811" s="172" t="str">
        <f ca="1">IF(ISERROR($V811),"",OFFSET('Smelter Look-up'!$I$4,$V811-4,0))</f>
        <v/>
      </c>
      <c r="K811" s="173"/>
      <c r="L811" s="173"/>
      <c r="M811" s="173"/>
      <c r="N811" s="173"/>
      <c r="O811" s="173"/>
      <c r="P811" s="174"/>
      <c r="Q811" s="175"/>
      <c r="R811" s="168" t="str">
        <f ca="1">IF(ISERROR($V811),"",OFFSET('Smelter Look-up'!$C$4,$V811-4,0)&amp;"")</f>
        <v/>
      </c>
      <c r="S811" s="167" t="str">
        <f t="shared" ca="1" si="90"/>
        <v/>
      </c>
      <c r="T811" s="167" t="str">
        <f ca="1">IF(B811="","",IF(ISERROR(MATCH($J811,SorP!$B$1:$B$6230,0)),"",INDIRECT("'SorP'!$A$"&amp;MATCH($J811,SorP!$B$1:$B$6230,0))))</f>
        <v/>
      </c>
      <c r="U811" s="176"/>
      <c r="V811" s="177" t="e">
        <f>IF(C811="",NA(),IF(OR(C811="Smelter not listed",C811="Smelter not yet identified"),MATCH($B811&amp;$D811,'Smelter Look-up'!$J:$J,0),MATCH($B811&amp;$C811,'Smelter Look-up'!$J:$J,0)))</f>
        <v>#N/A</v>
      </c>
      <c r="X811" s="140">
        <f t="shared" ca="1" si="91"/>
        <v>0</v>
      </c>
      <c r="AB811" s="178" t="str">
        <f t="shared" si="92"/>
        <v/>
      </c>
    </row>
    <row r="812" spans="1:28" s="140" customFormat="1" ht="20.25">
      <c r="A812" s="167"/>
      <c r="B812" s="168" t="str">
        <f>IF(LEN(A812)=0,"",INDEX('Smelter Look-up'!$A:$A,MATCH($A812,'Smelter Look-up'!$E:$E,0)))</f>
        <v/>
      </c>
      <c r="C812" s="169" t="str">
        <f>IF(LEN(A812)=0,"",INDEX('Smelter Look-up'!$C:$C,MATCH($A812,'Smelter Look-up'!$E:$E,0)))</f>
        <v/>
      </c>
      <c r="D812" s="170"/>
      <c r="E812" s="168" t="str">
        <f ca="1">IF(ISERROR($V812),"",OFFSET('Smelter Look-up'!$D$4,$V812-4,0)&amp;"")</f>
        <v/>
      </c>
      <c r="F812" s="168" t="str">
        <f ca="1">IF(ISERROR($V812),"",OFFSET('Smelter Look-up'!$E$4,$V812-4,0))</f>
        <v/>
      </c>
      <c r="G812" s="168" t="str">
        <f ca="1">IF(C812=$X$4,IF(ISERROR($V812),"Enter smelter details","RMI"),IF(ISERROR($V812),"",OFFSET('Smelter Look-up'!$F$4,$V812-4,0)))</f>
        <v/>
      </c>
      <c r="H812" s="171" t="str">
        <f ca="1">IF(ISERROR($V812),"",OFFSET('Smelter Look-up'!$G$4,$V812-4,0))</f>
        <v/>
      </c>
      <c r="I812" s="172" t="str">
        <f ca="1">IF(ISERROR($V812),"",OFFSET('Smelter Look-up'!$H$4,$V812-4,0))</f>
        <v/>
      </c>
      <c r="J812" s="172" t="str">
        <f ca="1">IF(ISERROR($V812),"",OFFSET('Smelter Look-up'!$I$4,$V812-4,0))</f>
        <v/>
      </c>
      <c r="K812" s="173"/>
      <c r="L812" s="173"/>
      <c r="M812" s="173"/>
      <c r="N812" s="173"/>
      <c r="O812" s="173"/>
      <c r="P812" s="174"/>
      <c r="Q812" s="175"/>
      <c r="R812" s="168" t="str">
        <f ca="1">IF(ISERROR($V812),"",OFFSET('Smelter Look-up'!$C$4,$V812-4,0)&amp;"")</f>
        <v/>
      </c>
      <c r="S812" s="167" t="str">
        <f t="shared" ca="1" si="90"/>
        <v/>
      </c>
      <c r="T812" s="167" t="str">
        <f ca="1">IF(B812="","",IF(ISERROR(MATCH($J812,SorP!$B$1:$B$6230,0)),"",INDIRECT("'SorP'!$A$"&amp;MATCH($J812,SorP!$B$1:$B$6230,0))))</f>
        <v/>
      </c>
      <c r="U812" s="176"/>
      <c r="V812" s="177" t="e">
        <f>IF(C812="",NA(),IF(OR(C812="Smelter not listed",C812="Smelter not yet identified"),MATCH($B812&amp;$D812,'Smelter Look-up'!$J:$J,0),MATCH($B812&amp;$C812,'Smelter Look-up'!$J:$J,0)))</f>
        <v>#N/A</v>
      </c>
      <c r="X812" s="140">
        <f t="shared" ca="1" si="91"/>
        <v>0</v>
      </c>
      <c r="AB812" s="178" t="str">
        <f t="shared" si="92"/>
        <v/>
      </c>
    </row>
    <row r="813" spans="1:28" s="140" customFormat="1" ht="20.25">
      <c r="A813" s="167"/>
      <c r="B813" s="168" t="str">
        <f>IF(LEN(A813)=0,"",INDEX('Smelter Look-up'!$A:$A,MATCH($A813,'Smelter Look-up'!$E:$E,0)))</f>
        <v/>
      </c>
      <c r="C813" s="169" t="str">
        <f>IF(LEN(A813)=0,"",INDEX('Smelter Look-up'!$C:$C,MATCH($A813,'Smelter Look-up'!$E:$E,0)))</f>
        <v/>
      </c>
      <c r="D813" s="170"/>
      <c r="E813" s="168" t="str">
        <f ca="1">IF(ISERROR($V813),"",OFFSET('Smelter Look-up'!$D$4,$V813-4,0)&amp;"")</f>
        <v/>
      </c>
      <c r="F813" s="168" t="str">
        <f ca="1">IF(ISERROR($V813),"",OFFSET('Smelter Look-up'!$E$4,$V813-4,0))</f>
        <v/>
      </c>
      <c r="G813" s="168" t="str">
        <f ca="1">IF(C813=$X$4,IF(ISERROR($V813),"Enter smelter details","RMI"),IF(ISERROR($V813),"",OFFSET('Smelter Look-up'!$F$4,$V813-4,0)))</f>
        <v/>
      </c>
      <c r="H813" s="171" t="str">
        <f ca="1">IF(ISERROR($V813),"",OFFSET('Smelter Look-up'!$G$4,$V813-4,0))</f>
        <v/>
      </c>
      <c r="I813" s="172" t="str">
        <f ca="1">IF(ISERROR($V813),"",OFFSET('Smelter Look-up'!$H$4,$V813-4,0))</f>
        <v/>
      </c>
      <c r="J813" s="172" t="str">
        <f ca="1">IF(ISERROR($V813),"",OFFSET('Smelter Look-up'!$I$4,$V813-4,0))</f>
        <v/>
      </c>
      <c r="K813" s="173"/>
      <c r="L813" s="173"/>
      <c r="M813" s="173"/>
      <c r="N813" s="173"/>
      <c r="O813" s="173"/>
      <c r="P813" s="174"/>
      <c r="Q813" s="175"/>
      <c r="R813" s="168" t="str">
        <f ca="1">IF(ISERROR($V813),"",OFFSET('Smelter Look-up'!$C$4,$V813-4,0)&amp;"")</f>
        <v/>
      </c>
      <c r="S813" s="167" t="str">
        <f t="shared" ca="1" si="90"/>
        <v/>
      </c>
      <c r="T813" s="167" t="str">
        <f ca="1">IF(B813="","",IF(ISERROR(MATCH($J813,SorP!$B$1:$B$6230,0)),"",INDIRECT("'SorP'!$A$"&amp;MATCH($J813,SorP!$B$1:$B$6230,0))))</f>
        <v/>
      </c>
      <c r="U813" s="176"/>
      <c r="V813" s="177" t="e">
        <f>IF(C813="",NA(),IF(OR(C813="Smelter not listed",C813="Smelter not yet identified"),MATCH($B813&amp;$D813,'Smelter Look-up'!$J:$J,0),MATCH($B813&amp;$C813,'Smelter Look-up'!$J:$J,0)))</f>
        <v>#N/A</v>
      </c>
      <c r="X813" s="140">
        <f t="shared" ca="1" si="91"/>
        <v>0</v>
      </c>
      <c r="AB813" s="178" t="str">
        <f t="shared" si="92"/>
        <v/>
      </c>
    </row>
    <row r="814" spans="1:28" s="140" customFormat="1" ht="20.25">
      <c r="A814" s="167"/>
      <c r="B814" s="168" t="str">
        <f>IF(LEN(A814)=0,"",INDEX('Smelter Look-up'!$A:$A,MATCH($A814,'Smelter Look-up'!$E:$E,0)))</f>
        <v/>
      </c>
      <c r="C814" s="169" t="str">
        <f>IF(LEN(A814)=0,"",INDEX('Smelter Look-up'!$C:$C,MATCH($A814,'Smelter Look-up'!$E:$E,0)))</f>
        <v/>
      </c>
      <c r="D814" s="170"/>
      <c r="E814" s="168" t="str">
        <f ca="1">IF(ISERROR($V814),"",OFFSET('Smelter Look-up'!$D$4,$V814-4,0)&amp;"")</f>
        <v/>
      </c>
      <c r="F814" s="168" t="str">
        <f ca="1">IF(ISERROR($V814),"",OFFSET('Smelter Look-up'!$E$4,$V814-4,0))</f>
        <v/>
      </c>
      <c r="G814" s="168" t="str">
        <f ca="1">IF(C814=$X$4,IF(ISERROR($V814),"Enter smelter details","RMI"),IF(ISERROR($V814),"",OFFSET('Smelter Look-up'!$F$4,$V814-4,0)))</f>
        <v/>
      </c>
      <c r="H814" s="171" t="str">
        <f ca="1">IF(ISERROR($V814),"",OFFSET('Smelter Look-up'!$G$4,$V814-4,0))</f>
        <v/>
      </c>
      <c r="I814" s="172" t="str">
        <f ca="1">IF(ISERROR($V814),"",OFFSET('Smelter Look-up'!$H$4,$V814-4,0))</f>
        <v/>
      </c>
      <c r="J814" s="172" t="str">
        <f ca="1">IF(ISERROR($V814),"",OFFSET('Smelter Look-up'!$I$4,$V814-4,0))</f>
        <v/>
      </c>
      <c r="K814" s="173"/>
      <c r="L814" s="173"/>
      <c r="M814" s="173"/>
      <c r="N814" s="173"/>
      <c r="O814" s="173"/>
      <c r="P814" s="174"/>
      <c r="Q814" s="175"/>
      <c r="R814" s="168" t="str">
        <f ca="1">IF(ISERROR($V814),"",OFFSET('Smelter Look-up'!$C$4,$V814-4,0)&amp;"")</f>
        <v/>
      </c>
      <c r="S814" s="167" t="str">
        <f t="shared" ca="1" si="90"/>
        <v/>
      </c>
      <c r="T814" s="167" t="str">
        <f ca="1">IF(B814="","",IF(ISERROR(MATCH($J814,SorP!$B$1:$B$6230,0)),"",INDIRECT("'SorP'!$A$"&amp;MATCH($J814,SorP!$B$1:$B$6230,0))))</f>
        <v/>
      </c>
      <c r="U814" s="176"/>
      <c r="V814" s="177" t="e">
        <f>IF(C814="",NA(),IF(OR(C814="Smelter not listed",C814="Smelter not yet identified"),MATCH($B814&amp;$D814,'Smelter Look-up'!$J:$J,0),MATCH($B814&amp;$C814,'Smelter Look-up'!$J:$J,0)))</f>
        <v>#N/A</v>
      </c>
      <c r="X814" s="140">
        <f t="shared" ca="1" si="91"/>
        <v>0</v>
      </c>
      <c r="AB814" s="178" t="str">
        <f t="shared" si="92"/>
        <v/>
      </c>
    </row>
    <row r="815" spans="1:28" s="140" customFormat="1" ht="20.25">
      <c r="A815" s="167"/>
      <c r="B815" s="168" t="str">
        <f>IF(LEN(A815)=0,"",INDEX('Smelter Look-up'!$A:$A,MATCH($A815,'Smelter Look-up'!$E:$E,0)))</f>
        <v/>
      </c>
      <c r="C815" s="169" t="str">
        <f>IF(LEN(A815)=0,"",INDEX('Smelter Look-up'!$C:$C,MATCH($A815,'Smelter Look-up'!$E:$E,0)))</f>
        <v/>
      </c>
      <c r="D815" s="170"/>
      <c r="E815" s="168" t="str">
        <f ca="1">IF(ISERROR($V815),"",OFFSET('Smelter Look-up'!$D$4,$V815-4,0)&amp;"")</f>
        <v/>
      </c>
      <c r="F815" s="168" t="str">
        <f ca="1">IF(ISERROR($V815),"",OFFSET('Smelter Look-up'!$E$4,$V815-4,0))</f>
        <v/>
      </c>
      <c r="G815" s="168" t="str">
        <f ca="1">IF(C815=$X$4,IF(ISERROR($V815),"Enter smelter details","RMI"),IF(ISERROR($V815),"",OFFSET('Smelter Look-up'!$F$4,$V815-4,0)))</f>
        <v/>
      </c>
      <c r="H815" s="171" t="str">
        <f ca="1">IF(ISERROR($V815),"",OFFSET('Smelter Look-up'!$G$4,$V815-4,0))</f>
        <v/>
      </c>
      <c r="I815" s="172" t="str">
        <f ca="1">IF(ISERROR($V815),"",OFFSET('Smelter Look-up'!$H$4,$V815-4,0))</f>
        <v/>
      </c>
      <c r="J815" s="172" t="str">
        <f ca="1">IF(ISERROR($V815),"",OFFSET('Smelter Look-up'!$I$4,$V815-4,0))</f>
        <v/>
      </c>
      <c r="K815" s="173"/>
      <c r="L815" s="173"/>
      <c r="M815" s="173"/>
      <c r="N815" s="173"/>
      <c r="O815" s="173"/>
      <c r="P815" s="174"/>
      <c r="Q815" s="175"/>
      <c r="R815" s="168" t="str">
        <f ca="1">IF(ISERROR($V815),"",OFFSET('Smelter Look-up'!$C$4,$V815-4,0)&amp;"")</f>
        <v/>
      </c>
      <c r="S815" s="167" t="str">
        <f t="shared" ca="1" si="90"/>
        <v/>
      </c>
      <c r="T815" s="167" t="str">
        <f ca="1">IF(B815="","",IF(ISERROR(MATCH($J815,SorP!$B$1:$B$6230,0)),"",INDIRECT("'SorP'!$A$"&amp;MATCH($J815,SorP!$B$1:$B$6230,0))))</f>
        <v/>
      </c>
      <c r="U815" s="176"/>
      <c r="V815" s="177" t="e">
        <f>IF(C815="",NA(),IF(OR(C815="Smelter not listed",C815="Smelter not yet identified"),MATCH($B815&amp;$D815,'Smelter Look-up'!$J:$J,0),MATCH($B815&amp;$C815,'Smelter Look-up'!$J:$J,0)))</f>
        <v>#N/A</v>
      </c>
      <c r="X815" s="140">
        <f t="shared" ca="1" si="91"/>
        <v>0</v>
      </c>
      <c r="AB815" s="178" t="str">
        <f t="shared" si="92"/>
        <v/>
      </c>
    </row>
    <row r="816" spans="1:28" s="140" customFormat="1" ht="20.25">
      <c r="A816" s="167"/>
      <c r="B816" s="168" t="str">
        <f>IF(LEN(A816)=0,"",INDEX('Smelter Look-up'!$A:$A,MATCH($A816,'Smelter Look-up'!$E:$E,0)))</f>
        <v/>
      </c>
      <c r="C816" s="169" t="str">
        <f>IF(LEN(A816)=0,"",INDEX('Smelter Look-up'!$C:$C,MATCH($A816,'Smelter Look-up'!$E:$E,0)))</f>
        <v/>
      </c>
      <c r="D816" s="170"/>
      <c r="E816" s="168" t="str">
        <f ca="1">IF(ISERROR($V816),"",OFFSET('Smelter Look-up'!$D$4,$V816-4,0)&amp;"")</f>
        <v/>
      </c>
      <c r="F816" s="168" t="str">
        <f ca="1">IF(ISERROR($V816),"",OFFSET('Smelter Look-up'!$E$4,$V816-4,0))</f>
        <v/>
      </c>
      <c r="G816" s="168" t="str">
        <f ca="1">IF(C816=$X$4,IF(ISERROR($V816),"Enter smelter details","RMI"),IF(ISERROR($V816),"",OFFSET('Smelter Look-up'!$F$4,$V816-4,0)))</f>
        <v/>
      </c>
      <c r="H816" s="171" t="str">
        <f ca="1">IF(ISERROR($V816),"",OFFSET('Smelter Look-up'!$G$4,$V816-4,0))</f>
        <v/>
      </c>
      <c r="I816" s="172" t="str">
        <f ca="1">IF(ISERROR($V816),"",OFFSET('Smelter Look-up'!$H$4,$V816-4,0))</f>
        <v/>
      </c>
      <c r="J816" s="172" t="str">
        <f ca="1">IF(ISERROR($V816),"",OFFSET('Smelter Look-up'!$I$4,$V816-4,0))</f>
        <v/>
      </c>
      <c r="K816" s="173"/>
      <c r="L816" s="173"/>
      <c r="M816" s="173"/>
      <c r="N816" s="173"/>
      <c r="O816" s="173"/>
      <c r="P816" s="174"/>
      <c r="Q816" s="175"/>
      <c r="R816" s="168" t="str">
        <f ca="1">IF(ISERROR($V816),"",OFFSET('Smelter Look-up'!$C$4,$V816-4,0)&amp;"")</f>
        <v/>
      </c>
      <c r="S816" s="167" t="str">
        <f t="shared" ca="1" si="90"/>
        <v/>
      </c>
      <c r="T816" s="167" t="str">
        <f ca="1">IF(B816="","",IF(ISERROR(MATCH($J816,SorP!$B$1:$B$6230,0)),"",INDIRECT("'SorP'!$A$"&amp;MATCH($J816,SorP!$B$1:$B$6230,0))))</f>
        <v/>
      </c>
      <c r="U816" s="176"/>
      <c r="V816" s="177" t="e">
        <f>IF(C816="",NA(),IF(OR(C816="Smelter not listed",C816="Smelter not yet identified"),MATCH($B816&amp;$D816,'Smelter Look-up'!$J:$J,0),MATCH($B816&amp;$C816,'Smelter Look-up'!$J:$J,0)))</f>
        <v>#N/A</v>
      </c>
      <c r="X816" s="140">
        <f t="shared" ca="1" si="91"/>
        <v>0</v>
      </c>
      <c r="AB816" s="178" t="str">
        <f t="shared" si="92"/>
        <v/>
      </c>
    </row>
    <row r="817" spans="1:28" s="140" customFormat="1" ht="20.25">
      <c r="A817" s="167"/>
      <c r="B817" s="168" t="str">
        <f>IF(LEN(A817)=0,"",INDEX('Smelter Look-up'!$A:$A,MATCH($A817,'Smelter Look-up'!$E:$E,0)))</f>
        <v/>
      </c>
      <c r="C817" s="169" t="str">
        <f>IF(LEN(A817)=0,"",INDEX('Smelter Look-up'!$C:$C,MATCH($A817,'Smelter Look-up'!$E:$E,0)))</f>
        <v/>
      </c>
      <c r="D817" s="170"/>
      <c r="E817" s="168" t="str">
        <f ca="1">IF(ISERROR($V817),"",OFFSET('Smelter Look-up'!$D$4,$V817-4,0)&amp;"")</f>
        <v/>
      </c>
      <c r="F817" s="168" t="str">
        <f ca="1">IF(ISERROR($V817),"",OFFSET('Smelter Look-up'!$E$4,$V817-4,0))</f>
        <v/>
      </c>
      <c r="G817" s="168" t="str">
        <f ca="1">IF(C817=$X$4,IF(ISERROR($V817),"Enter smelter details","RMI"),IF(ISERROR($V817),"",OFFSET('Smelter Look-up'!$F$4,$V817-4,0)))</f>
        <v/>
      </c>
      <c r="H817" s="171" t="str">
        <f ca="1">IF(ISERROR($V817),"",OFFSET('Smelter Look-up'!$G$4,$V817-4,0))</f>
        <v/>
      </c>
      <c r="I817" s="172" t="str">
        <f ca="1">IF(ISERROR($V817),"",OFFSET('Smelter Look-up'!$H$4,$V817-4,0))</f>
        <v/>
      </c>
      <c r="J817" s="172" t="str">
        <f ca="1">IF(ISERROR($V817),"",OFFSET('Smelter Look-up'!$I$4,$V817-4,0))</f>
        <v/>
      </c>
      <c r="K817" s="173"/>
      <c r="L817" s="173"/>
      <c r="M817" s="173"/>
      <c r="N817" s="173"/>
      <c r="O817" s="173"/>
      <c r="P817" s="174"/>
      <c r="Q817" s="175"/>
      <c r="R817" s="168" t="str">
        <f ca="1">IF(ISERROR($V817),"",OFFSET('Smelter Look-up'!$C$4,$V817-4,0)&amp;"")</f>
        <v/>
      </c>
      <c r="S817" s="167" t="str">
        <f t="shared" ca="1" si="90"/>
        <v/>
      </c>
      <c r="T817" s="167" t="str">
        <f ca="1">IF(B817="","",IF(ISERROR(MATCH($J817,SorP!$B$1:$B$6230,0)),"",INDIRECT("'SorP'!$A$"&amp;MATCH($J817,SorP!$B$1:$B$6230,0))))</f>
        <v/>
      </c>
      <c r="U817" s="176"/>
      <c r="V817" s="177" t="e">
        <f>IF(C817="",NA(),IF(OR(C817="Smelter not listed",C817="Smelter not yet identified"),MATCH($B817&amp;$D817,'Smelter Look-up'!$J:$J,0),MATCH($B817&amp;$C817,'Smelter Look-up'!$J:$J,0)))</f>
        <v>#N/A</v>
      </c>
      <c r="X817" s="140">
        <f t="shared" ca="1" si="91"/>
        <v>0</v>
      </c>
      <c r="AB817" s="178" t="str">
        <f t="shared" si="92"/>
        <v/>
      </c>
    </row>
    <row r="818" spans="1:28" s="140" customFormat="1" ht="20.25">
      <c r="A818" s="167"/>
      <c r="B818" s="168" t="str">
        <f>IF(LEN(A818)=0,"",INDEX('Smelter Look-up'!$A:$A,MATCH($A818,'Smelter Look-up'!$E:$E,0)))</f>
        <v/>
      </c>
      <c r="C818" s="169" t="str">
        <f>IF(LEN(A818)=0,"",INDEX('Smelter Look-up'!$C:$C,MATCH($A818,'Smelter Look-up'!$E:$E,0)))</f>
        <v/>
      </c>
      <c r="D818" s="170"/>
      <c r="E818" s="168" t="str">
        <f ca="1">IF(ISERROR($V818),"",OFFSET('Smelter Look-up'!$D$4,$V818-4,0)&amp;"")</f>
        <v/>
      </c>
      <c r="F818" s="168" t="str">
        <f ca="1">IF(ISERROR($V818),"",OFFSET('Smelter Look-up'!$E$4,$V818-4,0))</f>
        <v/>
      </c>
      <c r="G818" s="168" t="str">
        <f ca="1">IF(C818=$X$4,IF(ISERROR($V818),"Enter smelter details","RMI"),IF(ISERROR($V818),"",OFFSET('Smelter Look-up'!$F$4,$V818-4,0)))</f>
        <v/>
      </c>
      <c r="H818" s="171" t="str">
        <f ca="1">IF(ISERROR($V818),"",OFFSET('Smelter Look-up'!$G$4,$V818-4,0))</f>
        <v/>
      </c>
      <c r="I818" s="172" t="str">
        <f ca="1">IF(ISERROR($V818),"",OFFSET('Smelter Look-up'!$H$4,$V818-4,0))</f>
        <v/>
      </c>
      <c r="J818" s="172" t="str">
        <f ca="1">IF(ISERROR($V818),"",OFFSET('Smelter Look-up'!$I$4,$V818-4,0))</f>
        <v/>
      </c>
      <c r="K818" s="173"/>
      <c r="L818" s="173"/>
      <c r="M818" s="173"/>
      <c r="N818" s="173"/>
      <c r="O818" s="173"/>
      <c r="P818" s="174"/>
      <c r="Q818" s="175"/>
      <c r="R818" s="168" t="str">
        <f ca="1">IF(ISERROR($V818),"",OFFSET('Smelter Look-up'!$C$4,$V818-4,0)&amp;"")</f>
        <v/>
      </c>
      <c r="S818" s="167" t="str">
        <f t="shared" ca="1" si="90"/>
        <v/>
      </c>
      <c r="T818" s="167" t="str">
        <f ca="1">IF(B818="","",IF(ISERROR(MATCH($J818,SorP!$B$1:$B$6230,0)),"",INDIRECT("'SorP'!$A$"&amp;MATCH($J818,SorP!$B$1:$B$6230,0))))</f>
        <v/>
      </c>
      <c r="U818" s="176"/>
      <c r="V818" s="177" t="e">
        <f>IF(C818="",NA(),IF(OR(C818="Smelter not listed",C818="Smelter not yet identified"),MATCH($B818&amp;$D818,'Smelter Look-up'!$J:$J,0),MATCH($B818&amp;$C818,'Smelter Look-up'!$J:$J,0)))</f>
        <v>#N/A</v>
      </c>
      <c r="X818" s="140">
        <f t="shared" ca="1" si="91"/>
        <v>0</v>
      </c>
      <c r="AB818" s="178" t="str">
        <f t="shared" si="92"/>
        <v/>
      </c>
    </row>
    <row r="819" spans="1:28" s="140" customFormat="1" ht="20.25">
      <c r="A819" s="167"/>
      <c r="B819" s="168" t="str">
        <f>IF(LEN(A819)=0,"",INDEX('Smelter Look-up'!$A:$A,MATCH($A819,'Smelter Look-up'!$E:$E,0)))</f>
        <v/>
      </c>
      <c r="C819" s="169" t="str">
        <f>IF(LEN(A819)=0,"",INDEX('Smelter Look-up'!$C:$C,MATCH($A819,'Smelter Look-up'!$E:$E,0)))</f>
        <v/>
      </c>
      <c r="D819" s="170"/>
      <c r="E819" s="168" t="str">
        <f ca="1">IF(ISERROR($V819),"",OFFSET('Smelter Look-up'!$D$4,$V819-4,0)&amp;"")</f>
        <v/>
      </c>
      <c r="F819" s="168" t="str">
        <f ca="1">IF(ISERROR($V819),"",OFFSET('Smelter Look-up'!$E$4,$V819-4,0))</f>
        <v/>
      </c>
      <c r="G819" s="168" t="str">
        <f ca="1">IF(C819=$X$4,IF(ISERROR($V819),"Enter smelter details","RMI"),IF(ISERROR($V819),"",OFFSET('Smelter Look-up'!$F$4,$V819-4,0)))</f>
        <v/>
      </c>
      <c r="H819" s="171" t="str">
        <f ca="1">IF(ISERROR($V819),"",OFFSET('Smelter Look-up'!$G$4,$V819-4,0))</f>
        <v/>
      </c>
      <c r="I819" s="172" t="str">
        <f ca="1">IF(ISERROR($V819),"",OFFSET('Smelter Look-up'!$H$4,$V819-4,0))</f>
        <v/>
      </c>
      <c r="J819" s="172" t="str">
        <f ca="1">IF(ISERROR($V819),"",OFFSET('Smelter Look-up'!$I$4,$V819-4,0))</f>
        <v/>
      </c>
      <c r="K819" s="173"/>
      <c r="L819" s="173"/>
      <c r="M819" s="173"/>
      <c r="N819" s="173"/>
      <c r="O819" s="173"/>
      <c r="P819" s="174"/>
      <c r="Q819" s="175"/>
      <c r="R819" s="168" t="str">
        <f ca="1">IF(ISERROR($V819),"",OFFSET('Smelter Look-up'!$C$4,$V819-4,0)&amp;"")</f>
        <v/>
      </c>
      <c r="S819" s="167" t="str">
        <f t="shared" ca="1" si="90"/>
        <v/>
      </c>
      <c r="T819" s="167" t="str">
        <f ca="1">IF(B819="","",IF(ISERROR(MATCH($J819,SorP!$B$1:$B$6230,0)),"",INDIRECT("'SorP'!$A$"&amp;MATCH($J819,SorP!$B$1:$B$6230,0))))</f>
        <v/>
      </c>
      <c r="U819" s="176"/>
      <c r="V819" s="177" t="e">
        <f>IF(C819="",NA(),IF(OR(C819="Smelter not listed",C819="Smelter not yet identified"),MATCH($B819&amp;$D819,'Smelter Look-up'!$J:$J,0),MATCH($B819&amp;$C819,'Smelter Look-up'!$J:$J,0)))</f>
        <v>#N/A</v>
      </c>
      <c r="X819" s="140">
        <f t="shared" ca="1" si="91"/>
        <v>0</v>
      </c>
      <c r="AB819" s="178" t="str">
        <f t="shared" si="92"/>
        <v/>
      </c>
    </row>
    <row r="820" spans="1:28" s="140" customFormat="1" ht="20.25">
      <c r="A820" s="167"/>
      <c r="B820" s="168" t="str">
        <f>IF(LEN(A820)=0,"",INDEX('Smelter Look-up'!$A:$A,MATCH($A820,'Smelter Look-up'!$E:$E,0)))</f>
        <v/>
      </c>
      <c r="C820" s="169" t="str">
        <f>IF(LEN(A820)=0,"",INDEX('Smelter Look-up'!$C:$C,MATCH($A820,'Smelter Look-up'!$E:$E,0)))</f>
        <v/>
      </c>
      <c r="D820" s="170"/>
      <c r="E820" s="168" t="str">
        <f ca="1">IF(ISERROR($V820),"",OFFSET('Smelter Look-up'!$D$4,$V820-4,0)&amp;"")</f>
        <v/>
      </c>
      <c r="F820" s="168" t="str">
        <f ca="1">IF(ISERROR($V820),"",OFFSET('Smelter Look-up'!$E$4,$V820-4,0))</f>
        <v/>
      </c>
      <c r="G820" s="168" t="str">
        <f ca="1">IF(C820=$X$4,IF(ISERROR($V820),"Enter smelter details","RMI"),IF(ISERROR($V820),"",OFFSET('Smelter Look-up'!$F$4,$V820-4,0)))</f>
        <v/>
      </c>
      <c r="H820" s="171" t="str">
        <f ca="1">IF(ISERROR($V820),"",OFFSET('Smelter Look-up'!$G$4,$V820-4,0))</f>
        <v/>
      </c>
      <c r="I820" s="172" t="str">
        <f ca="1">IF(ISERROR($V820),"",OFFSET('Smelter Look-up'!$H$4,$V820-4,0))</f>
        <v/>
      </c>
      <c r="J820" s="172" t="str">
        <f ca="1">IF(ISERROR($V820),"",OFFSET('Smelter Look-up'!$I$4,$V820-4,0))</f>
        <v/>
      </c>
      <c r="K820" s="173"/>
      <c r="L820" s="173"/>
      <c r="M820" s="173"/>
      <c r="N820" s="173"/>
      <c r="O820" s="173"/>
      <c r="P820" s="174"/>
      <c r="Q820" s="175"/>
      <c r="R820" s="168" t="str">
        <f ca="1">IF(ISERROR($V820),"",OFFSET('Smelter Look-up'!$C$4,$V820-4,0)&amp;"")</f>
        <v/>
      </c>
      <c r="S820" s="167" t="str">
        <f t="shared" ca="1" si="90"/>
        <v/>
      </c>
      <c r="T820" s="167" t="str">
        <f ca="1">IF(B820="","",IF(ISERROR(MATCH($J820,SorP!$B$1:$B$6230,0)),"",INDIRECT("'SorP'!$A$"&amp;MATCH($J820,SorP!$B$1:$B$6230,0))))</f>
        <v/>
      </c>
      <c r="U820" s="176"/>
      <c r="V820" s="177" t="e">
        <f>IF(C820="",NA(),IF(OR(C820="Smelter not listed",C820="Smelter not yet identified"),MATCH($B820&amp;$D820,'Smelter Look-up'!$J:$J,0),MATCH($B820&amp;$C820,'Smelter Look-up'!$J:$J,0)))</f>
        <v>#N/A</v>
      </c>
      <c r="X820" s="140">
        <f t="shared" ca="1" si="91"/>
        <v>0</v>
      </c>
      <c r="AB820" s="178" t="str">
        <f t="shared" si="92"/>
        <v/>
      </c>
    </row>
    <row r="821" spans="1:28" s="140" customFormat="1" ht="20.25">
      <c r="A821" s="167"/>
      <c r="B821" s="168" t="str">
        <f>IF(LEN(A821)=0,"",INDEX('Smelter Look-up'!$A:$A,MATCH($A821,'Smelter Look-up'!$E:$E,0)))</f>
        <v/>
      </c>
      <c r="C821" s="169" t="str">
        <f>IF(LEN(A821)=0,"",INDEX('Smelter Look-up'!$C:$C,MATCH($A821,'Smelter Look-up'!$E:$E,0)))</f>
        <v/>
      </c>
      <c r="D821" s="170"/>
      <c r="E821" s="168" t="str">
        <f ca="1">IF(ISERROR($V821),"",OFFSET('Smelter Look-up'!$D$4,$V821-4,0)&amp;"")</f>
        <v/>
      </c>
      <c r="F821" s="168" t="str">
        <f ca="1">IF(ISERROR($V821),"",OFFSET('Smelter Look-up'!$E$4,$V821-4,0))</f>
        <v/>
      </c>
      <c r="G821" s="168" t="str">
        <f ca="1">IF(C821=$X$4,IF(ISERROR($V821),"Enter smelter details","RMI"),IF(ISERROR($V821),"",OFFSET('Smelter Look-up'!$F$4,$V821-4,0)))</f>
        <v/>
      </c>
      <c r="H821" s="171" t="str">
        <f ca="1">IF(ISERROR($V821),"",OFFSET('Smelter Look-up'!$G$4,$V821-4,0))</f>
        <v/>
      </c>
      <c r="I821" s="172" t="str">
        <f ca="1">IF(ISERROR($V821),"",OFFSET('Smelter Look-up'!$H$4,$V821-4,0))</f>
        <v/>
      </c>
      <c r="J821" s="172" t="str">
        <f ca="1">IF(ISERROR($V821),"",OFFSET('Smelter Look-up'!$I$4,$V821-4,0))</f>
        <v/>
      </c>
      <c r="K821" s="173"/>
      <c r="L821" s="173"/>
      <c r="M821" s="173"/>
      <c r="N821" s="173"/>
      <c r="O821" s="173"/>
      <c r="P821" s="174"/>
      <c r="Q821" s="175"/>
      <c r="R821" s="168" t="str">
        <f ca="1">IF(ISERROR($V821),"",OFFSET('Smelter Look-up'!$C$4,$V821-4,0)&amp;"")</f>
        <v/>
      </c>
      <c r="S821" s="167" t="str">
        <f t="shared" ca="1" si="90"/>
        <v/>
      </c>
      <c r="T821" s="167" t="str">
        <f ca="1">IF(B821="","",IF(ISERROR(MATCH($J821,SorP!$B$1:$B$6230,0)),"",INDIRECT("'SorP'!$A$"&amp;MATCH($J821,SorP!$B$1:$B$6230,0))))</f>
        <v/>
      </c>
      <c r="U821" s="176"/>
      <c r="V821" s="177" t="e">
        <f>IF(C821="",NA(),IF(OR(C821="Smelter not listed",C821="Smelter not yet identified"),MATCH($B821&amp;$D821,'Smelter Look-up'!$J:$J,0),MATCH($B821&amp;$C821,'Smelter Look-up'!$J:$J,0)))</f>
        <v>#N/A</v>
      </c>
      <c r="X821" s="140">
        <f t="shared" ca="1" si="91"/>
        <v>0</v>
      </c>
      <c r="AB821" s="178" t="str">
        <f t="shared" si="92"/>
        <v/>
      </c>
    </row>
    <row r="822" spans="1:28" s="140" customFormat="1" ht="20.25">
      <c r="A822" s="167"/>
      <c r="B822" s="168" t="str">
        <f>IF(LEN(A822)=0,"",INDEX('Smelter Look-up'!$A:$A,MATCH($A822,'Smelter Look-up'!$E:$E,0)))</f>
        <v/>
      </c>
      <c r="C822" s="169" t="str">
        <f>IF(LEN(A822)=0,"",INDEX('Smelter Look-up'!$C:$C,MATCH($A822,'Smelter Look-up'!$E:$E,0)))</f>
        <v/>
      </c>
      <c r="D822" s="170"/>
      <c r="E822" s="168" t="str">
        <f ca="1">IF(ISERROR($V822),"",OFFSET('Smelter Look-up'!$D$4,$V822-4,0)&amp;"")</f>
        <v/>
      </c>
      <c r="F822" s="168" t="str">
        <f ca="1">IF(ISERROR($V822),"",OFFSET('Smelter Look-up'!$E$4,$V822-4,0))</f>
        <v/>
      </c>
      <c r="G822" s="168" t="str">
        <f ca="1">IF(C822=$X$4,IF(ISERROR($V822),"Enter smelter details","RMI"),IF(ISERROR($V822),"",OFFSET('Smelter Look-up'!$F$4,$V822-4,0)))</f>
        <v/>
      </c>
      <c r="H822" s="171" t="str">
        <f ca="1">IF(ISERROR($V822),"",OFFSET('Smelter Look-up'!$G$4,$V822-4,0))</f>
        <v/>
      </c>
      <c r="I822" s="172" t="str">
        <f ca="1">IF(ISERROR($V822),"",OFFSET('Smelter Look-up'!$H$4,$V822-4,0))</f>
        <v/>
      </c>
      <c r="J822" s="172" t="str">
        <f ca="1">IF(ISERROR($V822),"",OFFSET('Smelter Look-up'!$I$4,$V822-4,0))</f>
        <v/>
      </c>
      <c r="K822" s="173"/>
      <c r="L822" s="173"/>
      <c r="M822" s="173"/>
      <c r="N822" s="173"/>
      <c r="O822" s="173"/>
      <c r="P822" s="174"/>
      <c r="Q822" s="175"/>
      <c r="R822" s="168" t="str">
        <f ca="1">IF(ISERROR($V822),"",OFFSET('Smelter Look-up'!$C$4,$V822-4,0)&amp;"")</f>
        <v/>
      </c>
      <c r="S822" s="167" t="str">
        <f t="shared" ca="1" si="90"/>
        <v/>
      </c>
      <c r="T822" s="167" t="str">
        <f ca="1">IF(B822="","",IF(ISERROR(MATCH($J822,SorP!$B$1:$B$6230,0)),"",INDIRECT("'SorP'!$A$"&amp;MATCH($J822,SorP!$B$1:$B$6230,0))))</f>
        <v/>
      </c>
      <c r="U822" s="176"/>
      <c r="V822" s="177" t="e">
        <f>IF(C822="",NA(),IF(OR(C822="Smelter not listed",C822="Smelter not yet identified"),MATCH($B822&amp;$D822,'Smelter Look-up'!$J:$J,0),MATCH($B822&amp;$C822,'Smelter Look-up'!$J:$J,0)))</f>
        <v>#N/A</v>
      </c>
      <c r="X822" s="140">
        <f t="shared" ca="1" si="91"/>
        <v>0</v>
      </c>
      <c r="AB822" s="178" t="str">
        <f t="shared" si="92"/>
        <v/>
      </c>
    </row>
    <row r="823" spans="1:28" s="140" customFormat="1" ht="20.25">
      <c r="A823" s="167"/>
      <c r="B823" s="168" t="str">
        <f>IF(LEN(A823)=0,"",INDEX('Smelter Look-up'!$A:$A,MATCH($A823,'Smelter Look-up'!$E:$E,0)))</f>
        <v/>
      </c>
      <c r="C823" s="169" t="str">
        <f>IF(LEN(A823)=0,"",INDEX('Smelter Look-up'!$C:$C,MATCH($A823,'Smelter Look-up'!$E:$E,0)))</f>
        <v/>
      </c>
      <c r="D823" s="170"/>
      <c r="E823" s="168" t="str">
        <f ca="1">IF(ISERROR($V823),"",OFFSET('Smelter Look-up'!$D$4,$V823-4,0)&amp;"")</f>
        <v/>
      </c>
      <c r="F823" s="168" t="str">
        <f ca="1">IF(ISERROR($V823),"",OFFSET('Smelter Look-up'!$E$4,$V823-4,0))</f>
        <v/>
      </c>
      <c r="G823" s="168" t="str">
        <f ca="1">IF(C823=$X$4,IF(ISERROR($V823),"Enter smelter details","RMI"),IF(ISERROR($V823),"",OFFSET('Smelter Look-up'!$F$4,$V823-4,0)))</f>
        <v/>
      </c>
      <c r="H823" s="171" t="str">
        <f ca="1">IF(ISERROR($V823),"",OFFSET('Smelter Look-up'!$G$4,$V823-4,0))</f>
        <v/>
      </c>
      <c r="I823" s="172" t="str">
        <f ca="1">IF(ISERROR($V823),"",OFFSET('Smelter Look-up'!$H$4,$V823-4,0))</f>
        <v/>
      </c>
      <c r="J823" s="172" t="str">
        <f ca="1">IF(ISERROR($V823),"",OFFSET('Smelter Look-up'!$I$4,$V823-4,0))</f>
        <v/>
      </c>
      <c r="K823" s="173"/>
      <c r="L823" s="173"/>
      <c r="M823" s="173"/>
      <c r="N823" s="173"/>
      <c r="O823" s="173"/>
      <c r="P823" s="174"/>
      <c r="Q823" s="175"/>
      <c r="R823" s="168" t="str">
        <f ca="1">IF(ISERROR($V823),"",OFFSET('Smelter Look-up'!$C$4,$V823-4,0)&amp;"")</f>
        <v/>
      </c>
      <c r="S823" s="167" t="str">
        <f t="shared" ca="1" si="90"/>
        <v/>
      </c>
      <c r="T823" s="167" t="str">
        <f ca="1">IF(B823="","",IF(ISERROR(MATCH($J823,SorP!$B$1:$B$6230,0)),"",INDIRECT("'SorP'!$A$"&amp;MATCH($J823,SorP!$B$1:$B$6230,0))))</f>
        <v/>
      </c>
      <c r="U823" s="176"/>
      <c r="V823" s="177" t="e">
        <f>IF(C823="",NA(),IF(OR(C823="Smelter not listed",C823="Smelter not yet identified"),MATCH($B823&amp;$D823,'Smelter Look-up'!$J:$J,0),MATCH($B823&amp;$C823,'Smelter Look-up'!$J:$J,0)))</f>
        <v>#N/A</v>
      </c>
      <c r="X823" s="140">
        <f t="shared" ca="1" si="91"/>
        <v>0</v>
      </c>
      <c r="AB823" s="178" t="str">
        <f t="shared" si="92"/>
        <v/>
      </c>
    </row>
    <row r="824" spans="1:28" s="140" customFormat="1" ht="20.25">
      <c r="A824" s="167"/>
      <c r="B824" s="168" t="str">
        <f>IF(LEN(A824)=0,"",INDEX('Smelter Look-up'!$A:$A,MATCH($A824,'Smelter Look-up'!$E:$E,0)))</f>
        <v/>
      </c>
      <c r="C824" s="169" t="str">
        <f>IF(LEN(A824)=0,"",INDEX('Smelter Look-up'!$C:$C,MATCH($A824,'Smelter Look-up'!$E:$E,0)))</f>
        <v/>
      </c>
      <c r="D824" s="170"/>
      <c r="E824" s="168" t="str">
        <f ca="1">IF(ISERROR($V824),"",OFFSET('Smelter Look-up'!$D$4,$V824-4,0)&amp;"")</f>
        <v/>
      </c>
      <c r="F824" s="168" t="str">
        <f ca="1">IF(ISERROR($V824),"",OFFSET('Smelter Look-up'!$E$4,$V824-4,0))</f>
        <v/>
      </c>
      <c r="G824" s="168" t="str">
        <f ca="1">IF(C824=$X$4,IF(ISERROR($V824),"Enter smelter details","RMI"),IF(ISERROR($V824),"",OFFSET('Smelter Look-up'!$F$4,$V824-4,0)))</f>
        <v/>
      </c>
      <c r="H824" s="171" t="str">
        <f ca="1">IF(ISERROR($V824),"",OFFSET('Smelter Look-up'!$G$4,$V824-4,0))</f>
        <v/>
      </c>
      <c r="I824" s="172" t="str">
        <f ca="1">IF(ISERROR($V824),"",OFFSET('Smelter Look-up'!$H$4,$V824-4,0))</f>
        <v/>
      </c>
      <c r="J824" s="172" t="str">
        <f ca="1">IF(ISERROR($V824),"",OFFSET('Smelter Look-up'!$I$4,$V824-4,0))</f>
        <v/>
      </c>
      <c r="K824" s="173"/>
      <c r="L824" s="173"/>
      <c r="M824" s="173"/>
      <c r="N824" s="173"/>
      <c r="O824" s="173"/>
      <c r="P824" s="174"/>
      <c r="Q824" s="175"/>
      <c r="R824" s="168" t="str">
        <f ca="1">IF(ISERROR($V824),"",OFFSET('Smelter Look-up'!$C$4,$V824-4,0)&amp;"")</f>
        <v/>
      </c>
      <c r="S824" s="167" t="str">
        <f t="shared" ca="1" si="90"/>
        <v/>
      </c>
      <c r="T824" s="167" t="str">
        <f ca="1">IF(B824="","",IF(ISERROR(MATCH($J824,SorP!$B$1:$B$6230,0)),"",INDIRECT("'SorP'!$A$"&amp;MATCH($J824,SorP!$B$1:$B$6230,0))))</f>
        <v/>
      </c>
      <c r="U824" s="176"/>
      <c r="V824" s="177" t="e">
        <f>IF(C824="",NA(),IF(OR(C824="Smelter not listed",C824="Smelter not yet identified"),MATCH($B824&amp;$D824,'Smelter Look-up'!$J:$J,0),MATCH($B824&amp;$C824,'Smelter Look-up'!$J:$J,0)))</f>
        <v>#N/A</v>
      </c>
      <c r="X824" s="140">
        <f t="shared" ca="1" si="91"/>
        <v>0</v>
      </c>
      <c r="AB824" s="178" t="str">
        <f t="shared" si="92"/>
        <v/>
      </c>
    </row>
    <row r="825" spans="1:28" s="140" customFormat="1" ht="20.25">
      <c r="A825" s="167"/>
      <c r="B825" s="168" t="str">
        <f>IF(LEN(A825)=0,"",INDEX('Smelter Look-up'!$A:$A,MATCH($A825,'Smelter Look-up'!$E:$E,0)))</f>
        <v/>
      </c>
      <c r="C825" s="169" t="str">
        <f>IF(LEN(A825)=0,"",INDEX('Smelter Look-up'!$C:$C,MATCH($A825,'Smelter Look-up'!$E:$E,0)))</f>
        <v/>
      </c>
      <c r="D825" s="170"/>
      <c r="E825" s="168" t="str">
        <f ca="1">IF(ISERROR($V825),"",OFFSET('Smelter Look-up'!$D$4,$V825-4,0)&amp;"")</f>
        <v/>
      </c>
      <c r="F825" s="168" t="str">
        <f ca="1">IF(ISERROR($V825),"",OFFSET('Smelter Look-up'!$E$4,$V825-4,0))</f>
        <v/>
      </c>
      <c r="G825" s="168" t="str">
        <f ca="1">IF(C825=$X$4,IF(ISERROR($V825),"Enter smelter details","RMI"),IF(ISERROR($V825),"",OFFSET('Smelter Look-up'!$F$4,$V825-4,0)))</f>
        <v/>
      </c>
      <c r="H825" s="171" t="str">
        <f ca="1">IF(ISERROR($V825),"",OFFSET('Smelter Look-up'!$G$4,$V825-4,0))</f>
        <v/>
      </c>
      <c r="I825" s="172" t="str">
        <f ca="1">IF(ISERROR($V825),"",OFFSET('Smelter Look-up'!$H$4,$V825-4,0))</f>
        <v/>
      </c>
      <c r="J825" s="172" t="str">
        <f ca="1">IF(ISERROR($V825),"",OFFSET('Smelter Look-up'!$I$4,$V825-4,0))</f>
        <v/>
      </c>
      <c r="K825" s="173"/>
      <c r="L825" s="173"/>
      <c r="M825" s="173"/>
      <c r="N825" s="173"/>
      <c r="O825" s="173"/>
      <c r="P825" s="174"/>
      <c r="Q825" s="175"/>
      <c r="R825" s="168" t="str">
        <f ca="1">IF(ISERROR($V825),"",OFFSET('Smelter Look-up'!$C$4,$V825-4,0)&amp;"")</f>
        <v/>
      </c>
      <c r="S825" s="167" t="str">
        <f t="shared" ca="1" si="90"/>
        <v/>
      </c>
      <c r="T825" s="167" t="str">
        <f ca="1">IF(B825="","",IF(ISERROR(MATCH($J825,SorP!$B$1:$B$6230,0)),"",INDIRECT("'SorP'!$A$"&amp;MATCH($J825,SorP!$B$1:$B$6230,0))))</f>
        <v/>
      </c>
      <c r="U825" s="176"/>
      <c r="V825" s="177" t="e">
        <f>IF(C825="",NA(),IF(OR(C825="Smelter not listed",C825="Smelter not yet identified"),MATCH($B825&amp;$D825,'Smelter Look-up'!$J:$J,0),MATCH($B825&amp;$C825,'Smelter Look-up'!$J:$J,0)))</f>
        <v>#N/A</v>
      </c>
      <c r="X825" s="140">
        <f t="shared" ca="1" si="91"/>
        <v>0</v>
      </c>
      <c r="AB825" s="178" t="str">
        <f t="shared" si="92"/>
        <v/>
      </c>
    </row>
    <row r="826" spans="1:28" s="140" customFormat="1" ht="20.25">
      <c r="A826" s="167"/>
      <c r="B826" s="168" t="str">
        <f>IF(LEN(A826)=0,"",INDEX('Smelter Look-up'!$A:$A,MATCH($A826,'Smelter Look-up'!$E:$E,0)))</f>
        <v/>
      </c>
      <c r="C826" s="169" t="str">
        <f>IF(LEN(A826)=0,"",INDEX('Smelter Look-up'!$C:$C,MATCH($A826,'Smelter Look-up'!$E:$E,0)))</f>
        <v/>
      </c>
      <c r="D826" s="170"/>
      <c r="E826" s="168" t="str">
        <f ca="1">IF(ISERROR($V826),"",OFFSET('Smelter Look-up'!$D$4,$V826-4,0)&amp;"")</f>
        <v/>
      </c>
      <c r="F826" s="168" t="str">
        <f ca="1">IF(ISERROR($V826),"",OFFSET('Smelter Look-up'!$E$4,$V826-4,0))</f>
        <v/>
      </c>
      <c r="G826" s="168" t="str">
        <f ca="1">IF(C826=$X$4,IF(ISERROR($V826),"Enter smelter details","RMI"),IF(ISERROR($V826),"",OFFSET('Smelter Look-up'!$F$4,$V826-4,0)))</f>
        <v/>
      </c>
      <c r="H826" s="171" t="str">
        <f ca="1">IF(ISERROR($V826),"",OFFSET('Smelter Look-up'!$G$4,$V826-4,0))</f>
        <v/>
      </c>
      <c r="I826" s="172" t="str">
        <f ca="1">IF(ISERROR($V826),"",OFFSET('Smelter Look-up'!$H$4,$V826-4,0))</f>
        <v/>
      </c>
      <c r="J826" s="172" t="str">
        <f ca="1">IF(ISERROR($V826),"",OFFSET('Smelter Look-up'!$I$4,$V826-4,0))</f>
        <v/>
      </c>
      <c r="K826" s="173"/>
      <c r="L826" s="173"/>
      <c r="M826" s="173"/>
      <c r="N826" s="173"/>
      <c r="O826" s="173"/>
      <c r="P826" s="174"/>
      <c r="Q826" s="175"/>
      <c r="R826" s="168" t="str">
        <f ca="1">IF(ISERROR($V826),"",OFFSET('Smelter Look-up'!$C$4,$V826-4,0)&amp;"")</f>
        <v/>
      </c>
      <c r="S826" s="167" t="str">
        <f t="shared" ca="1" si="90"/>
        <v/>
      </c>
      <c r="T826" s="167" t="str">
        <f ca="1">IF(B826="","",IF(ISERROR(MATCH($J826,SorP!$B$1:$B$6230,0)),"",INDIRECT("'SorP'!$A$"&amp;MATCH($J826,SorP!$B$1:$B$6230,0))))</f>
        <v/>
      </c>
      <c r="U826" s="176"/>
      <c r="V826" s="177" t="e">
        <f>IF(C826="",NA(),IF(OR(C826="Smelter not listed",C826="Smelter not yet identified"),MATCH($B826&amp;$D826,'Smelter Look-up'!$J:$J,0),MATCH($B826&amp;$C826,'Smelter Look-up'!$J:$J,0)))</f>
        <v>#N/A</v>
      </c>
      <c r="X826" s="140">
        <f t="shared" ca="1" si="91"/>
        <v>0</v>
      </c>
      <c r="AB826" s="178" t="str">
        <f t="shared" si="92"/>
        <v/>
      </c>
    </row>
    <row r="827" spans="1:28" s="140" customFormat="1" ht="20.25">
      <c r="A827" s="167"/>
      <c r="B827" s="168" t="str">
        <f>IF(LEN(A827)=0,"",INDEX('Smelter Look-up'!$A:$A,MATCH($A827,'Smelter Look-up'!$E:$E,0)))</f>
        <v/>
      </c>
      <c r="C827" s="169" t="str">
        <f>IF(LEN(A827)=0,"",INDEX('Smelter Look-up'!$C:$C,MATCH($A827,'Smelter Look-up'!$E:$E,0)))</f>
        <v/>
      </c>
      <c r="D827" s="170"/>
      <c r="E827" s="168" t="str">
        <f ca="1">IF(ISERROR($V827),"",OFFSET('Smelter Look-up'!$D$4,$V827-4,0)&amp;"")</f>
        <v/>
      </c>
      <c r="F827" s="168" t="str">
        <f ca="1">IF(ISERROR($V827),"",OFFSET('Smelter Look-up'!$E$4,$V827-4,0))</f>
        <v/>
      </c>
      <c r="G827" s="168" t="str">
        <f ca="1">IF(C827=$X$4,IF(ISERROR($V827),"Enter smelter details","RMI"),IF(ISERROR($V827),"",OFFSET('Smelter Look-up'!$F$4,$V827-4,0)))</f>
        <v/>
      </c>
      <c r="H827" s="171" t="str">
        <f ca="1">IF(ISERROR($V827),"",OFFSET('Smelter Look-up'!$G$4,$V827-4,0))</f>
        <v/>
      </c>
      <c r="I827" s="172" t="str">
        <f ca="1">IF(ISERROR($V827),"",OFFSET('Smelter Look-up'!$H$4,$V827-4,0))</f>
        <v/>
      </c>
      <c r="J827" s="172" t="str">
        <f ca="1">IF(ISERROR($V827),"",OFFSET('Smelter Look-up'!$I$4,$V827-4,0))</f>
        <v/>
      </c>
      <c r="K827" s="173"/>
      <c r="L827" s="173"/>
      <c r="M827" s="173"/>
      <c r="N827" s="173"/>
      <c r="O827" s="173"/>
      <c r="P827" s="174"/>
      <c r="Q827" s="175"/>
      <c r="R827" s="168" t="str">
        <f ca="1">IF(ISERROR($V827),"",OFFSET('Smelter Look-up'!$C$4,$V827-4,0)&amp;"")</f>
        <v/>
      </c>
      <c r="S827" s="167" t="str">
        <f t="shared" ca="1" si="90"/>
        <v/>
      </c>
      <c r="T827" s="167" t="str">
        <f ca="1">IF(B827="","",IF(ISERROR(MATCH($J827,SorP!$B$1:$B$6230,0)),"",INDIRECT("'SorP'!$A$"&amp;MATCH($J827,SorP!$B$1:$B$6230,0))))</f>
        <v/>
      </c>
      <c r="U827" s="176"/>
      <c r="V827" s="177" t="e">
        <f>IF(C827="",NA(),IF(OR(C827="Smelter not listed",C827="Smelter not yet identified"),MATCH($B827&amp;$D827,'Smelter Look-up'!$J:$J,0),MATCH($B827&amp;$C827,'Smelter Look-up'!$J:$J,0)))</f>
        <v>#N/A</v>
      </c>
      <c r="X827" s="140">
        <f t="shared" ca="1" si="91"/>
        <v>0</v>
      </c>
      <c r="AB827" s="178" t="str">
        <f t="shared" si="92"/>
        <v/>
      </c>
    </row>
    <row r="828" spans="1:28" s="140" customFormat="1" ht="20.25">
      <c r="A828" s="167"/>
      <c r="B828" s="168" t="str">
        <f>IF(LEN(A828)=0,"",INDEX('Smelter Look-up'!$A:$A,MATCH($A828,'Smelter Look-up'!$E:$E,0)))</f>
        <v/>
      </c>
      <c r="C828" s="169" t="str">
        <f>IF(LEN(A828)=0,"",INDEX('Smelter Look-up'!$C:$C,MATCH($A828,'Smelter Look-up'!$E:$E,0)))</f>
        <v/>
      </c>
      <c r="D828" s="170"/>
      <c r="E828" s="168" t="str">
        <f ca="1">IF(ISERROR($V828),"",OFFSET('Smelter Look-up'!$D$4,$V828-4,0)&amp;"")</f>
        <v/>
      </c>
      <c r="F828" s="168" t="str">
        <f ca="1">IF(ISERROR($V828),"",OFFSET('Smelter Look-up'!$E$4,$V828-4,0))</f>
        <v/>
      </c>
      <c r="G828" s="168" t="str">
        <f ca="1">IF(C828=$X$4,IF(ISERROR($V828),"Enter smelter details","RMI"),IF(ISERROR($V828),"",OFFSET('Smelter Look-up'!$F$4,$V828-4,0)))</f>
        <v/>
      </c>
      <c r="H828" s="171" t="str">
        <f ca="1">IF(ISERROR($V828),"",OFFSET('Smelter Look-up'!$G$4,$V828-4,0))</f>
        <v/>
      </c>
      <c r="I828" s="172" t="str">
        <f ca="1">IF(ISERROR($V828),"",OFFSET('Smelter Look-up'!$H$4,$V828-4,0))</f>
        <v/>
      </c>
      <c r="J828" s="172" t="str">
        <f ca="1">IF(ISERROR($V828),"",OFFSET('Smelter Look-up'!$I$4,$V828-4,0))</f>
        <v/>
      </c>
      <c r="K828" s="173"/>
      <c r="L828" s="173"/>
      <c r="M828" s="173"/>
      <c r="N828" s="173"/>
      <c r="O828" s="173"/>
      <c r="P828" s="174"/>
      <c r="Q828" s="175"/>
      <c r="R828" s="168" t="str">
        <f ca="1">IF(ISERROR($V828),"",OFFSET('Smelter Look-up'!$C$4,$V828-4,0)&amp;"")</f>
        <v/>
      </c>
      <c r="S828" s="167" t="str">
        <f t="shared" ca="1" si="90"/>
        <v/>
      </c>
      <c r="T828" s="167" t="str">
        <f ca="1">IF(B828="","",IF(ISERROR(MATCH($J828,SorP!$B$1:$B$6230,0)),"",INDIRECT("'SorP'!$A$"&amp;MATCH($J828,SorP!$B$1:$B$6230,0))))</f>
        <v/>
      </c>
      <c r="U828" s="176"/>
      <c r="V828" s="177" t="e">
        <f>IF(C828="",NA(),IF(OR(C828="Smelter not listed",C828="Smelter not yet identified"),MATCH($B828&amp;$D828,'Smelter Look-up'!$J:$J,0),MATCH($B828&amp;$C828,'Smelter Look-up'!$J:$J,0)))</f>
        <v>#N/A</v>
      </c>
      <c r="X828" s="140">
        <f t="shared" ca="1" si="91"/>
        <v>0</v>
      </c>
      <c r="AB828" s="178" t="str">
        <f t="shared" si="92"/>
        <v/>
      </c>
    </row>
    <row r="829" spans="1:28" s="140" customFormat="1" ht="20.25">
      <c r="A829" s="167"/>
      <c r="B829" s="168" t="str">
        <f>IF(LEN(A829)=0,"",INDEX('Smelter Look-up'!$A:$A,MATCH($A829,'Smelter Look-up'!$E:$E,0)))</f>
        <v/>
      </c>
      <c r="C829" s="169" t="str">
        <f>IF(LEN(A829)=0,"",INDEX('Smelter Look-up'!$C:$C,MATCH($A829,'Smelter Look-up'!$E:$E,0)))</f>
        <v/>
      </c>
      <c r="D829" s="170"/>
      <c r="E829" s="168" t="str">
        <f ca="1">IF(ISERROR($V829),"",OFFSET('Smelter Look-up'!$D$4,$V829-4,0)&amp;"")</f>
        <v/>
      </c>
      <c r="F829" s="168" t="str">
        <f ca="1">IF(ISERROR($V829),"",OFFSET('Smelter Look-up'!$E$4,$V829-4,0))</f>
        <v/>
      </c>
      <c r="G829" s="168" t="str">
        <f ca="1">IF(C829=$X$4,IF(ISERROR($V829),"Enter smelter details","RMI"),IF(ISERROR($V829),"",OFFSET('Smelter Look-up'!$F$4,$V829-4,0)))</f>
        <v/>
      </c>
      <c r="H829" s="171" t="str">
        <f ca="1">IF(ISERROR($V829),"",OFFSET('Smelter Look-up'!$G$4,$V829-4,0))</f>
        <v/>
      </c>
      <c r="I829" s="172" t="str">
        <f ca="1">IF(ISERROR($V829),"",OFFSET('Smelter Look-up'!$H$4,$V829-4,0))</f>
        <v/>
      </c>
      <c r="J829" s="172" t="str">
        <f ca="1">IF(ISERROR($V829),"",OFFSET('Smelter Look-up'!$I$4,$V829-4,0))</f>
        <v/>
      </c>
      <c r="K829" s="173"/>
      <c r="L829" s="173"/>
      <c r="M829" s="173"/>
      <c r="N829" s="173"/>
      <c r="O829" s="173"/>
      <c r="P829" s="174"/>
      <c r="Q829" s="175"/>
      <c r="R829" s="168" t="str">
        <f ca="1">IF(ISERROR($V829),"",OFFSET('Smelter Look-up'!$C$4,$V829-4,0)&amp;"")</f>
        <v/>
      </c>
      <c r="S829" s="167" t="str">
        <f t="shared" ca="1" si="90"/>
        <v/>
      </c>
      <c r="T829" s="167" t="str">
        <f ca="1">IF(B829="","",IF(ISERROR(MATCH($J829,SorP!$B$1:$B$6230,0)),"",INDIRECT("'SorP'!$A$"&amp;MATCH($J829,SorP!$B$1:$B$6230,0))))</f>
        <v/>
      </c>
      <c r="U829" s="176"/>
      <c r="V829" s="177" t="e">
        <f>IF(C829="",NA(),IF(OR(C829="Smelter not listed",C829="Smelter not yet identified"),MATCH($B829&amp;$D829,'Smelter Look-up'!$J:$J,0),MATCH($B829&amp;$C829,'Smelter Look-up'!$J:$J,0)))</f>
        <v>#N/A</v>
      </c>
      <c r="X829" s="140">
        <f t="shared" ca="1" si="91"/>
        <v>0</v>
      </c>
      <c r="AB829" s="178" t="str">
        <f t="shared" si="92"/>
        <v/>
      </c>
    </row>
    <row r="830" spans="1:28" s="140" customFormat="1" ht="20.25">
      <c r="A830" s="167"/>
      <c r="B830" s="168" t="str">
        <f>IF(LEN(A830)=0,"",INDEX('Smelter Look-up'!$A:$A,MATCH($A830,'Smelter Look-up'!$E:$E,0)))</f>
        <v/>
      </c>
      <c r="C830" s="169" t="str">
        <f>IF(LEN(A830)=0,"",INDEX('Smelter Look-up'!$C:$C,MATCH($A830,'Smelter Look-up'!$E:$E,0)))</f>
        <v/>
      </c>
      <c r="D830" s="170"/>
      <c r="E830" s="168" t="str">
        <f ca="1">IF(ISERROR($V830),"",OFFSET('Smelter Look-up'!$D$4,$V830-4,0)&amp;"")</f>
        <v/>
      </c>
      <c r="F830" s="168" t="str">
        <f ca="1">IF(ISERROR($V830),"",OFFSET('Smelter Look-up'!$E$4,$V830-4,0))</f>
        <v/>
      </c>
      <c r="G830" s="168" t="str">
        <f ca="1">IF(C830=$X$4,IF(ISERROR($V830),"Enter smelter details","RMI"),IF(ISERROR($V830),"",OFFSET('Smelter Look-up'!$F$4,$V830-4,0)))</f>
        <v/>
      </c>
      <c r="H830" s="171" t="str">
        <f ca="1">IF(ISERROR($V830),"",OFFSET('Smelter Look-up'!$G$4,$V830-4,0))</f>
        <v/>
      </c>
      <c r="I830" s="172" t="str">
        <f ca="1">IF(ISERROR($V830),"",OFFSET('Smelter Look-up'!$H$4,$V830-4,0))</f>
        <v/>
      </c>
      <c r="J830" s="172" t="str">
        <f ca="1">IF(ISERROR($V830),"",OFFSET('Smelter Look-up'!$I$4,$V830-4,0))</f>
        <v/>
      </c>
      <c r="K830" s="173"/>
      <c r="L830" s="173"/>
      <c r="M830" s="173"/>
      <c r="N830" s="173"/>
      <c r="O830" s="173"/>
      <c r="P830" s="174"/>
      <c r="Q830" s="175"/>
      <c r="R830" s="168" t="str">
        <f ca="1">IF(ISERROR($V830),"",OFFSET('Smelter Look-up'!$C$4,$V830-4,0)&amp;"")</f>
        <v/>
      </c>
      <c r="S830" s="167" t="str">
        <f t="shared" ca="1" si="90"/>
        <v/>
      </c>
      <c r="T830" s="167" t="str">
        <f ca="1">IF(B830="","",IF(ISERROR(MATCH($J830,SorP!$B$1:$B$6230,0)),"",INDIRECT("'SorP'!$A$"&amp;MATCH($J830,SorP!$B$1:$B$6230,0))))</f>
        <v/>
      </c>
      <c r="U830" s="176"/>
      <c r="V830" s="177" t="e">
        <f>IF(C830="",NA(),IF(OR(C830="Smelter not listed",C830="Smelter not yet identified"),MATCH($B830&amp;$D830,'Smelter Look-up'!$J:$J,0),MATCH($B830&amp;$C830,'Smelter Look-up'!$J:$J,0)))</f>
        <v>#N/A</v>
      </c>
      <c r="X830" s="140">
        <f t="shared" ca="1" si="91"/>
        <v>0</v>
      </c>
      <c r="AB830" s="178" t="str">
        <f t="shared" si="92"/>
        <v/>
      </c>
    </row>
    <row r="831" spans="1:28" s="140" customFormat="1" ht="20.25">
      <c r="A831" s="167"/>
      <c r="B831" s="168" t="str">
        <f>IF(LEN(A831)=0,"",INDEX('Smelter Look-up'!$A:$A,MATCH($A831,'Smelter Look-up'!$E:$E,0)))</f>
        <v/>
      </c>
      <c r="C831" s="169" t="str">
        <f>IF(LEN(A831)=0,"",INDEX('Smelter Look-up'!$C:$C,MATCH($A831,'Smelter Look-up'!$E:$E,0)))</f>
        <v/>
      </c>
      <c r="D831" s="170"/>
      <c r="E831" s="168" t="str">
        <f ca="1">IF(ISERROR($V831),"",OFFSET('Smelter Look-up'!$D$4,$V831-4,0)&amp;"")</f>
        <v/>
      </c>
      <c r="F831" s="168" t="str">
        <f ca="1">IF(ISERROR($V831),"",OFFSET('Smelter Look-up'!$E$4,$V831-4,0))</f>
        <v/>
      </c>
      <c r="G831" s="168" t="str">
        <f ca="1">IF(C831=$X$4,IF(ISERROR($V831),"Enter smelter details","RMI"),IF(ISERROR($V831),"",OFFSET('Smelter Look-up'!$F$4,$V831-4,0)))</f>
        <v/>
      </c>
      <c r="H831" s="171" t="str">
        <f ca="1">IF(ISERROR($V831),"",OFFSET('Smelter Look-up'!$G$4,$V831-4,0))</f>
        <v/>
      </c>
      <c r="I831" s="172" t="str">
        <f ca="1">IF(ISERROR($V831),"",OFFSET('Smelter Look-up'!$H$4,$V831-4,0))</f>
        <v/>
      </c>
      <c r="J831" s="172" t="str">
        <f ca="1">IF(ISERROR($V831),"",OFFSET('Smelter Look-up'!$I$4,$V831-4,0))</f>
        <v/>
      </c>
      <c r="K831" s="173"/>
      <c r="L831" s="173"/>
      <c r="M831" s="173"/>
      <c r="N831" s="173"/>
      <c r="O831" s="173"/>
      <c r="P831" s="174"/>
      <c r="Q831" s="175"/>
      <c r="R831" s="168" t="str">
        <f ca="1">IF(ISERROR($V831),"",OFFSET('Smelter Look-up'!$C$4,$V831-4,0)&amp;"")</f>
        <v/>
      </c>
      <c r="S831" s="167" t="str">
        <f t="shared" ca="1" si="90"/>
        <v/>
      </c>
      <c r="T831" s="167" t="str">
        <f ca="1">IF(B831="","",IF(ISERROR(MATCH($J831,SorP!$B$1:$B$6230,0)),"",INDIRECT("'SorP'!$A$"&amp;MATCH($J831,SorP!$B$1:$B$6230,0))))</f>
        <v/>
      </c>
      <c r="U831" s="176"/>
      <c r="V831" s="177" t="e">
        <f>IF(C831="",NA(),IF(OR(C831="Smelter not listed",C831="Smelter not yet identified"),MATCH($B831&amp;$D831,'Smelter Look-up'!$J:$J,0),MATCH($B831&amp;$C831,'Smelter Look-up'!$J:$J,0)))</f>
        <v>#N/A</v>
      </c>
      <c r="X831" s="140">
        <f t="shared" ca="1" si="91"/>
        <v>0</v>
      </c>
      <c r="AB831" s="178" t="str">
        <f t="shared" si="92"/>
        <v/>
      </c>
    </row>
    <row r="832" spans="1:28" s="140" customFormat="1" ht="20.25">
      <c r="A832" s="167"/>
      <c r="B832" s="168" t="str">
        <f>IF(LEN(A832)=0,"",INDEX('Smelter Look-up'!$A:$A,MATCH($A832,'Smelter Look-up'!$E:$E,0)))</f>
        <v/>
      </c>
      <c r="C832" s="169" t="str">
        <f>IF(LEN(A832)=0,"",INDEX('Smelter Look-up'!$C:$C,MATCH($A832,'Smelter Look-up'!$E:$E,0)))</f>
        <v/>
      </c>
      <c r="D832" s="170"/>
      <c r="E832" s="168" t="str">
        <f ca="1">IF(ISERROR($V832),"",OFFSET('Smelter Look-up'!$D$4,$V832-4,0)&amp;"")</f>
        <v/>
      </c>
      <c r="F832" s="168" t="str">
        <f ca="1">IF(ISERROR($V832),"",OFFSET('Smelter Look-up'!$E$4,$V832-4,0))</f>
        <v/>
      </c>
      <c r="G832" s="168" t="str">
        <f ca="1">IF(C832=$X$4,IF(ISERROR($V832),"Enter smelter details","RMI"),IF(ISERROR($V832),"",OFFSET('Smelter Look-up'!$F$4,$V832-4,0)))</f>
        <v/>
      </c>
      <c r="H832" s="171" t="str">
        <f ca="1">IF(ISERROR($V832),"",OFFSET('Smelter Look-up'!$G$4,$V832-4,0))</f>
        <v/>
      </c>
      <c r="I832" s="172" t="str">
        <f ca="1">IF(ISERROR($V832),"",OFFSET('Smelter Look-up'!$H$4,$V832-4,0))</f>
        <v/>
      </c>
      <c r="J832" s="172" t="str">
        <f ca="1">IF(ISERROR($V832),"",OFFSET('Smelter Look-up'!$I$4,$V832-4,0))</f>
        <v/>
      </c>
      <c r="K832" s="173"/>
      <c r="L832" s="173"/>
      <c r="M832" s="173"/>
      <c r="N832" s="173"/>
      <c r="O832" s="173"/>
      <c r="P832" s="174"/>
      <c r="Q832" s="175"/>
      <c r="R832" s="168" t="str">
        <f ca="1">IF(ISERROR($V832),"",OFFSET('Smelter Look-up'!$C$4,$V832-4,0)&amp;"")</f>
        <v/>
      </c>
      <c r="S832" s="167" t="str">
        <f t="shared" ca="1" si="90"/>
        <v/>
      </c>
      <c r="T832" s="167" t="str">
        <f ca="1">IF(B832="","",IF(ISERROR(MATCH($J832,SorP!$B$1:$B$6230,0)),"",INDIRECT("'SorP'!$A$"&amp;MATCH($J832,SorP!$B$1:$B$6230,0))))</f>
        <v/>
      </c>
      <c r="U832" s="176"/>
      <c r="V832" s="177" t="e">
        <f>IF(C832="",NA(),IF(OR(C832="Smelter not listed",C832="Smelter not yet identified"),MATCH($B832&amp;$D832,'Smelter Look-up'!$J:$J,0),MATCH($B832&amp;$C832,'Smelter Look-up'!$J:$J,0)))</f>
        <v>#N/A</v>
      </c>
      <c r="X832" s="140">
        <f t="shared" ca="1" si="91"/>
        <v>0</v>
      </c>
      <c r="AB832" s="178" t="str">
        <f t="shared" si="92"/>
        <v/>
      </c>
    </row>
    <row r="833" spans="1:28" s="140" customFormat="1" ht="20.25">
      <c r="A833" s="167"/>
      <c r="B833" s="168" t="str">
        <f>IF(LEN(A833)=0,"",INDEX('Smelter Look-up'!$A:$A,MATCH($A833,'Smelter Look-up'!$E:$E,0)))</f>
        <v/>
      </c>
      <c r="C833" s="169" t="str">
        <f>IF(LEN(A833)=0,"",INDEX('Smelter Look-up'!$C:$C,MATCH($A833,'Smelter Look-up'!$E:$E,0)))</f>
        <v/>
      </c>
      <c r="D833" s="170"/>
      <c r="E833" s="168" t="str">
        <f ca="1">IF(ISERROR($V833),"",OFFSET('Smelter Look-up'!$D$4,$V833-4,0)&amp;"")</f>
        <v/>
      </c>
      <c r="F833" s="168" t="str">
        <f ca="1">IF(ISERROR($V833),"",OFFSET('Smelter Look-up'!$E$4,$V833-4,0))</f>
        <v/>
      </c>
      <c r="G833" s="168" t="str">
        <f ca="1">IF(C833=$X$4,IF(ISERROR($V833),"Enter smelter details","RMI"),IF(ISERROR($V833),"",OFFSET('Smelter Look-up'!$F$4,$V833-4,0)))</f>
        <v/>
      </c>
      <c r="H833" s="171" t="str">
        <f ca="1">IF(ISERROR($V833),"",OFFSET('Smelter Look-up'!$G$4,$V833-4,0))</f>
        <v/>
      </c>
      <c r="I833" s="172" t="str">
        <f ca="1">IF(ISERROR($V833),"",OFFSET('Smelter Look-up'!$H$4,$V833-4,0))</f>
        <v/>
      </c>
      <c r="J833" s="172" t="str">
        <f ca="1">IF(ISERROR($V833),"",OFFSET('Smelter Look-up'!$I$4,$V833-4,0))</f>
        <v/>
      </c>
      <c r="K833" s="173"/>
      <c r="L833" s="173"/>
      <c r="M833" s="173"/>
      <c r="N833" s="173"/>
      <c r="O833" s="173"/>
      <c r="P833" s="174"/>
      <c r="Q833" s="175"/>
      <c r="R833" s="168" t="str">
        <f ca="1">IF(ISERROR($V833),"",OFFSET('Smelter Look-up'!$C$4,$V833-4,0)&amp;"")</f>
        <v/>
      </c>
      <c r="S833" s="167" t="str">
        <f t="shared" ca="1" si="90"/>
        <v/>
      </c>
      <c r="T833" s="167" t="str">
        <f ca="1">IF(B833="","",IF(ISERROR(MATCH($J833,SorP!$B$1:$B$6230,0)),"",INDIRECT("'SorP'!$A$"&amp;MATCH($J833,SorP!$B$1:$B$6230,0))))</f>
        <v/>
      </c>
      <c r="U833" s="176"/>
      <c r="V833" s="177" t="e">
        <f>IF(C833="",NA(),IF(OR(C833="Smelter not listed",C833="Smelter not yet identified"),MATCH($B833&amp;$D833,'Smelter Look-up'!$J:$J,0),MATCH($B833&amp;$C833,'Smelter Look-up'!$J:$J,0)))</f>
        <v>#N/A</v>
      </c>
      <c r="X833" s="140">
        <f t="shared" ca="1" si="91"/>
        <v>0</v>
      </c>
      <c r="AB833" s="178" t="str">
        <f t="shared" si="92"/>
        <v/>
      </c>
    </row>
    <row r="834" spans="1:28" s="140" customFormat="1" ht="20.25">
      <c r="A834" s="167"/>
      <c r="B834" s="168" t="str">
        <f>IF(LEN(A834)=0,"",INDEX('Smelter Look-up'!$A:$A,MATCH($A834,'Smelter Look-up'!$E:$E,0)))</f>
        <v/>
      </c>
      <c r="C834" s="169" t="str">
        <f>IF(LEN(A834)=0,"",INDEX('Smelter Look-up'!$C:$C,MATCH($A834,'Smelter Look-up'!$E:$E,0)))</f>
        <v/>
      </c>
      <c r="D834" s="170"/>
      <c r="E834" s="168" t="str">
        <f ca="1">IF(ISERROR($V834),"",OFFSET('Smelter Look-up'!$D$4,$V834-4,0)&amp;"")</f>
        <v/>
      </c>
      <c r="F834" s="168" t="str">
        <f ca="1">IF(ISERROR($V834),"",OFFSET('Smelter Look-up'!$E$4,$V834-4,0))</f>
        <v/>
      </c>
      <c r="G834" s="168" t="str">
        <f ca="1">IF(C834=$X$4,IF(ISERROR($V834),"Enter smelter details","RMI"),IF(ISERROR($V834),"",OFFSET('Smelter Look-up'!$F$4,$V834-4,0)))</f>
        <v/>
      </c>
      <c r="H834" s="171" t="str">
        <f ca="1">IF(ISERROR($V834),"",OFFSET('Smelter Look-up'!$G$4,$V834-4,0))</f>
        <v/>
      </c>
      <c r="I834" s="172" t="str">
        <f ca="1">IF(ISERROR($V834),"",OFFSET('Smelter Look-up'!$H$4,$V834-4,0))</f>
        <v/>
      </c>
      <c r="J834" s="172" t="str">
        <f ca="1">IF(ISERROR($V834),"",OFFSET('Smelter Look-up'!$I$4,$V834-4,0))</f>
        <v/>
      </c>
      <c r="K834" s="173"/>
      <c r="L834" s="173"/>
      <c r="M834" s="173"/>
      <c r="N834" s="173"/>
      <c r="O834" s="173"/>
      <c r="P834" s="174"/>
      <c r="Q834" s="175"/>
      <c r="R834" s="168" t="str">
        <f ca="1">IF(ISERROR($V834),"",OFFSET('Smelter Look-up'!$C$4,$V834-4,0)&amp;"")</f>
        <v/>
      </c>
      <c r="S834" s="167" t="str">
        <f t="shared" ca="1" si="90"/>
        <v/>
      </c>
      <c r="T834" s="167" t="str">
        <f ca="1">IF(B834="","",IF(ISERROR(MATCH($J834,SorP!$B$1:$B$6230,0)),"",INDIRECT("'SorP'!$A$"&amp;MATCH($J834,SorP!$B$1:$B$6230,0))))</f>
        <v/>
      </c>
      <c r="U834" s="176"/>
      <c r="V834" s="177" t="e">
        <f>IF(C834="",NA(),IF(OR(C834="Smelter not listed",C834="Smelter not yet identified"),MATCH($B834&amp;$D834,'Smelter Look-up'!$J:$J,0),MATCH($B834&amp;$C834,'Smelter Look-up'!$J:$J,0)))</f>
        <v>#N/A</v>
      </c>
      <c r="X834" s="140">
        <f t="shared" ca="1" si="91"/>
        <v>0</v>
      </c>
      <c r="AB834" s="178" t="str">
        <f t="shared" si="92"/>
        <v/>
      </c>
    </row>
    <row r="835" spans="1:28" s="140" customFormat="1" ht="20.25">
      <c r="A835" s="167"/>
      <c r="B835" s="168" t="str">
        <f>IF(LEN(A835)=0,"",INDEX('Smelter Look-up'!$A:$A,MATCH($A835,'Smelter Look-up'!$E:$E,0)))</f>
        <v/>
      </c>
      <c r="C835" s="169" t="str">
        <f>IF(LEN(A835)=0,"",INDEX('Smelter Look-up'!$C:$C,MATCH($A835,'Smelter Look-up'!$E:$E,0)))</f>
        <v/>
      </c>
      <c r="D835" s="170"/>
      <c r="E835" s="168" t="str">
        <f ca="1">IF(ISERROR($V835),"",OFFSET('Smelter Look-up'!$D$4,$V835-4,0)&amp;"")</f>
        <v/>
      </c>
      <c r="F835" s="168" t="str">
        <f ca="1">IF(ISERROR($V835),"",OFFSET('Smelter Look-up'!$E$4,$V835-4,0))</f>
        <v/>
      </c>
      <c r="G835" s="168" t="str">
        <f ca="1">IF(C835=$X$4,IF(ISERROR($V835),"Enter smelter details","RMI"),IF(ISERROR($V835),"",OFFSET('Smelter Look-up'!$F$4,$V835-4,0)))</f>
        <v/>
      </c>
      <c r="H835" s="171" t="str">
        <f ca="1">IF(ISERROR($V835),"",OFFSET('Smelter Look-up'!$G$4,$V835-4,0))</f>
        <v/>
      </c>
      <c r="I835" s="172" t="str">
        <f ca="1">IF(ISERROR($V835),"",OFFSET('Smelter Look-up'!$H$4,$V835-4,0))</f>
        <v/>
      </c>
      <c r="J835" s="172" t="str">
        <f ca="1">IF(ISERROR($V835),"",OFFSET('Smelter Look-up'!$I$4,$V835-4,0))</f>
        <v/>
      </c>
      <c r="K835" s="173"/>
      <c r="L835" s="173"/>
      <c r="M835" s="173"/>
      <c r="N835" s="173"/>
      <c r="O835" s="173"/>
      <c r="P835" s="174"/>
      <c r="Q835" s="175"/>
      <c r="R835" s="168" t="str">
        <f ca="1">IF(ISERROR($V835),"",OFFSET('Smelter Look-up'!$C$4,$V835-4,0)&amp;"")</f>
        <v/>
      </c>
      <c r="S835" s="167" t="str">
        <f t="shared" ca="1" si="90"/>
        <v/>
      </c>
      <c r="T835" s="167" t="str">
        <f ca="1">IF(B835="","",IF(ISERROR(MATCH($J835,SorP!$B$1:$B$6230,0)),"",INDIRECT("'SorP'!$A$"&amp;MATCH($J835,SorP!$B$1:$B$6230,0))))</f>
        <v/>
      </c>
      <c r="U835" s="176"/>
      <c r="V835" s="177" t="e">
        <f>IF(C835="",NA(),IF(OR(C835="Smelter not listed",C835="Smelter not yet identified"),MATCH($B835&amp;$D835,'Smelter Look-up'!$J:$J,0),MATCH($B835&amp;$C835,'Smelter Look-up'!$J:$J,0)))</f>
        <v>#N/A</v>
      </c>
      <c r="X835" s="140">
        <f t="shared" ca="1" si="91"/>
        <v>0</v>
      </c>
      <c r="AB835" s="178" t="str">
        <f t="shared" si="92"/>
        <v/>
      </c>
    </row>
    <row r="836" spans="1:28" s="140" customFormat="1" ht="20.25">
      <c r="A836" s="167"/>
      <c r="B836" s="168" t="str">
        <f>IF(LEN(A836)=0,"",INDEX('Smelter Look-up'!$A:$A,MATCH($A836,'Smelter Look-up'!$E:$E,0)))</f>
        <v/>
      </c>
      <c r="C836" s="169" t="str">
        <f>IF(LEN(A836)=0,"",INDEX('Smelter Look-up'!$C:$C,MATCH($A836,'Smelter Look-up'!$E:$E,0)))</f>
        <v/>
      </c>
      <c r="D836" s="170"/>
      <c r="E836" s="168" t="str">
        <f ca="1">IF(ISERROR($V836),"",OFFSET('Smelter Look-up'!$D$4,$V836-4,0)&amp;"")</f>
        <v/>
      </c>
      <c r="F836" s="168" t="str">
        <f ca="1">IF(ISERROR($V836),"",OFFSET('Smelter Look-up'!$E$4,$V836-4,0))</f>
        <v/>
      </c>
      <c r="G836" s="168" t="str">
        <f ca="1">IF(C836=$X$4,IF(ISERROR($V836),"Enter smelter details","RMI"),IF(ISERROR($V836),"",OFFSET('Smelter Look-up'!$F$4,$V836-4,0)))</f>
        <v/>
      </c>
      <c r="H836" s="171" t="str">
        <f ca="1">IF(ISERROR($V836),"",OFFSET('Smelter Look-up'!$G$4,$V836-4,0))</f>
        <v/>
      </c>
      <c r="I836" s="172" t="str">
        <f ca="1">IF(ISERROR($V836),"",OFFSET('Smelter Look-up'!$H$4,$V836-4,0))</f>
        <v/>
      </c>
      <c r="J836" s="172" t="str">
        <f ca="1">IF(ISERROR($V836),"",OFFSET('Smelter Look-up'!$I$4,$V836-4,0))</f>
        <v/>
      </c>
      <c r="K836" s="173"/>
      <c r="L836" s="173"/>
      <c r="M836" s="173"/>
      <c r="N836" s="173"/>
      <c r="O836" s="173"/>
      <c r="P836" s="174"/>
      <c r="Q836" s="175"/>
      <c r="R836" s="168" t="str">
        <f ca="1">IF(ISERROR($V836),"",OFFSET('Smelter Look-up'!$C$4,$V836-4,0)&amp;"")</f>
        <v/>
      </c>
      <c r="S836" s="167" t="str">
        <f t="shared" ca="1" si="90"/>
        <v/>
      </c>
      <c r="T836" s="167" t="str">
        <f ca="1">IF(B836="","",IF(ISERROR(MATCH($J836,SorP!$B$1:$B$6230,0)),"",INDIRECT("'SorP'!$A$"&amp;MATCH($J836,SorP!$B$1:$B$6230,0))))</f>
        <v/>
      </c>
      <c r="U836" s="176"/>
      <c r="V836" s="177" t="e">
        <f>IF(C836="",NA(),IF(OR(C836="Smelter not listed",C836="Smelter not yet identified"),MATCH($B836&amp;$D836,'Smelter Look-up'!$J:$J,0),MATCH($B836&amp;$C836,'Smelter Look-up'!$J:$J,0)))</f>
        <v>#N/A</v>
      </c>
      <c r="X836" s="140">
        <f t="shared" ca="1" si="91"/>
        <v>0</v>
      </c>
      <c r="AB836" s="178" t="str">
        <f t="shared" si="92"/>
        <v/>
      </c>
    </row>
    <row r="837" spans="1:28" s="140" customFormat="1" ht="20.25">
      <c r="A837" s="167"/>
      <c r="B837" s="168" t="str">
        <f>IF(LEN(A837)=0,"",INDEX('Smelter Look-up'!$A:$A,MATCH($A837,'Smelter Look-up'!$E:$E,0)))</f>
        <v/>
      </c>
      <c r="C837" s="169" t="str">
        <f>IF(LEN(A837)=0,"",INDEX('Smelter Look-up'!$C:$C,MATCH($A837,'Smelter Look-up'!$E:$E,0)))</f>
        <v/>
      </c>
      <c r="D837" s="170"/>
      <c r="E837" s="168" t="str">
        <f ca="1">IF(ISERROR($V837),"",OFFSET('Smelter Look-up'!$D$4,$V837-4,0)&amp;"")</f>
        <v/>
      </c>
      <c r="F837" s="168" t="str">
        <f ca="1">IF(ISERROR($V837),"",OFFSET('Smelter Look-up'!$E$4,$V837-4,0))</f>
        <v/>
      </c>
      <c r="G837" s="168" t="str">
        <f ca="1">IF(C837=$X$4,IF(ISERROR($V837),"Enter smelter details","RMI"),IF(ISERROR($V837),"",OFFSET('Smelter Look-up'!$F$4,$V837-4,0)))</f>
        <v/>
      </c>
      <c r="H837" s="171" t="str">
        <f ca="1">IF(ISERROR($V837),"",OFFSET('Smelter Look-up'!$G$4,$V837-4,0))</f>
        <v/>
      </c>
      <c r="I837" s="172" t="str">
        <f ca="1">IF(ISERROR($V837),"",OFFSET('Smelter Look-up'!$H$4,$V837-4,0))</f>
        <v/>
      </c>
      <c r="J837" s="172" t="str">
        <f ca="1">IF(ISERROR($V837),"",OFFSET('Smelter Look-up'!$I$4,$V837-4,0))</f>
        <v/>
      </c>
      <c r="K837" s="173"/>
      <c r="L837" s="173"/>
      <c r="M837" s="173"/>
      <c r="N837" s="173"/>
      <c r="O837" s="173"/>
      <c r="P837" s="174"/>
      <c r="Q837" s="175"/>
      <c r="R837" s="168" t="str">
        <f ca="1">IF(ISERROR($V837),"",OFFSET('Smelter Look-up'!$C$4,$V837-4,0)&amp;"")</f>
        <v/>
      </c>
      <c r="S837" s="167" t="str">
        <f t="shared" ca="1" si="90"/>
        <v/>
      </c>
      <c r="T837" s="167" t="str">
        <f ca="1">IF(B837="","",IF(ISERROR(MATCH($J837,SorP!$B$1:$B$6230,0)),"",INDIRECT("'SorP'!$A$"&amp;MATCH($J837,SorP!$B$1:$B$6230,0))))</f>
        <v/>
      </c>
      <c r="U837" s="176"/>
      <c r="V837" s="177" t="e">
        <f>IF(C837="",NA(),IF(OR(C837="Smelter not listed",C837="Smelter not yet identified"),MATCH($B837&amp;$D837,'Smelter Look-up'!$J:$J,0),MATCH($B837&amp;$C837,'Smelter Look-up'!$J:$J,0)))</f>
        <v>#N/A</v>
      </c>
      <c r="X837" s="140">
        <f t="shared" ca="1" si="91"/>
        <v>0</v>
      </c>
      <c r="AB837" s="178" t="str">
        <f t="shared" si="92"/>
        <v/>
      </c>
    </row>
    <row r="838" spans="1:28" s="140" customFormat="1" ht="20.25">
      <c r="A838" s="167"/>
      <c r="B838" s="168" t="str">
        <f>IF(LEN(A838)=0,"",INDEX('Smelter Look-up'!$A:$A,MATCH($A838,'Smelter Look-up'!$E:$E,0)))</f>
        <v/>
      </c>
      <c r="C838" s="169" t="str">
        <f>IF(LEN(A838)=0,"",INDEX('Smelter Look-up'!$C:$C,MATCH($A838,'Smelter Look-up'!$E:$E,0)))</f>
        <v/>
      </c>
      <c r="D838" s="170"/>
      <c r="E838" s="168" t="str">
        <f ca="1">IF(ISERROR($V838),"",OFFSET('Smelter Look-up'!$D$4,$V838-4,0)&amp;"")</f>
        <v/>
      </c>
      <c r="F838" s="168" t="str">
        <f ca="1">IF(ISERROR($V838),"",OFFSET('Smelter Look-up'!$E$4,$V838-4,0))</f>
        <v/>
      </c>
      <c r="G838" s="168" t="str">
        <f ca="1">IF(C838=$X$4,IF(ISERROR($V838),"Enter smelter details","RMI"),IF(ISERROR($V838),"",OFFSET('Smelter Look-up'!$F$4,$V838-4,0)))</f>
        <v/>
      </c>
      <c r="H838" s="171" t="str">
        <f ca="1">IF(ISERROR($V838),"",OFFSET('Smelter Look-up'!$G$4,$V838-4,0))</f>
        <v/>
      </c>
      <c r="I838" s="172" t="str">
        <f ca="1">IF(ISERROR($V838),"",OFFSET('Smelter Look-up'!$H$4,$V838-4,0))</f>
        <v/>
      </c>
      <c r="J838" s="172" t="str">
        <f ca="1">IF(ISERROR($V838),"",OFFSET('Smelter Look-up'!$I$4,$V838-4,0))</f>
        <v/>
      </c>
      <c r="K838" s="173"/>
      <c r="L838" s="173"/>
      <c r="M838" s="173"/>
      <c r="N838" s="173"/>
      <c r="O838" s="173"/>
      <c r="P838" s="174"/>
      <c r="Q838" s="175"/>
      <c r="R838" s="168" t="str">
        <f ca="1">IF(ISERROR($V838),"",OFFSET('Smelter Look-up'!$C$4,$V838-4,0)&amp;"")</f>
        <v/>
      </c>
      <c r="S838" s="167" t="str">
        <f t="shared" ca="1" si="90"/>
        <v/>
      </c>
      <c r="T838" s="167" t="str">
        <f ca="1">IF(B838="","",IF(ISERROR(MATCH($J838,SorP!$B$1:$B$6230,0)),"",INDIRECT("'SorP'!$A$"&amp;MATCH($J838,SorP!$B$1:$B$6230,0))))</f>
        <v/>
      </c>
      <c r="U838" s="176"/>
      <c r="V838" s="177" t="e">
        <f>IF(C838="",NA(),IF(OR(C838="Smelter not listed",C838="Smelter not yet identified"),MATCH($B838&amp;$D838,'Smelter Look-up'!$J:$J,0),MATCH($B838&amp;$C838,'Smelter Look-up'!$J:$J,0)))</f>
        <v>#N/A</v>
      </c>
      <c r="X838" s="140">
        <f t="shared" ca="1" si="91"/>
        <v>0</v>
      </c>
      <c r="AB838" s="178" t="str">
        <f t="shared" si="92"/>
        <v/>
      </c>
    </row>
    <row r="839" spans="1:28" s="140" customFormat="1" ht="20.25">
      <c r="A839" s="167"/>
      <c r="B839" s="168" t="str">
        <f>IF(LEN(A839)=0,"",INDEX('Smelter Look-up'!$A:$A,MATCH($A839,'Smelter Look-up'!$E:$E,0)))</f>
        <v/>
      </c>
      <c r="C839" s="169" t="str">
        <f>IF(LEN(A839)=0,"",INDEX('Smelter Look-up'!$C:$C,MATCH($A839,'Smelter Look-up'!$E:$E,0)))</f>
        <v/>
      </c>
      <c r="D839" s="170"/>
      <c r="E839" s="168" t="str">
        <f ca="1">IF(ISERROR($V839),"",OFFSET('Smelter Look-up'!$D$4,$V839-4,0)&amp;"")</f>
        <v/>
      </c>
      <c r="F839" s="168" t="str">
        <f ca="1">IF(ISERROR($V839),"",OFFSET('Smelter Look-up'!$E$4,$V839-4,0))</f>
        <v/>
      </c>
      <c r="G839" s="168" t="str">
        <f ca="1">IF(C839=$X$4,IF(ISERROR($V839),"Enter smelter details","RMI"),IF(ISERROR($V839),"",OFFSET('Smelter Look-up'!$F$4,$V839-4,0)))</f>
        <v/>
      </c>
      <c r="H839" s="171" t="str">
        <f ca="1">IF(ISERROR($V839),"",OFFSET('Smelter Look-up'!$G$4,$V839-4,0))</f>
        <v/>
      </c>
      <c r="I839" s="172" t="str">
        <f ca="1">IF(ISERROR($V839),"",OFFSET('Smelter Look-up'!$H$4,$V839-4,0))</f>
        <v/>
      </c>
      <c r="J839" s="172" t="str">
        <f ca="1">IF(ISERROR($V839),"",OFFSET('Smelter Look-up'!$I$4,$V839-4,0))</f>
        <v/>
      </c>
      <c r="K839" s="173"/>
      <c r="L839" s="173"/>
      <c r="M839" s="173"/>
      <c r="N839" s="173"/>
      <c r="O839" s="173"/>
      <c r="P839" s="174"/>
      <c r="Q839" s="175"/>
      <c r="R839" s="168" t="str">
        <f ca="1">IF(ISERROR($V839),"",OFFSET('Smelter Look-up'!$C$4,$V839-4,0)&amp;"")</f>
        <v/>
      </c>
      <c r="S839" s="167" t="str">
        <f t="shared" ca="1" si="90"/>
        <v/>
      </c>
      <c r="T839" s="167" t="str">
        <f ca="1">IF(B839="","",IF(ISERROR(MATCH($J839,SorP!$B$1:$B$6230,0)),"",INDIRECT("'SorP'!$A$"&amp;MATCH($J839,SorP!$B$1:$B$6230,0))))</f>
        <v/>
      </c>
      <c r="U839" s="176"/>
      <c r="V839" s="177" t="e">
        <f>IF(C839="",NA(),IF(OR(C839="Smelter not listed",C839="Smelter not yet identified"),MATCH($B839&amp;$D839,'Smelter Look-up'!$J:$J,0),MATCH($B839&amp;$C839,'Smelter Look-up'!$J:$J,0)))</f>
        <v>#N/A</v>
      </c>
      <c r="X839" s="140">
        <f t="shared" ca="1" si="91"/>
        <v>0</v>
      </c>
      <c r="AB839" s="178" t="str">
        <f t="shared" si="92"/>
        <v/>
      </c>
    </row>
    <row r="840" spans="1:28" s="140" customFormat="1" ht="20.25">
      <c r="A840" s="167"/>
      <c r="B840" s="168" t="str">
        <f>IF(LEN(A840)=0,"",INDEX('Smelter Look-up'!$A:$A,MATCH($A840,'Smelter Look-up'!$E:$E,0)))</f>
        <v/>
      </c>
      <c r="C840" s="169" t="str">
        <f>IF(LEN(A840)=0,"",INDEX('Smelter Look-up'!$C:$C,MATCH($A840,'Smelter Look-up'!$E:$E,0)))</f>
        <v/>
      </c>
      <c r="D840" s="170"/>
      <c r="E840" s="168" t="str">
        <f ca="1">IF(ISERROR($V840),"",OFFSET('Smelter Look-up'!$D$4,$V840-4,0)&amp;"")</f>
        <v/>
      </c>
      <c r="F840" s="168" t="str">
        <f ca="1">IF(ISERROR($V840),"",OFFSET('Smelter Look-up'!$E$4,$V840-4,0))</f>
        <v/>
      </c>
      <c r="G840" s="168" t="str">
        <f ca="1">IF(C840=$X$4,IF(ISERROR($V840),"Enter smelter details","RMI"),IF(ISERROR($V840),"",OFFSET('Smelter Look-up'!$F$4,$V840-4,0)))</f>
        <v/>
      </c>
      <c r="H840" s="171" t="str">
        <f ca="1">IF(ISERROR($V840),"",OFFSET('Smelter Look-up'!$G$4,$V840-4,0))</f>
        <v/>
      </c>
      <c r="I840" s="172" t="str">
        <f ca="1">IF(ISERROR($V840),"",OFFSET('Smelter Look-up'!$H$4,$V840-4,0))</f>
        <v/>
      </c>
      <c r="J840" s="172" t="str">
        <f ca="1">IF(ISERROR($V840),"",OFFSET('Smelter Look-up'!$I$4,$V840-4,0))</f>
        <v/>
      </c>
      <c r="K840" s="173"/>
      <c r="L840" s="173"/>
      <c r="M840" s="173"/>
      <c r="N840" s="173"/>
      <c r="O840" s="173"/>
      <c r="P840" s="174"/>
      <c r="Q840" s="175"/>
      <c r="R840" s="168" t="str">
        <f ca="1">IF(ISERROR($V840),"",OFFSET('Smelter Look-up'!$C$4,$V840-4,0)&amp;"")</f>
        <v/>
      </c>
      <c r="S840" s="167" t="str">
        <f t="shared" ca="1" si="90"/>
        <v/>
      </c>
      <c r="T840" s="167" t="str">
        <f ca="1">IF(B840="","",IF(ISERROR(MATCH($J840,SorP!$B$1:$B$6230,0)),"",INDIRECT("'SorP'!$A$"&amp;MATCH($J840,SorP!$B$1:$B$6230,0))))</f>
        <v/>
      </c>
      <c r="U840" s="176"/>
      <c r="V840" s="177" t="e">
        <f>IF(C840="",NA(),IF(OR(C840="Smelter not listed",C840="Smelter not yet identified"),MATCH($B840&amp;$D840,'Smelter Look-up'!$J:$J,0),MATCH($B840&amp;$C840,'Smelter Look-up'!$J:$J,0)))</f>
        <v>#N/A</v>
      </c>
      <c r="X840" s="140">
        <f t="shared" ca="1" si="91"/>
        <v>0</v>
      </c>
      <c r="AB840" s="178" t="str">
        <f t="shared" si="92"/>
        <v/>
      </c>
    </row>
    <row r="841" spans="1:28" s="140" customFormat="1" ht="20.25">
      <c r="A841" s="167"/>
      <c r="B841" s="168" t="str">
        <f>IF(LEN(A841)=0,"",INDEX('Smelter Look-up'!$A:$A,MATCH($A841,'Smelter Look-up'!$E:$E,0)))</f>
        <v/>
      </c>
      <c r="C841" s="169" t="str">
        <f>IF(LEN(A841)=0,"",INDEX('Smelter Look-up'!$C:$C,MATCH($A841,'Smelter Look-up'!$E:$E,0)))</f>
        <v/>
      </c>
      <c r="D841" s="170"/>
      <c r="E841" s="168" t="str">
        <f ca="1">IF(ISERROR($V841),"",OFFSET('Smelter Look-up'!$D$4,$V841-4,0)&amp;"")</f>
        <v/>
      </c>
      <c r="F841" s="168" t="str">
        <f ca="1">IF(ISERROR($V841),"",OFFSET('Smelter Look-up'!$E$4,$V841-4,0))</f>
        <v/>
      </c>
      <c r="G841" s="168" t="str">
        <f ca="1">IF(C841=$X$4,IF(ISERROR($V841),"Enter smelter details","RMI"),IF(ISERROR($V841),"",OFFSET('Smelter Look-up'!$F$4,$V841-4,0)))</f>
        <v/>
      </c>
      <c r="H841" s="171" t="str">
        <f ca="1">IF(ISERROR($V841),"",OFFSET('Smelter Look-up'!$G$4,$V841-4,0))</f>
        <v/>
      </c>
      <c r="I841" s="172" t="str">
        <f ca="1">IF(ISERROR($V841),"",OFFSET('Smelter Look-up'!$H$4,$V841-4,0))</f>
        <v/>
      </c>
      <c r="J841" s="172" t="str">
        <f ca="1">IF(ISERROR($V841),"",OFFSET('Smelter Look-up'!$I$4,$V841-4,0))</f>
        <v/>
      </c>
      <c r="K841" s="173"/>
      <c r="L841" s="173"/>
      <c r="M841" s="173"/>
      <c r="N841" s="173"/>
      <c r="O841" s="173"/>
      <c r="P841" s="174"/>
      <c r="Q841" s="175"/>
      <c r="R841" s="168" t="str">
        <f ca="1">IF(ISERROR($V841),"",OFFSET('Smelter Look-up'!$C$4,$V841-4,0)&amp;"")</f>
        <v/>
      </c>
      <c r="S841" s="167" t="str">
        <f t="shared" ca="1" si="90"/>
        <v/>
      </c>
      <c r="T841" s="167" t="str">
        <f ca="1">IF(B841="","",IF(ISERROR(MATCH($J841,SorP!$B$1:$B$6230,0)),"",INDIRECT("'SorP'!$A$"&amp;MATCH($J841,SorP!$B$1:$B$6230,0))))</f>
        <v/>
      </c>
      <c r="U841" s="176"/>
      <c r="V841" s="177" t="e">
        <f>IF(C841="",NA(),IF(OR(C841="Smelter not listed",C841="Smelter not yet identified"),MATCH($B841&amp;$D841,'Smelter Look-up'!$J:$J,0),MATCH($B841&amp;$C841,'Smelter Look-up'!$J:$J,0)))</f>
        <v>#N/A</v>
      </c>
      <c r="X841" s="140">
        <f t="shared" ca="1" si="91"/>
        <v>0</v>
      </c>
      <c r="AB841" s="178" t="str">
        <f t="shared" si="92"/>
        <v/>
      </c>
    </row>
    <row r="842" spans="1:28" s="140" customFormat="1" ht="20.25">
      <c r="A842" s="167"/>
      <c r="B842" s="168" t="str">
        <f>IF(LEN(A842)=0,"",INDEX('Smelter Look-up'!$A:$A,MATCH($A842,'Smelter Look-up'!$E:$E,0)))</f>
        <v/>
      </c>
      <c r="C842" s="169" t="str">
        <f>IF(LEN(A842)=0,"",INDEX('Smelter Look-up'!$C:$C,MATCH($A842,'Smelter Look-up'!$E:$E,0)))</f>
        <v/>
      </c>
      <c r="D842" s="170"/>
      <c r="E842" s="168" t="str">
        <f ca="1">IF(ISERROR($V842),"",OFFSET('Smelter Look-up'!$D$4,$V842-4,0)&amp;"")</f>
        <v/>
      </c>
      <c r="F842" s="168" t="str">
        <f ca="1">IF(ISERROR($V842),"",OFFSET('Smelter Look-up'!$E$4,$V842-4,0))</f>
        <v/>
      </c>
      <c r="G842" s="168" t="str">
        <f ca="1">IF(C842=$X$4,IF(ISERROR($V842),"Enter smelter details","RMI"),IF(ISERROR($V842),"",OFFSET('Smelter Look-up'!$F$4,$V842-4,0)))</f>
        <v/>
      </c>
      <c r="H842" s="171" t="str">
        <f ca="1">IF(ISERROR($V842),"",OFFSET('Smelter Look-up'!$G$4,$V842-4,0))</f>
        <v/>
      </c>
      <c r="I842" s="172" t="str">
        <f ca="1">IF(ISERROR($V842),"",OFFSET('Smelter Look-up'!$H$4,$V842-4,0))</f>
        <v/>
      </c>
      <c r="J842" s="172" t="str">
        <f ca="1">IF(ISERROR($V842),"",OFFSET('Smelter Look-up'!$I$4,$V842-4,0))</f>
        <v/>
      </c>
      <c r="K842" s="173"/>
      <c r="L842" s="173"/>
      <c r="M842" s="173"/>
      <c r="N842" s="173"/>
      <c r="O842" s="173"/>
      <c r="P842" s="174"/>
      <c r="Q842" s="175"/>
      <c r="R842" s="168" t="str">
        <f ca="1">IF(ISERROR($V842),"",OFFSET('Smelter Look-up'!$C$4,$V842-4,0)&amp;"")</f>
        <v/>
      </c>
      <c r="S842" s="167" t="str">
        <f t="shared" ca="1" si="90"/>
        <v/>
      </c>
      <c r="T842" s="167" t="str">
        <f ca="1">IF(B842="","",IF(ISERROR(MATCH($J842,SorP!$B$1:$B$6230,0)),"",INDIRECT("'SorP'!$A$"&amp;MATCH($J842,SorP!$B$1:$B$6230,0))))</f>
        <v/>
      </c>
      <c r="U842" s="176"/>
      <c r="V842" s="177" t="e">
        <f>IF(C842="",NA(),IF(OR(C842="Smelter not listed",C842="Smelter not yet identified"),MATCH($B842&amp;$D842,'Smelter Look-up'!$J:$J,0),MATCH($B842&amp;$C842,'Smelter Look-up'!$J:$J,0)))</f>
        <v>#N/A</v>
      </c>
      <c r="X842" s="140">
        <f t="shared" ca="1" si="91"/>
        <v>0</v>
      </c>
      <c r="AB842" s="178" t="str">
        <f t="shared" si="92"/>
        <v/>
      </c>
    </row>
    <row r="843" spans="1:28" s="140" customFormat="1" ht="20.25">
      <c r="A843" s="167"/>
      <c r="B843" s="168" t="str">
        <f>IF(LEN(A843)=0,"",INDEX('Smelter Look-up'!$A:$A,MATCH($A843,'Smelter Look-up'!$E:$E,0)))</f>
        <v/>
      </c>
      <c r="C843" s="169" t="str">
        <f>IF(LEN(A843)=0,"",INDEX('Smelter Look-up'!$C:$C,MATCH($A843,'Smelter Look-up'!$E:$E,0)))</f>
        <v/>
      </c>
      <c r="D843" s="170"/>
      <c r="E843" s="168" t="str">
        <f ca="1">IF(ISERROR($V843),"",OFFSET('Smelter Look-up'!$D$4,$V843-4,0)&amp;"")</f>
        <v/>
      </c>
      <c r="F843" s="168" t="str">
        <f ca="1">IF(ISERROR($V843),"",OFFSET('Smelter Look-up'!$E$4,$V843-4,0))</f>
        <v/>
      </c>
      <c r="G843" s="168" t="str">
        <f ca="1">IF(C843=$X$4,IF(ISERROR($V843),"Enter smelter details","RMI"),IF(ISERROR($V843),"",OFFSET('Smelter Look-up'!$F$4,$V843-4,0)))</f>
        <v/>
      </c>
      <c r="H843" s="171" t="str">
        <f ca="1">IF(ISERROR($V843),"",OFFSET('Smelter Look-up'!$G$4,$V843-4,0))</f>
        <v/>
      </c>
      <c r="I843" s="172" t="str">
        <f ca="1">IF(ISERROR($V843),"",OFFSET('Smelter Look-up'!$H$4,$V843-4,0))</f>
        <v/>
      </c>
      <c r="J843" s="172" t="str">
        <f ca="1">IF(ISERROR($V843),"",OFFSET('Smelter Look-up'!$I$4,$V843-4,0))</f>
        <v/>
      </c>
      <c r="K843" s="173"/>
      <c r="L843" s="173"/>
      <c r="M843" s="173"/>
      <c r="N843" s="173"/>
      <c r="O843" s="173"/>
      <c r="P843" s="174"/>
      <c r="Q843" s="175"/>
      <c r="R843" s="168" t="str">
        <f ca="1">IF(ISERROR($V843),"",OFFSET('Smelter Look-up'!$C$4,$V843-4,0)&amp;"")</f>
        <v/>
      </c>
      <c r="S843" s="167" t="str">
        <f t="shared" ca="1" si="90"/>
        <v/>
      </c>
      <c r="T843" s="167" t="str">
        <f ca="1">IF(B843="","",IF(ISERROR(MATCH($J843,SorP!$B$1:$B$6230,0)),"",INDIRECT("'SorP'!$A$"&amp;MATCH($J843,SorP!$B$1:$B$6230,0))))</f>
        <v/>
      </c>
      <c r="U843" s="176"/>
      <c r="V843" s="177" t="e">
        <f>IF(C843="",NA(),IF(OR(C843="Smelter not listed",C843="Smelter not yet identified"),MATCH($B843&amp;$D843,'Smelter Look-up'!$J:$J,0),MATCH($B843&amp;$C843,'Smelter Look-up'!$J:$J,0)))</f>
        <v>#N/A</v>
      </c>
      <c r="X843" s="140">
        <f t="shared" ca="1" si="91"/>
        <v>0</v>
      </c>
      <c r="AB843" s="178" t="str">
        <f t="shared" si="92"/>
        <v/>
      </c>
    </row>
    <row r="844" spans="1:28" s="140" customFormat="1" ht="20.25">
      <c r="A844" s="167"/>
      <c r="B844" s="168" t="str">
        <f>IF(LEN(A844)=0,"",INDEX('Smelter Look-up'!$A:$A,MATCH($A844,'Smelter Look-up'!$E:$E,0)))</f>
        <v/>
      </c>
      <c r="C844" s="169" t="str">
        <f>IF(LEN(A844)=0,"",INDEX('Smelter Look-up'!$C:$C,MATCH($A844,'Smelter Look-up'!$E:$E,0)))</f>
        <v/>
      </c>
      <c r="D844" s="170"/>
      <c r="E844" s="168" t="str">
        <f ca="1">IF(ISERROR($V844),"",OFFSET('Smelter Look-up'!$D$4,$V844-4,0)&amp;"")</f>
        <v/>
      </c>
      <c r="F844" s="168" t="str">
        <f ca="1">IF(ISERROR($V844),"",OFFSET('Smelter Look-up'!$E$4,$V844-4,0))</f>
        <v/>
      </c>
      <c r="G844" s="168" t="str">
        <f ca="1">IF(C844=$X$4,IF(ISERROR($V844),"Enter smelter details","RMI"),IF(ISERROR($V844),"",OFFSET('Smelter Look-up'!$F$4,$V844-4,0)))</f>
        <v/>
      </c>
      <c r="H844" s="171" t="str">
        <f ca="1">IF(ISERROR($V844),"",OFFSET('Smelter Look-up'!$G$4,$V844-4,0))</f>
        <v/>
      </c>
      <c r="I844" s="172" t="str">
        <f ca="1">IF(ISERROR($V844),"",OFFSET('Smelter Look-up'!$H$4,$V844-4,0))</f>
        <v/>
      </c>
      <c r="J844" s="172" t="str">
        <f ca="1">IF(ISERROR($V844),"",OFFSET('Smelter Look-up'!$I$4,$V844-4,0))</f>
        <v/>
      </c>
      <c r="K844" s="173"/>
      <c r="L844" s="173"/>
      <c r="M844" s="173"/>
      <c r="N844" s="173"/>
      <c r="O844" s="173"/>
      <c r="P844" s="174"/>
      <c r="Q844" s="175"/>
      <c r="R844" s="168" t="str">
        <f ca="1">IF(ISERROR($V844),"",OFFSET('Smelter Look-up'!$C$4,$V844-4,0)&amp;"")</f>
        <v/>
      </c>
      <c r="S844" s="167" t="str">
        <f t="shared" ca="1" si="90"/>
        <v/>
      </c>
      <c r="T844" s="167" t="str">
        <f ca="1">IF(B844="","",IF(ISERROR(MATCH($J844,SorP!$B$1:$B$6230,0)),"",INDIRECT("'SorP'!$A$"&amp;MATCH($J844,SorP!$B$1:$B$6230,0))))</f>
        <v/>
      </c>
      <c r="U844" s="176"/>
      <c r="V844" s="177" t="e">
        <f>IF(C844="",NA(),IF(OR(C844="Smelter not listed",C844="Smelter not yet identified"),MATCH($B844&amp;$D844,'Smelter Look-up'!$J:$J,0),MATCH($B844&amp;$C844,'Smelter Look-up'!$J:$J,0)))</f>
        <v>#N/A</v>
      </c>
      <c r="X844" s="140">
        <f t="shared" ca="1" si="91"/>
        <v>0</v>
      </c>
      <c r="AB844" s="178" t="str">
        <f t="shared" si="92"/>
        <v/>
      </c>
    </row>
    <row r="845" spans="1:28" s="140" customFormat="1" ht="20.25">
      <c r="A845" s="167"/>
      <c r="B845" s="168" t="str">
        <f>IF(LEN(A845)=0,"",INDEX('Smelter Look-up'!$A:$A,MATCH($A845,'Smelter Look-up'!$E:$E,0)))</f>
        <v/>
      </c>
      <c r="C845" s="169" t="str">
        <f>IF(LEN(A845)=0,"",INDEX('Smelter Look-up'!$C:$C,MATCH($A845,'Smelter Look-up'!$E:$E,0)))</f>
        <v/>
      </c>
      <c r="D845" s="170"/>
      <c r="E845" s="168" t="str">
        <f ca="1">IF(ISERROR($V845),"",OFFSET('Smelter Look-up'!$D$4,$V845-4,0)&amp;"")</f>
        <v/>
      </c>
      <c r="F845" s="168" t="str">
        <f ca="1">IF(ISERROR($V845),"",OFFSET('Smelter Look-up'!$E$4,$V845-4,0))</f>
        <v/>
      </c>
      <c r="G845" s="168" t="str">
        <f ca="1">IF(C845=$X$4,IF(ISERROR($V845),"Enter smelter details","RMI"),IF(ISERROR($V845),"",OFFSET('Smelter Look-up'!$F$4,$V845-4,0)))</f>
        <v/>
      </c>
      <c r="H845" s="171" t="str">
        <f ca="1">IF(ISERROR($V845),"",OFFSET('Smelter Look-up'!$G$4,$V845-4,0))</f>
        <v/>
      </c>
      <c r="I845" s="172" t="str">
        <f ca="1">IF(ISERROR($V845),"",OFFSET('Smelter Look-up'!$H$4,$V845-4,0))</f>
        <v/>
      </c>
      <c r="J845" s="172" t="str">
        <f ca="1">IF(ISERROR($V845),"",OFFSET('Smelter Look-up'!$I$4,$V845-4,0))</f>
        <v/>
      </c>
      <c r="K845" s="173"/>
      <c r="L845" s="173"/>
      <c r="M845" s="173"/>
      <c r="N845" s="173"/>
      <c r="O845" s="173"/>
      <c r="P845" s="174"/>
      <c r="Q845" s="175"/>
      <c r="R845" s="168" t="str">
        <f ca="1">IF(ISERROR($V845),"",OFFSET('Smelter Look-up'!$C$4,$V845-4,0)&amp;"")</f>
        <v/>
      </c>
      <c r="S845" s="167" t="str">
        <f t="shared" ca="1" si="90"/>
        <v/>
      </c>
      <c r="T845" s="167" t="str">
        <f ca="1">IF(B845="","",IF(ISERROR(MATCH($J845,SorP!$B$1:$B$6230,0)),"",INDIRECT("'SorP'!$A$"&amp;MATCH($J845,SorP!$B$1:$B$6230,0))))</f>
        <v/>
      </c>
      <c r="U845" s="176"/>
      <c r="V845" s="177" t="e">
        <f>IF(C845="",NA(),IF(OR(C845="Smelter not listed",C845="Smelter not yet identified"),MATCH($B845&amp;$D845,'Smelter Look-up'!$J:$J,0),MATCH($B845&amp;$C845,'Smelter Look-up'!$J:$J,0)))</f>
        <v>#N/A</v>
      </c>
      <c r="X845" s="140">
        <f t="shared" ca="1" si="91"/>
        <v>0</v>
      </c>
      <c r="AB845" s="178" t="str">
        <f t="shared" si="92"/>
        <v/>
      </c>
    </row>
    <row r="846" spans="1:28" s="140" customFormat="1" ht="20.25">
      <c r="A846" s="167"/>
      <c r="B846" s="168" t="str">
        <f>IF(LEN(A846)=0,"",INDEX('Smelter Look-up'!$A:$A,MATCH($A846,'Smelter Look-up'!$E:$E,0)))</f>
        <v/>
      </c>
      <c r="C846" s="169" t="str">
        <f>IF(LEN(A846)=0,"",INDEX('Smelter Look-up'!$C:$C,MATCH($A846,'Smelter Look-up'!$E:$E,0)))</f>
        <v/>
      </c>
      <c r="D846" s="170"/>
      <c r="E846" s="168" t="str">
        <f ca="1">IF(ISERROR($V846),"",OFFSET('Smelter Look-up'!$D$4,$V846-4,0)&amp;"")</f>
        <v/>
      </c>
      <c r="F846" s="168" t="str">
        <f ca="1">IF(ISERROR($V846),"",OFFSET('Smelter Look-up'!$E$4,$V846-4,0))</f>
        <v/>
      </c>
      <c r="G846" s="168" t="str">
        <f ca="1">IF(C846=$X$4,IF(ISERROR($V846),"Enter smelter details","RMI"),IF(ISERROR($V846),"",OFFSET('Smelter Look-up'!$F$4,$V846-4,0)))</f>
        <v/>
      </c>
      <c r="H846" s="171" t="str">
        <f ca="1">IF(ISERROR($V846),"",OFFSET('Smelter Look-up'!$G$4,$V846-4,0))</f>
        <v/>
      </c>
      <c r="I846" s="172" t="str">
        <f ca="1">IF(ISERROR($V846),"",OFFSET('Smelter Look-up'!$H$4,$V846-4,0))</f>
        <v/>
      </c>
      <c r="J846" s="172" t="str">
        <f ca="1">IF(ISERROR($V846),"",OFFSET('Smelter Look-up'!$I$4,$V846-4,0))</f>
        <v/>
      </c>
      <c r="K846" s="173"/>
      <c r="L846" s="173"/>
      <c r="M846" s="173"/>
      <c r="N846" s="173"/>
      <c r="O846" s="173"/>
      <c r="P846" s="174"/>
      <c r="Q846" s="175"/>
      <c r="R846" s="168" t="str">
        <f ca="1">IF(ISERROR($V846),"",OFFSET('Smelter Look-up'!$C$4,$V846-4,0)&amp;"")</f>
        <v/>
      </c>
      <c r="S846" s="167" t="str">
        <f t="shared" ca="1" si="90"/>
        <v/>
      </c>
      <c r="T846" s="167" t="str">
        <f ca="1">IF(B846="","",IF(ISERROR(MATCH($J846,SorP!$B$1:$B$6230,0)),"",INDIRECT("'SorP'!$A$"&amp;MATCH($J846,SorP!$B$1:$B$6230,0))))</f>
        <v/>
      </c>
      <c r="U846" s="176"/>
      <c r="V846" s="177" t="e">
        <f>IF(C846="",NA(),IF(OR(C846="Smelter not listed",C846="Smelter not yet identified"),MATCH($B846&amp;$D846,'Smelter Look-up'!$J:$J,0),MATCH($B846&amp;$C846,'Smelter Look-up'!$J:$J,0)))</f>
        <v>#N/A</v>
      </c>
      <c r="X846" s="140">
        <f t="shared" ca="1" si="91"/>
        <v>0</v>
      </c>
      <c r="AB846" s="178" t="str">
        <f t="shared" si="92"/>
        <v/>
      </c>
    </row>
    <row r="847" spans="1:28" s="140" customFormat="1" ht="20.25">
      <c r="A847" s="167"/>
      <c r="B847" s="168" t="str">
        <f>IF(LEN(A847)=0,"",INDEX('Smelter Look-up'!$A:$A,MATCH($A847,'Smelter Look-up'!$E:$E,0)))</f>
        <v/>
      </c>
      <c r="C847" s="169" t="str">
        <f>IF(LEN(A847)=0,"",INDEX('Smelter Look-up'!$C:$C,MATCH($A847,'Smelter Look-up'!$E:$E,0)))</f>
        <v/>
      </c>
      <c r="D847" s="170"/>
      <c r="E847" s="168" t="str">
        <f ca="1">IF(ISERROR($V847),"",OFFSET('Smelter Look-up'!$D$4,$V847-4,0)&amp;"")</f>
        <v/>
      </c>
      <c r="F847" s="168" t="str">
        <f ca="1">IF(ISERROR($V847),"",OFFSET('Smelter Look-up'!$E$4,$V847-4,0))</f>
        <v/>
      </c>
      <c r="G847" s="168" t="str">
        <f ca="1">IF(C847=$X$4,IF(ISERROR($V847),"Enter smelter details","RMI"),IF(ISERROR($V847),"",OFFSET('Smelter Look-up'!$F$4,$V847-4,0)))</f>
        <v/>
      </c>
      <c r="H847" s="171" t="str">
        <f ca="1">IF(ISERROR($V847),"",OFFSET('Smelter Look-up'!$G$4,$V847-4,0))</f>
        <v/>
      </c>
      <c r="I847" s="172" t="str">
        <f ca="1">IF(ISERROR($V847),"",OFFSET('Smelter Look-up'!$H$4,$V847-4,0))</f>
        <v/>
      </c>
      <c r="J847" s="172" t="str">
        <f ca="1">IF(ISERROR($V847),"",OFFSET('Smelter Look-up'!$I$4,$V847-4,0))</f>
        <v/>
      </c>
      <c r="K847" s="173"/>
      <c r="L847" s="173"/>
      <c r="M847" s="173"/>
      <c r="N847" s="173"/>
      <c r="O847" s="173"/>
      <c r="P847" s="174"/>
      <c r="Q847" s="175"/>
      <c r="R847" s="168" t="str">
        <f ca="1">IF(ISERROR($V847),"",OFFSET('Smelter Look-up'!$C$4,$V847-4,0)&amp;"")</f>
        <v/>
      </c>
      <c r="S847" s="167" t="str">
        <f t="shared" ca="1" si="90"/>
        <v/>
      </c>
      <c r="T847" s="167" t="str">
        <f ca="1">IF(B847="","",IF(ISERROR(MATCH($J847,SorP!$B$1:$B$6230,0)),"",INDIRECT("'SorP'!$A$"&amp;MATCH($J847,SorP!$B$1:$B$6230,0))))</f>
        <v/>
      </c>
      <c r="U847" s="176"/>
      <c r="V847" s="177" t="e">
        <f>IF(C847="",NA(),IF(OR(C847="Smelter not listed",C847="Smelter not yet identified"),MATCH($B847&amp;$D847,'Smelter Look-up'!$J:$J,0),MATCH($B847&amp;$C847,'Smelter Look-up'!$J:$J,0)))</f>
        <v>#N/A</v>
      </c>
      <c r="X847" s="140">
        <f t="shared" ca="1" si="91"/>
        <v>0</v>
      </c>
      <c r="AB847" s="178" t="str">
        <f t="shared" si="92"/>
        <v/>
      </c>
    </row>
    <row r="848" spans="1:28" s="140" customFormat="1" ht="20.25">
      <c r="A848" s="167"/>
      <c r="B848" s="168" t="str">
        <f>IF(LEN(A848)=0,"",INDEX('Smelter Look-up'!$A:$A,MATCH($A848,'Smelter Look-up'!$E:$E,0)))</f>
        <v/>
      </c>
      <c r="C848" s="169" t="str">
        <f>IF(LEN(A848)=0,"",INDEX('Smelter Look-up'!$C:$C,MATCH($A848,'Smelter Look-up'!$E:$E,0)))</f>
        <v/>
      </c>
      <c r="D848" s="170"/>
      <c r="E848" s="168" t="str">
        <f ca="1">IF(ISERROR($V848),"",OFFSET('Smelter Look-up'!$D$4,$V848-4,0)&amp;"")</f>
        <v/>
      </c>
      <c r="F848" s="168" t="str">
        <f ca="1">IF(ISERROR($V848),"",OFFSET('Smelter Look-up'!$E$4,$V848-4,0))</f>
        <v/>
      </c>
      <c r="G848" s="168" t="str">
        <f ca="1">IF(C848=$X$4,IF(ISERROR($V848),"Enter smelter details","RMI"),IF(ISERROR($V848),"",OFFSET('Smelter Look-up'!$F$4,$V848-4,0)))</f>
        <v/>
      </c>
      <c r="H848" s="171" t="str">
        <f ca="1">IF(ISERROR($V848),"",OFFSET('Smelter Look-up'!$G$4,$V848-4,0))</f>
        <v/>
      </c>
      <c r="I848" s="172" t="str">
        <f ca="1">IF(ISERROR($V848),"",OFFSET('Smelter Look-up'!$H$4,$V848-4,0))</f>
        <v/>
      </c>
      <c r="J848" s="172" t="str">
        <f ca="1">IF(ISERROR($V848),"",OFFSET('Smelter Look-up'!$I$4,$V848-4,0))</f>
        <v/>
      </c>
      <c r="K848" s="173"/>
      <c r="L848" s="173"/>
      <c r="M848" s="173"/>
      <c r="N848" s="173"/>
      <c r="O848" s="173"/>
      <c r="P848" s="174"/>
      <c r="Q848" s="175"/>
      <c r="R848" s="168" t="str">
        <f ca="1">IF(ISERROR($V848),"",OFFSET('Smelter Look-up'!$C$4,$V848-4,0)&amp;"")</f>
        <v/>
      </c>
      <c r="S848" s="167" t="str">
        <f t="shared" ca="1" si="90"/>
        <v/>
      </c>
      <c r="T848" s="167" t="str">
        <f ca="1">IF(B848="","",IF(ISERROR(MATCH($J848,SorP!$B$1:$B$6230,0)),"",INDIRECT("'SorP'!$A$"&amp;MATCH($J848,SorP!$B$1:$B$6230,0))))</f>
        <v/>
      </c>
      <c r="U848" s="176"/>
      <c r="V848" s="177" t="e">
        <f>IF(C848="",NA(),IF(OR(C848="Smelter not listed",C848="Smelter not yet identified"),MATCH($B848&amp;$D848,'Smelter Look-up'!$J:$J,0),MATCH($B848&amp;$C848,'Smelter Look-up'!$J:$J,0)))</f>
        <v>#N/A</v>
      </c>
      <c r="X848" s="140">
        <f t="shared" ca="1" si="91"/>
        <v>0</v>
      </c>
      <c r="AB848" s="178" t="str">
        <f t="shared" si="92"/>
        <v/>
      </c>
    </row>
    <row r="849" spans="1:28" s="140" customFormat="1" ht="20.25">
      <c r="A849" s="167"/>
      <c r="B849" s="168" t="str">
        <f>IF(LEN(A849)=0,"",INDEX('Smelter Look-up'!$A:$A,MATCH($A849,'Smelter Look-up'!$E:$E,0)))</f>
        <v/>
      </c>
      <c r="C849" s="169" t="str">
        <f>IF(LEN(A849)=0,"",INDEX('Smelter Look-up'!$C:$C,MATCH($A849,'Smelter Look-up'!$E:$E,0)))</f>
        <v/>
      </c>
      <c r="D849" s="170"/>
      <c r="E849" s="168" t="str">
        <f ca="1">IF(ISERROR($V849),"",OFFSET('Smelter Look-up'!$D$4,$V849-4,0)&amp;"")</f>
        <v/>
      </c>
      <c r="F849" s="168" t="str">
        <f ca="1">IF(ISERROR($V849),"",OFFSET('Smelter Look-up'!$E$4,$V849-4,0))</f>
        <v/>
      </c>
      <c r="G849" s="168" t="str">
        <f ca="1">IF(C849=$X$4,IF(ISERROR($V849),"Enter smelter details","RMI"),IF(ISERROR($V849),"",OFFSET('Smelter Look-up'!$F$4,$V849-4,0)))</f>
        <v/>
      </c>
      <c r="H849" s="171" t="str">
        <f ca="1">IF(ISERROR($V849),"",OFFSET('Smelter Look-up'!$G$4,$V849-4,0))</f>
        <v/>
      </c>
      <c r="I849" s="172" t="str">
        <f ca="1">IF(ISERROR($V849),"",OFFSET('Smelter Look-up'!$H$4,$V849-4,0))</f>
        <v/>
      </c>
      <c r="J849" s="172" t="str">
        <f ca="1">IF(ISERROR($V849),"",OFFSET('Smelter Look-up'!$I$4,$V849-4,0))</f>
        <v/>
      </c>
      <c r="K849" s="173"/>
      <c r="L849" s="173"/>
      <c r="M849" s="173"/>
      <c r="N849" s="173"/>
      <c r="O849" s="173"/>
      <c r="P849" s="174"/>
      <c r="Q849" s="175"/>
      <c r="R849" s="168" t="str">
        <f ca="1">IF(ISERROR($V849),"",OFFSET('Smelter Look-up'!$C$4,$V849-4,0)&amp;"")</f>
        <v/>
      </c>
      <c r="S849" s="167" t="str">
        <f t="shared" ca="1" si="90"/>
        <v/>
      </c>
      <c r="T849" s="167" t="str">
        <f ca="1">IF(B849="","",IF(ISERROR(MATCH($J849,SorP!$B$1:$B$6230,0)),"",INDIRECT("'SorP'!$A$"&amp;MATCH($J849,SorP!$B$1:$B$6230,0))))</f>
        <v/>
      </c>
      <c r="U849" s="176"/>
      <c r="V849" s="177" t="e">
        <f>IF(C849="",NA(),IF(OR(C849="Smelter not listed",C849="Smelter not yet identified"),MATCH($B849&amp;$D849,'Smelter Look-up'!$J:$J,0),MATCH($B849&amp;$C849,'Smelter Look-up'!$J:$J,0)))</f>
        <v>#N/A</v>
      </c>
      <c r="X849" s="140">
        <f t="shared" ca="1" si="91"/>
        <v>0</v>
      </c>
      <c r="AB849" s="178" t="str">
        <f t="shared" si="92"/>
        <v/>
      </c>
    </row>
    <row r="850" spans="1:28" s="140" customFormat="1" ht="20.25">
      <c r="A850" s="167"/>
      <c r="B850" s="168" t="str">
        <f>IF(LEN(A850)=0,"",INDEX('Smelter Look-up'!$A:$A,MATCH($A850,'Smelter Look-up'!$E:$E,0)))</f>
        <v/>
      </c>
      <c r="C850" s="169" t="str">
        <f>IF(LEN(A850)=0,"",INDEX('Smelter Look-up'!$C:$C,MATCH($A850,'Smelter Look-up'!$E:$E,0)))</f>
        <v/>
      </c>
      <c r="D850" s="170"/>
      <c r="E850" s="168" t="str">
        <f ca="1">IF(ISERROR($V850),"",OFFSET('Smelter Look-up'!$D$4,$V850-4,0)&amp;"")</f>
        <v/>
      </c>
      <c r="F850" s="168" t="str">
        <f ca="1">IF(ISERROR($V850),"",OFFSET('Smelter Look-up'!$E$4,$V850-4,0))</f>
        <v/>
      </c>
      <c r="G850" s="168" t="str">
        <f ca="1">IF(C850=$X$4,IF(ISERROR($V850),"Enter smelter details","RMI"),IF(ISERROR($V850),"",OFFSET('Smelter Look-up'!$F$4,$V850-4,0)))</f>
        <v/>
      </c>
      <c r="H850" s="171" t="str">
        <f ca="1">IF(ISERROR($V850),"",OFFSET('Smelter Look-up'!$G$4,$V850-4,0))</f>
        <v/>
      </c>
      <c r="I850" s="172" t="str">
        <f ca="1">IF(ISERROR($V850),"",OFFSET('Smelter Look-up'!$H$4,$V850-4,0))</f>
        <v/>
      </c>
      <c r="J850" s="172" t="str">
        <f ca="1">IF(ISERROR($V850),"",OFFSET('Smelter Look-up'!$I$4,$V850-4,0))</f>
        <v/>
      </c>
      <c r="K850" s="173"/>
      <c r="L850" s="173"/>
      <c r="M850" s="173"/>
      <c r="N850" s="173"/>
      <c r="O850" s="173"/>
      <c r="P850" s="174"/>
      <c r="Q850" s="175"/>
      <c r="R850" s="168" t="str">
        <f ca="1">IF(ISERROR($V850),"",OFFSET('Smelter Look-up'!$C$4,$V850-4,0)&amp;"")</f>
        <v/>
      </c>
      <c r="S850" s="167" t="str">
        <f t="shared" ca="1" si="90"/>
        <v/>
      </c>
      <c r="T850" s="167" t="str">
        <f ca="1">IF(B850="","",IF(ISERROR(MATCH($J850,SorP!$B$1:$B$6230,0)),"",INDIRECT("'SorP'!$A$"&amp;MATCH($J850,SorP!$B$1:$B$6230,0))))</f>
        <v/>
      </c>
      <c r="U850" s="176"/>
      <c r="V850" s="177" t="e">
        <f>IF(C850="",NA(),IF(OR(C850="Smelter not listed",C850="Smelter not yet identified"),MATCH($B850&amp;$D850,'Smelter Look-up'!$J:$J,0),MATCH($B850&amp;$C850,'Smelter Look-up'!$J:$J,0)))</f>
        <v>#N/A</v>
      </c>
      <c r="X850" s="140">
        <f t="shared" ca="1" si="91"/>
        <v>0</v>
      </c>
      <c r="AB850" s="178" t="str">
        <f t="shared" si="92"/>
        <v/>
      </c>
    </row>
    <row r="851" spans="1:28" s="140" customFormat="1" ht="20.25">
      <c r="A851" s="167"/>
      <c r="B851" s="168" t="str">
        <f>IF(LEN(A851)=0,"",INDEX('Smelter Look-up'!$A:$A,MATCH($A851,'Smelter Look-up'!$E:$E,0)))</f>
        <v/>
      </c>
      <c r="C851" s="169" t="str">
        <f>IF(LEN(A851)=0,"",INDEX('Smelter Look-up'!$C:$C,MATCH($A851,'Smelter Look-up'!$E:$E,0)))</f>
        <v/>
      </c>
      <c r="D851" s="170"/>
      <c r="E851" s="168" t="str">
        <f ca="1">IF(ISERROR($V851),"",OFFSET('Smelter Look-up'!$D$4,$V851-4,0)&amp;"")</f>
        <v/>
      </c>
      <c r="F851" s="168" t="str">
        <f ca="1">IF(ISERROR($V851),"",OFFSET('Smelter Look-up'!$E$4,$V851-4,0))</f>
        <v/>
      </c>
      <c r="G851" s="168" t="str">
        <f ca="1">IF(C851=$X$4,IF(ISERROR($V851),"Enter smelter details","RMI"),IF(ISERROR($V851),"",OFFSET('Smelter Look-up'!$F$4,$V851-4,0)))</f>
        <v/>
      </c>
      <c r="H851" s="171" t="str">
        <f ca="1">IF(ISERROR($V851),"",OFFSET('Smelter Look-up'!$G$4,$V851-4,0))</f>
        <v/>
      </c>
      <c r="I851" s="172" t="str">
        <f ca="1">IF(ISERROR($V851),"",OFFSET('Smelter Look-up'!$H$4,$V851-4,0))</f>
        <v/>
      </c>
      <c r="J851" s="172" t="str">
        <f ca="1">IF(ISERROR($V851),"",OFFSET('Smelter Look-up'!$I$4,$V851-4,0))</f>
        <v/>
      </c>
      <c r="K851" s="173"/>
      <c r="L851" s="173"/>
      <c r="M851" s="173"/>
      <c r="N851" s="173"/>
      <c r="O851" s="173"/>
      <c r="P851" s="174"/>
      <c r="Q851" s="175"/>
      <c r="R851" s="168" t="str">
        <f ca="1">IF(ISERROR($V851),"",OFFSET('Smelter Look-up'!$C$4,$V851-4,0)&amp;"")</f>
        <v/>
      </c>
      <c r="S851" s="167" t="str">
        <f t="shared" ca="1" si="90"/>
        <v/>
      </c>
      <c r="T851" s="167" t="str">
        <f ca="1">IF(B851="","",IF(ISERROR(MATCH($J851,SorP!$B$1:$B$6230,0)),"",INDIRECT("'SorP'!$A$"&amp;MATCH($J851,SorP!$B$1:$B$6230,0))))</f>
        <v/>
      </c>
      <c r="U851" s="176"/>
      <c r="V851" s="177" t="e">
        <f>IF(C851="",NA(),IF(OR(C851="Smelter not listed",C851="Smelter not yet identified"),MATCH($B851&amp;$D851,'Smelter Look-up'!$J:$J,0),MATCH($B851&amp;$C851,'Smelter Look-up'!$J:$J,0)))</f>
        <v>#N/A</v>
      </c>
      <c r="X851" s="140">
        <f t="shared" ca="1" si="91"/>
        <v>0</v>
      </c>
      <c r="AB851" s="178" t="str">
        <f t="shared" si="92"/>
        <v/>
      </c>
    </row>
    <row r="852" spans="1:28" s="140" customFormat="1" ht="20.25">
      <c r="A852" s="167"/>
      <c r="B852" s="168" t="str">
        <f>IF(LEN(A852)=0,"",INDEX('Smelter Look-up'!$A:$A,MATCH($A852,'Smelter Look-up'!$E:$E,0)))</f>
        <v/>
      </c>
      <c r="C852" s="169" t="str">
        <f>IF(LEN(A852)=0,"",INDEX('Smelter Look-up'!$C:$C,MATCH($A852,'Smelter Look-up'!$E:$E,0)))</f>
        <v/>
      </c>
      <c r="D852" s="170"/>
      <c r="E852" s="168" t="str">
        <f ca="1">IF(ISERROR($V852),"",OFFSET('Smelter Look-up'!$D$4,$V852-4,0)&amp;"")</f>
        <v/>
      </c>
      <c r="F852" s="168" t="str">
        <f ca="1">IF(ISERROR($V852),"",OFFSET('Smelter Look-up'!$E$4,$V852-4,0))</f>
        <v/>
      </c>
      <c r="G852" s="168" t="str">
        <f ca="1">IF(C852=$X$4,IF(ISERROR($V852),"Enter smelter details","RMI"),IF(ISERROR($V852),"",OFFSET('Smelter Look-up'!$F$4,$V852-4,0)))</f>
        <v/>
      </c>
      <c r="H852" s="171" t="str">
        <f ca="1">IF(ISERROR($V852),"",OFFSET('Smelter Look-up'!$G$4,$V852-4,0))</f>
        <v/>
      </c>
      <c r="I852" s="172" t="str">
        <f ca="1">IF(ISERROR($V852),"",OFFSET('Smelter Look-up'!$H$4,$V852-4,0))</f>
        <v/>
      </c>
      <c r="J852" s="172" t="str">
        <f ca="1">IF(ISERROR($V852),"",OFFSET('Smelter Look-up'!$I$4,$V852-4,0))</f>
        <v/>
      </c>
      <c r="K852" s="173"/>
      <c r="L852" s="173"/>
      <c r="M852" s="173"/>
      <c r="N852" s="173"/>
      <c r="O852" s="173"/>
      <c r="P852" s="174"/>
      <c r="Q852" s="175"/>
      <c r="R852" s="168" t="str">
        <f ca="1">IF(ISERROR($V852),"",OFFSET('Smelter Look-up'!$C$4,$V852-4,0)&amp;"")</f>
        <v/>
      </c>
      <c r="S852" s="167" t="str">
        <f t="shared" ca="1" si="90"/>
        <v/>
      </c>
      <c r="T852" s="167" t="str">
        <f ca="1">IF(B852="","",IF(ISERROR(MATCH($J852,SorP!$B$1:$B$6230,0)),"",INDIRECT("'SorP'!$A$"&amp;MATCH($J852,SorP!$B$1:$B$6230,0))))</f>
        <v/>
      </c>
      <c r="U852" s="176"/>
      <c r="V852" s="177" t="e">
        <f>IF(C852="",NA(),IF(OR(C852="Smelter not listed",C852="Smelter not yet identified"),MATCH($B852&amp;$D852,'Smelter Look-up'!$J:$J,0),MATCH($B852&amp;$C852,'Smelter Look-up'!$J:$J,0)))</f>
        <v>#N/A</v>
      </c>
      <c r="X852" s="140">
        <f t="shared" ca="1" si="91"/>
        <v>0</v>
      </c>
      <c r="AB852" s="178" t="str">
        <f t="shared" si="92"/>
        <v/>
      </c>
    </row>
    <row r="853" spans="1:28" s="140" customFormat="1" ht="20.25">
      <c r="A853" s="167"/>
      <c r="B853" s="168" t="str">
        <f>IF(LEN(A853)=0,"",INDEX('Smelter Look-up'!$A:$A,MATCH($A853,'Smelter Look-up'!$E:$E,0)))</f>
        <v/>
      </c>
      <c r="C853" s="169" t="str">
        <f>IF(LEN(A853)=0,"",INDEX('Smelter Look-up'!$C:$C,MATCH($A853,'Smelter Look-up'!$E:$E,0)))</f>
        <v/>
      </c>
      <c r="D853" s="170"/>
      <c r="E853" s="168" t="str">
        <f ca="1">IF(ISERROR($V853),"",OFFSET('Smelter Look-up'!$D$4,$V853-4,0)&amp;"")</f>
        <v/>
      </c>
      <c r="F853" s="168" t="str">
        <f ca="1">IF(ISERROR($V853),"",OFFSET('Smelter Look-up'!$E$4,$V853-4,0))</f>
        <v/>
      </c>
      <c r="G853" s="168" t="str">
        <f ca="1">IF(C853=$X$4,IF(ISERROR($V853),"Enter smelter details","RMI"),IF(ISERROR($V853),"",OFFSET('Smelter Look-up'!$F$4,$V853-4,0)))</f>
        <v/>
      </c>
      <c r="H853" s="171" t="str">
        <f ca="1">IF(ISERROR($V853),"",OFFSET('Smelter Look-up'!$G$4,$V853-4,0))</f>
        <v/>
      </c>
      <c r="I853" s="172" t="str">
        <f ca="1">IF(ISERROR($V853),"",OFFSET('Smelter Look-up'!$H$4,$V853-4,0))</f>
        <v/>
      </c>
      <c r="J853" s="172" t="str">
        <f ca="1">IF(ISERROR($V853),"",OFFSET('Smelter Look-up'!$I$4,$V853-4,0))</f>
        <v/>
      </c>
      <c r="K853" s="173"/>
      <c r="L853" s="173"/>
      <c r="M853" s="173"/>
      <c r="N853" s="173"/>
      <c r="O853" s="173"/>
      <c r="P853" s="174"/>
      <c r="Q853" s="175"/>
      <c r="R853" s="168" t="str">
        <f ca="1">IF(ISERROR($V853),"",OFFSET('Smelter Look-up'!$C$4,$V853-4,0)&amp;"")</f>
        <v/>
      </c>
      <c r="S853" s="167" t="str">
        <f t="shared" ca="1" si="90"/>
        <v/>
      </c>
      <c r="T853" s="167" t="str">
        <f ca="1">IF(B853="","",IF(ISERROR(MATCH($J853,SorP!$B$1:$B$6230,0)),"",INDIRECT("'SorP'!$A$"&amp;MATCH($J853,SorP!$B$1:$B$6230,0))))</f>
        <v/>
      </c>
      <c r="U853" s="176"/>
      <c r="V853" s="177" t="e">
        <f>IF(C853="",NA(),IF(OR(C853="Smelter not listed",C853="Smelter not yet identified"),MATCH($B853&amp;$D853,'Smelter Look-up'!$J:$J,0),MATCH($B853&amp;$C853,'Smelter Look-up'!$J:$J,0)))</f>
        <v>#N/A</v>
      </c>
      <c r="X853" s="140">
        <f t="shared" ca="1" si="91"/>
        <v>0</v>
      </c>
      <c r="AB853" s="178" t="str">
        <f t="shared" si="92"/>
        <v/>
      </c>
    </row>
    <row r="854" spans="1:28" s="140" customFormat="1" ht="20.25">
      <c r="A854" s="167"/>
      <c r="B854" s="168" t="str">
        <f>IF(LEN(A854)=0,"",INDEX('Smelter Look-up'!$A:$A,MATCH($A854,'Smelter Look-up'!$E:$E,0)))</f>
        <v/>
      </c>
      <c r="C854" s="169" t="str">
        <f>IF(LEN(A854)=0,"",INDEX('Smelter Look-up'!$C:$C,MATCH($A854,'Smelter Look-up'!$E:$E,0)))</f>
        <v/>
      </c>
      <c r="D854" s="170"/>
      <c r="E854" s="168" t="str">
        <f ca="1">IF(ISERROR($V854),"",OFFSET('Smelter Look-up'!$D$4,$V854-4,0)&amp;"")</f>
        <v/>
      </c>
      <c r="F854" s="168" t="str">
        <f ca="1">IF(ISERROR($V854),"",OFFSET('Smelter Look-up'!$E$4,$V854-4,0))</f>
        <v/>
      </c>
      <c r="G854" s="168" t="str">
        <f ca="1">IF(C854=$X$4,IF(ISERROR($V854),"Enter smelter details","RMI"),IF(ISERROR($V854),"",OFFSET('Smelter Look-up'!$F$4,$V854-4,0)))</f>
        <v/>
      </c>
      <c r="H854" s="171" t="str">
        <f ca="1">IF(ISERROR($V854),"",OFFSET('Smelter Look-up'!$G$4,$V854-4,0))</f>
        <v/>
      </c>
      <c r="I854" s="172" t="str">
        <f ca="1">IF(ISERROR($V854),"",OFFSET('Smelter Look-up'!$H$4,$V854-4,0))</f>
        <v/>
      </c>
      <c r="J854" s="172" t="str">
        <f ca="1">IF(ISERROR($V854),"",OFFSET('Smelter Look-up'!$I$4,$V854-4,0))</f>
        <v/>
      </c>
      <c r="K854" s="173"/>
      <c r="L854" s="173"/>
      <c r="M854" s="173"/>
      <c r="N854" s="173"/>
      <c r="O854" s="173"/>
      <c r="P854" s="174"/>
      <c r="Q854" s="175"/>
      <c r="R854" s="168" t="str">
        <f ca="1">IF(ISERROR($V854),"",OFFSET('Smelter Look-up'!$C$4,$V854-4,0)&amp;"")</f>
        <v/>
      </c>
      <c r="S854" s="167" t="str">
        <f t="shared" ca="1" si="90"/>
        <v/>
      </c>
      <c r="T854" s="167" t="str">
        <f ca="1">IF(B854="","",IF(ISERROR(MATCH($J854,SorP!$B$1:$B$6230,0)),"",INDIRECT("'SorP'!$A$"&amp;MATCH($J854,SorP!$B$1:$B$6230,0))))</f>
        <v/>
      </c>
      <c r="U854" s="176"/>
      <c r="V854" s="177" t="e">
        <f>IF(C854="",NA(),IF(OR(C854="Smelter not listed",C854="Smelter not yet identified"),MATCH($B854&amp;$D854,'Smelter Look-up'!$J:$J,0),MATCH($B854&amp;$C854,'Smelter Look-up'!$J:$J,0)))</f>
        <v>#N/A</v>
      </c>
      <c r="X854" s="140">
        <f t="shared" ca="1" si="91"/>
        <v>0</v>
      </c>
      <c r="AB854" s="178" t="str">
        <f t="shared" si="92"/>
        <v/>
      </c>
    </row>
    <row r="855" spans="1:28" s="140" customFormat="1" ht="20.25">
      <c r="A855" s="167"/>
      <c r="B855" s="168" t="str">
        <f>IF(LEN(A855)=0,"",INDEX('Smelter Look-up'!$A:$A,MATCH($A855,'Smelter Look-up'!$E:$E,0)))</f>
        <v/>
      </c>
      <c r="C855" s="169" t="str">
        <f>IF(LEN(A855)=0,"",INDEX('Smelter Look-up'!$C:$C,MATCH($A855,'Smelter Look-up'!$E:$E,0)))</f>
        <v/>
      </c>
      <c r="D855" s="170"/>
      <c r="E855" s="168" t="str">
        <f ca="1">IF(ISERROR($V855),"",OFFSET('Smelter Look-up'!$D$4,$V855-4,0)&amp;"")</f>
        <v/>
      </c>
      <c r="F855" s="168" t="str">
        <f ca="1">IF(ISERROR($V855),"",OFFSET('Smelter Look-up'!$E$4,$V855-4,0))</f>
        <v/>
      </c>
      <c r="G855" s="168" t="str">
        <f ca="1">IF(C855=$X$4,IF(ISERROR($V855),"Enter smelter details","RMI"),IF(ISERROR($V855),"",OFFSET('Smelter Look-up'!$F$4,$V855-4,0)))</f>
        <v/>
      </c>
      <c r="H855" s="171" t="str">
        <f ca="1">IF(ISERROR($V855),"",OFFSET('Smelter Look-up'!$G$4,$V855-4,0))</f>
        <v/>
      </c>
      <c r="I855" s="172" t="str">
        <f ca="1">IF(ISERROR($V855),"",OFFSET('Smelter Look-up'!$H$4,$V855-4,0))</f>
        <v/>
      </c>
      <c r="J855" s="172" t="str">
        <f ca="1">IF(ISERROR($V855),"",OFFSET('Smelter Look-up'!$I$4,$V855-4,0))</f>
        <v/>
      </c>
      <c r="K855" s="173"/>
      <c r="L855" s="173"/>
      <c r="M855" s="173"/>
      <c r="N855" s="173"/>
      <c r="O855" s="173"/>
      <c r="P855" s="174"/>
      <c r="Q855" s="175"/>
      <c r="R855" s="168" t="str">
        <f ca="1">IF(ISERROR($V855),"",OFFSET('Smelter Look-up'!$C$4,$V855-4,0)&amp;"")</f>
        <v/>
      </c>
      <c r="S855" s="167" t="str">
        <f t="shared" ca="1" si="90"/>
        <v/>
      </c>
      <c r="T855" s="167" t="str">
        <f ca="1">IF(B855="","",IF(ISERROR(MATCH($J855,SorP!$B$1:$B$6230,0)),"",INDIRECT("'SorP'!$A$"&amp;MATCH($J855,SorP!$B$1:$B$6230,0))))</f>
        <v/>
      </c>
      <c r="U855" s="176"/>
      <c r="V855" s="177" t="e">
        <f>IF(C855="",NA(),IF(OR(C855="Smelter not listed",C855="Smelter not yet identified"),MATCH($B855&amp;$D855,'Smelter Look-up'!$J:$J,0),MATCH($B855&amp;$C855,'Smelter Look-up'!$J:$J,0)))</f>
        <v>#N/A</v>
      </c>
      <c r="X855" s="140">
        <f t="shared" ca="1" si="91"/>
        <v>0</v>
      </c>
      <c r="AB855" s="178" t="str">
        <f t="shared" si="92"/>
        <v/>
      </c>
    </row>
    <row r="856" spans="1:28" s="140" customFormat="1" ht="20.25">
      <c r="A856" s="167"/>
      <c r="B856" s="168" t="str">
        <f>IF(LEN(A856)=0,"",INDEX('Smelter Look-up'!$A:$A,MATCH($A856,'Smelter Look-up'!$E:$E,0)))</f>
        <v/>
      </c>
      <c r="C856" s="169" t="str">
        <f>IF(LEN(A856)=0,"",INDEX('Smelter Look-up'!$C:$C,MATCH($A856,'Smelter Look-up'!$E:$E,0)))</f>
        <v/>
      </c>
      <c r="D856" s="170"/>
      <c r="E856" s="168" t="str">
        <f ca="1">IF(ISERROR($V856),"",OFFSET('Smelter Look-up'!$D$4,$V856-4,0)&amp;"")</f>
        <v/>
      </c>
      <c r="F856" s="168" t="str">
        <f ca="1">IF(ISERROR($V856),"",OFFSET('Smelter Look-up'!$E$4,$V856-4,0))</f>
        <v/>
      </c>
      <c r="G856" s="168" t="str">
        <f ca="1">IF(C856=$X$4,IF(ISERROR($V856),"Enter smelter details","RMI"),IF(ISERROR($V856),"",OFFSET('Smelter Look-up'!$F$4,$V856-4,0)))</f>
        <v/>
      </c>
      <c r="H856" s="171" t="str">
        <f ca="1">IF(ISERROR($V856),"",OFFSET('Smelter Look-up'!$G$4,$V856-4,0))</f>
        <v/>
      </c>
      <c r="I856" s="172" t="str">
        <f ca="1">IF(ISERROR($V856),"",OFFSET('Smelter Look-up'!$H$4,$V856-4,0))</f>
        <v/>
      </c>
      <c r="J856" s="172" t="str">
        <f ca="1">IF(ISERROR($V856),"",OFFSET('Smelter Look-up'!$I$4,$V856-4,0))</f>
        <v/>
      </c>
      <c r="K856" s="173"/>
      <c r="L856" s="173"/>
      <c r="M856" s="173"/>
      <c r="N856" s="173"/>
      <c r="O856" s="173"/>
      <c r="P856" s="174"/>
      <c r="Q856" s="175"/>
      <c r="R856" s="168" t="str">
        <f ca="1">IF(ISERROR($V856),"",OFFSET('Smelter Look-up'!$C$4,$V856-4,0)&amp;"")</f>
        <v/>
      </c>
      <c r="S856" s="167" t="str">
        <f t="shared" ca="1" si="90"/>
        <v/>
      </c>
      <c r="T856" s="167" t="str">
        <f ca="1">IF(B856="","",IF(ISERROR(MATCH($J856,SorP!$B$1:$B$6230,0)),"",INDIRECT("'SorP'!$A$"&amp;MATCH($J856,SorP!$B$1:$B$6230,0))))</f>
        <v/>
      </c>
      <c r="U856" s="176"/>
      <c r="V856" s="177" t="e">
        <f>IF(C856="",NA(),IF(OR(C856="Smelter not listed",C856="Smelter not yet identified"),MATCH($B856&amp;$D856,'Smelter Look-up'!$J:$J,0),MATCH($B856&amp;$C856,'Smelter Look-up'!$J:$J,0)))</f>
        <v>#N/A</v>
      </c>
      <c r="X856" s="140">
        <f t="shared" ca="1" si="91"/>
        <v>0</v>
      </c>
      <c r="AB856" s="178" t="str">
        <f t="shared" si="92"/>
        <v/>
      </c>
    </row>
    <row r="857" spans="1:28" s="140" customFormat="1" ht="20.25">
      <c r="A857" s="167"/>
      <c r="B857" s="168" t="str">
        <f>IF(LEN(A857)=0,"",INDEX('Smelter Look-up'!$A:$A,MATCH($A857,'Smelter Look-up'!$E:$E,0)))</f>
        <v/>
      </c>
      <c r="C857" s="169" t="str">
        <f>IF(LEN(A857)=0,"",INDEX('Smelter Look-up'!$C:$C,MATCH($A857,'Smelter Look-up'!$E:$E,0)))</f>
        <v/>
      </c>
      <c r="D857" s="170"/>
      <c r="E857" s="168" t="str">
        <f ca="1">IF(ISERROR($V857),"",OFFSET('Smelter Look-up'!$D$4,$V857-4,0)&amp;"")</f>
        <v/>
      </c>
      <c r="F857" s="168" t="str">
        <f ca="1">IF(ISERROR($V857),"",OFFSET('Smelter Look-up'!$E$4,$V857-4,0))</f>
        <v/>
      </c>
      <c r="G857" s="168" t="str">
        <f ca="1">IF(C857=$X$4,IF(ISERROR($V857),"Enter smelter details","RMI"),IF(ISERROR($V857),"",OFFSET('Smelter Look-up'!$F$4,$V857-4,0)))</f>
        <v/>
      </c>
      <c r="H857" s="171" t="str">
        <f ca="1">IF(ISERROR($V857),"",OFFSET('Smelter Look-up'!$G$4,$V857-4,0))</f>
        <v/>
      </c>
      <c r="I857" s="172" t="str">
        <f ca="1">IF(ISERROR($V857),"",OFFSET('Smelter Look-up'!$H$4,$V857-4,0))</f>
        <v/>
      </c>
      <c r="J857" s="172" t="str">
        <f ca="1">IF(ISERROR($V857),"",OFFSET('Smelter Look-up'!$I$4,$V857-4,0))</f>
        <v/>
      </c>
      <c r="K857" s="173"/>
      <c r="L857" s="173"/>
      <c r="M857" s="173"/>
      <c r="N857" s="173"/>
      <c r="O857" s="173"/>
      <c r="P857" s="174"/>
      <c r="Q857" s="175"/>
      <c r="R857" s="168" t="str">
        <f ca="1">IF(ISERROR($V857),"",OFFSET('Smelter Look-up'!$C$4,$V857-4,0)&amp;"")</f>
        <v/>
      </c>
      <c r="S857" s="167" t="str">
        <f t="shared" ca="1" si="90"/>
        <v/>
      </c>
      <c r="T857" s="167" t="str">
        <f ca="1">IF(B857="","",IF(ISERROR(MATCH($J857,SorP!$B$1:$B$6230,0)),"",INDIRECT("'SorP'!$A$"&amp;MATCH($J857,SorP!$B$1:$B$6230,0))))</f>
        <v/>
      </c>
      <c r="U857" s="176"/>
      <c r="V857" s="177" t="e">
        <f>IF(C857="",NA(),IF(OR(C857="Smelter not listed",C857="Smelter not yet identified"),MATCH($B857&amp;$D857,'Smelter Look-up'!$J:$J,0),MATCH($B857&amp;$C857,'Smelter Look-up'!$J:$J,0)))</f>
        <v>#N/A</v>
      </c>
      <c r="X857" s="140">
        <f t="shared" ca="1" si="91"/>
        <v>0</v>
      </c>
      <c r="AB857" s="178" t="str">
        <f t="shared" si="92"/>
        <v/>
      </c>
    </row>
    <row r="858" spans="1:28" s="140" customFormat="1" ht="20.25">
      <c r="A858" s="167"/>
      <c r="B858" s="168" t="str">
        <f>IF(LEN(A858)=0,"",INDEX('Smelter Look-up'!$A:$A,MATCH($A858,'Smelter Look-up'!$E:$E,0)))</f>
        <v/>
      </c>
      <c r="C858" s="169" t="str">
        <f>IF(LEN(A858)=0,"",INDEX('Smelter Look-up'!$C:$C,MATCH($A858,'Smelter Look-up'!$E:$E,0)))</f>
        <v/>
      </c>
      <c r="D858" s="170"/>
      <c r="E858" s="168" t="str">
        <f ca="1">IF(ISERROR($V858),"",OFFSET('Smelter Look-up'!$D$4,$V858-4,0)&amp;"")</f>
        <v/>
      </c>
      <c r="F858" s="168" t="str">
        <f ca="1">IF(ISERROR($V858),"",OFFSET('Smelter Look-up'!$E$4,$V858-4,0))</f>
        <v/>
      </c>
      <c r="G858" s="168" t="str">
        <f ca="1">IF(C858=$X$4,IF(ISERROR($V858),"Enter smelter details","RMI"),IF(ISERROR($V858),"",OFFSET('Smelter Look-up'!$F$4,$V858-4,0)))</f>
        <v/>
      </c>
      <c r="H858" s="171" t="str">
        <f ca="1">IF(ISERROR($V858),"",OFFSET('Smelter Look-up'!$G$4,$V858-4,0))</f>
        <v/>
      </c>
      <c r="I858" s="172" t="str">
        <f ca="1">IF(ISERROR($V858),"",OFFSET('Smelter Look-up'!$H$4,$V858-4,0))</f>
        <v/>
      </c>
      <c r="J858" s="172" t="str">
        <f ca="1">IF(ISERROR($V858),"",OFFSET('Smelter Look-up'!$I$4,$V858-4,0))</f>
        <v/>
      </c>
      <c r="K858" s="173"/>
      <c r="L858" s="173"/>
      <c r="M858" s="173"/>
      <c r="N858" s="173"/>
      <c r="O858" s="173"/>
      <c r="P858" s="174"/>
      <c r="Q858" s="175"/>
      <c r="R858" s="168" t="str">
        <f ca="1">IF(ISERROR($V858),"",OFFSET('Smelter Look-up'!$C$4,$V858-4,0)&amp;"")</f>
        <v/>
      </c>
      <c r="S858" s="167" t="str">
        <f t="shared" ca="1" si="90"/>
        <v/>
      </c>
      <c r="T858" s="167" t="str">
        <f ca="1">IF(B858="","",IF(ISERROR(MATCH($J858,SorP!$B$1:$B$6230,0)),"",INDIRECT("'SorP'!$A$"&amp;MATCH($J858,SorP!$B$1:$B$6230,0))))</f>
        <v/>
      </c>
      <c r="U858" s="176"/>
      <c r="V858" s="177" t="e">
        <f>IF(C858="",NA(),IF(OR(C858="Smelter not listed",C858="Smelter not yet identified"),MATCH($B858&amp;$D858,'Smelter Look-up'!$J:$J,0),MATCH($B858&amp;$C858,'Smelter Look-up'!$J:$J,0)))</f>
        <v>#N/A</v>
      </c>
      <c r="X858" s="140">
        <f t="shared" ca="1" si="91"/>
        <v>0</v>
      </c>
      <c r="AB858" s="178" t="str">
        <f t="shared" si="92"/>
        <v/>
      </c>
    </row>
    <row r="859" spans="1:28" s="140" customFormat="1" ht="20.25">
      <c r="A859" s="167"/>
      <c r="B859" s="168" t="str">
        <f>IF(LEN(A859)=0,"",INDEX('Smelter Look-up'!$A:$A,MATCH($A859,'Smelter Look-up'!$E:$E,0)))</f>
        <v/>
      </c>
      <c r="C859" s="169" t="str">
        <f>IF(LEN(A859)=0,"",INDEX('Smelter Look-up'!$C:$C,MATCH($A859,'Smelter Look-up'!$E:$E,0)))</f>
        <v/>
      </c>
      <c r="D859" s="170"/>
      <c r="E859" s="168" t="str">
        <f ca="1">IF(ISERROR($V859),"",OFFSET('Smelter Look-up'!$D$4,$V859-4,0)&amp;"")</f>
        <v/>
      </c>
      <c r="F859" s="168" t="str">
        <f ca="1">IF(ISERROR($V859),"",OFFSET('Smelter Look-up'!$E$4,$V859-4,0))</f>
        <v/>
      </c>
      <c r="G859" s="168" t="str">
        <f ca="1">IF(C859=$X$4,IF(ISERROR($V859),"Enter smelter details","RMI"),IF(ISERROR($V859),"",OFFSET('Smelter Look-up'!$F$4,$V859-4,0)))</f>
        <v/>
      </c>
      <c r="H859" s="171" t="str">
        <f ca="1">IF(ISERROR($V859),"",OFFSET('Smelter Look-up'!$G$4,$V859-4,0))</f>
        <v/>
      </c>
      <c r="I859" s="172" t="str">
        <f ca="1">IF(ISERROR($V859),"",OFFSET('Smelter Look-up'!$H$4,$V859-4,0))</f>
        <v/>
      </c>
      <c r="J859" s="172" t="str">
        <f ca="1">IF(ISERROR($V859),"",OFFSET('Smelter Look-up'!$I$4,$V859-4,0))</f>
        <v/>
      </c>
      <c r="K859" s="173"/>
      <c r="L859" s="173"/>
      <c r="M859" s="173"/>
      <c r="N859" s="173"/>
      <c r="O859" s="173"/>
      <c r="P859" s="174"/>
      <c r="Q859" s="175"/>
      <c r="R859" s="168" t="str">
        <f ca="1">IF(ISERROR($V859),"",OFFSET('Smelter Look-up'!$C$4,$V859-4,0)&amp;"")</f>
        <v/>
      </c>
      <c r="S859" s="167" t="str">
        <f t="shared" ca="1" si="90"/>
        <v/>
      </c>
      <c r="T859" s="167" t="str">
        <f ca="1">IF(B859="","",IF(ISERROR(MATCH($J859,SorP!$B$1:$B$6230,0)),"",INDIRECT("'SorP'!$A$"&amp;MATCH($J859,SorP!$B$1:$B$6230,0))))</f>
        <v/>
      </c>
      <c r="U859" s="176"/>
      <c r="V859" s="177" t="e">
        <f>IF(C859="",NA(),IF(OR(C859="Smelter not listed",C859="Smelter not yet identified"),MATCH($B859&amp;$D859,'Smelter Look-up'!$J:$J,0),MATCH($B859&amp;$C859,'Smelter Look-up'!$J:$J,0)))</f>
        <v>#N/A</v>
      </c>
      <c r="X859" s="140">
        <f t="shared" ca="1" si="91"/>
        <v>0</v>
      </c>
      <c r="AB859" s="178" t="str">
        <f t="shared" si="92"/>
        <v/>
      </c>
    </row>
    <row r="860" spans="1:28" s="140" customFormat="1" ht="20.25">
      <c r="A860" s="167"/>
      <c r="B860" s="168" t="str">
        <f>IF(LEN(A860)=0,"",INDEX('Smelter Look-up'!$A:$A,MATCH($A860,'Smelter Look-up'!$E:$E,0)))</f>
        <v/>
      </c>
      <c r="C860" s="169" t="str">
        <f>IF(LEN(A860)=0,"",INDEX('Smelter Look-up'!$C:$C,MATCH($A860,'Smelter Look-up'!$E:$E,0)))</f>
        <v/>
      </c>
      <c r="D860" s="170"/>
      <c r="E860" s="168" t="str">
        <f ca="1">IF(ISERROR($V860),"",OFFSET('Smelter Look-up'!$D$4,$V860-4,0)&amp;"")</f>
        <v/>
      </c>
      <c r="F860" s="168" t="str">
        <f ca="1">IF(ISERROR($V860),"",OFFSET('Smelter Look-up'!$E$4,$V860-4,0))</f>
        <v/>
      </c>
      <c r="G860" s="168" t="str">
        <f ca="1">IF(C860=$X$4,IF(ISERROR($V860),"Enter smelter details","RMI"),IF(ISERROR($V860),"",OFFSET('Smelter Look-up'!$F$4,$V860-4,0)))</f>
        <v/>
      </c>
      <c r="H860" s="171" t="str">
        <f ca="1">IF(ISERROR($V860),"",OFFSET('Smelter Look-up'!$G$4,$V860-4,0))</f>
        <v/>
      </c>
      <c r="I860" s="172" t="str">
        <f ca="1">IF(ISERROR($V860),"",OFFSET('Smelter Look-up'!$H$4,$V860-4,0))</f>
        <v/>
      </c>
      <c r="J860" s="172" t="str">
        <f ca="1">IF(ISERROR($V860),"",OFFSET('Smelter Look-up'!$I$4,$V860-4,0))</f>
        <v/>
      </c>
      <c r="K860" s="173"/>
      <c r="L860" s="173"/>
      <c r="M860" s="173"/>
      <c r="N860" s="173"/>
      <c r="O860" s="173"/>
      <c r="P860" s="174"/>
      <c r="Q860" s="175"/>
      <c r="R860" s="168" t="str">
        <f ca="1">IF(ISERROR($V860),"",OFFSET('Smelter Look-up'!$C$4,$V860-4,0)&amp;"")</f>
        <v/>
      </c>
      <c r="S860" s="167" t="str">
        <f t="shared" ca="1" si="90"/>
        <v/>
      </c>
      <c r="T860" s="167" t="str">
        <f ca="1">IF(B860="","",IF(ISERROR(MATCH($J860,SorP!$B$1:$B$6230,0)),"",INDIRECT("'SorP'!$A$"&amp;MATCH($J860,SorP!$B$1:$B$6230,0))))</f>
        <v/>
      </c>
      <c r="U860" s="176"/>
      <c r="V860" s="177" t="e">
        <f>IF(C860="",NA(),IF(OR(C860="Smelter not listed",C860="Smelter not yet identified"),MATCH($B860&amp;$D860,'Smelter Look-up'!$J:$J,0),MATCH($B860&amp;$C860,'Smelter Look-up'!$J:$J,0)))</f>
        <v>#N/A</v>
      </c>
      <c r="X860" s="140">
        <f t="shared" ca="1" si="91"/>
        <v>0</v>
      </c>
      <c r="AB860" s="178" t="str">
        <f t="shared" si="92"/>
        <v/>
      </c>
    </row>
    <row r="861" spans="1:28" s="140" customFormat="1" ht="20.25">
      <c r="A861" s="167"/>
      <c r="B861" s="168" t="str">
        <f>IF(LEN(A861)=0,"",INDEX('Smelter Look-up'!$A:$A,MATCH($A861,'Smelter Look-up'!$E:$E,0)))</f>
        <v/>
      </c>
      <c r="C861" s="169" t="str">
        <f>IF(LEN(A861)=0,"",INDEX('Smelter Look-up'!$C:$C,MATCH($A861,'Smelter Look-up'!$E:$E,0)))</f>
        <v/>
      </c>
      <c r="D861" s="170"/>
      <c r="E861" s="168" t="str">
        <f ca="1">IF(ISERROR($V861),"",OFFSET('Smelter Look-up'!$D$4,$V861-4,0)&amp;"")</f>
        <v/>
      </c>
      <c r="F861" s="168" t="str">
        <f ca="1">IF(ISERROR($V861),"",OFFSET('Smelter Look-up'!$E$4,$V861-4,0))</f>
        <v/>
      </c>
      <c r="G861" s="168" t="str">
        <f ca="1">IF(C861=$X$4,IF(ISERROR($V861),"Enter smelter details","RMI"),IF(ISERROR($V861),"",OFFSET('Smelter Look-up'!$F$4,$V861-4,0)))</f>
        <v/>
      </c>
      <c r="H861" s="171" t="str">
        <f ca="1">IF(ISERROR($V861),"",OFFSET('Smelter Look-up'!$G$4,$V861-4,0))</f>
        <v/>
      </c>
      <c r="I861" s="172" t="str">
        <f ca="1">IF(ISERROR($V861),"",OFFSET('Smelter Look-up'!$H$4,$V861-4,0))</f>
        <v/>
      </c>
      <c r="J861" s="172" t="str">
        <f ca="1">IF(ISERROR($V861),"",OFFSET('Smelter Look-up'!$I$4,$V861-4,0))</f>
        <v/>
      </c>
      <c r="K861" s="173"/>
      <c r="L861" s="173"/>
      <c r="M861" s="173"/>
      <c r="N861" s="173"/>
      <c r="O861" s="173"/>
      <c r="P861" s="174"/>
      <c r="Q861" s="175"/>
      <c r="R861" s="168" t="str">
        <f ca="1">IF(ISERROR($V861),"",OFFSET('Smelter Look-up'!$C$4,$V861-4,0)&amp;"")</f>
        <v/>
      </c>
      <c r="S861" s="167" t="str">
        <f t="shared" ca="1" si="90"/>
        <v/>
      </c>
      <c r="T861" s="167" t="str">
        <f ca="1">IF(B861="","",IF(ISERROR(MATCH($J861,SorP!$B$1:$B$6230,0)),"",INDIRECT("'SorP'!$A$"&amp;MATCH($J861,SorP!$B$1:$B$6230,0))))</f>
        <v/>
      </c>
      <c r="U861" s="176"/>
      <c r="V861" s="177" t="e">
        <f>IF(C861="",NA(),IF(OR(C861="Smelter not listed",C861="Smelter not yet identified"),MATCH($B861&amp;$D861,'Smelter Look-up'!$J:$J,0),MATCH($B861&amp;$C861,'Smelter Look-up'!$J:$J,0)))</f>
        <v>#N/A</v>
      </c>
      <c r="X861" s="140">
        <f t="shared" ca="1" si="91"/>
        <v>0</v>
      </c>
      <c r="AB861" s="178" t="str">
        <f t="shared" si="92"/>
        <v/>
      </c>
    </row>
    <row r="862" spans="1:28" s="140" customFormat="1" ht="20.25">
      <c r="A862" s="167"/>
      <c r="B862" s="168" t="str">
        <f>IF(LEN(A862)=0,"",INDEX('Smelter Look-up'!$A:$A,MATCH($A862,'Smelter Look-up'!$E:$E,0)))</f>
        <v/>
      </c>
      <c r="C862" s="169" t="str">
        <f>IF(LEN(A862)=0,"",INDEX('Smelter Look-up'!$C:$C,MATCH($A862,'Smelter Look-up'!$E:$E,0)))</f>
        <v/>
      </c>
      <c r="D862" s="170"/>
      <c r="E862" s="168" t="str">
        <f ca="1">IF(ISERROR($V862),"",OFFSET('Smelter Look-up'!$D$4,$V862-4,0)&amp;"")</f>
        <v/>
      </c>
      <c r="F862" s="168" t="str">
        <f ca="1">IF(ISERROR($V862),"",OFFSET('Smelter Look-up'!$E$4,$V862-4,0))</f>
        <v/>
      </c>
      <c r="G862" s="168" t="str">
        <f ca="1">IF(C862=$X$4,IF(ISERROR($V862),"Enter smelter details","RMI"),IF(ISERROR($V862),"",OFFSET('Smelter Look-up'!$F$4,$V862-4,0)))</f>
        <v/>
      </c>
      <c r="H862" s="171" t="str">
        <f ca="1">IF(ISERROR($V862),"",OFFSET('Smelter Look-up'!$G$4,$V862-4,0))</f>
        <v/>
      </c>
      <c r="I862" s="172" t="str">
        <f ca="1">IF(ISERROR($V862),"",OFFSET('Smelter Look-up'!$H$4,$V862-4,0))</f>
        <v/>
      </c>
      <c r="J862" s="172" t="str">
        <f ca="1">IF(ISERROR($V862),"",OFFSET('Smelter Look-up'!$I$4,$V862-4,0))</f>
        <v/>
      </c>
      <c r="K862" s="173"/>
      <c r="L862" s="173"/>
      <c r="M862" s="173"/>
      <c r="N862" s="173"/>
      <c r="O862" s="173"/>
      <c r="P862" s="174"/>
      <c r="Q862" s="175"/>
      <c r="R862" s="168" t="str">
        <f ca="1">IF(ISERROR($V862),"",OFFSET('Smelter Look-up'!$C$4,$V862-4,0)&amp;"")</f>
        <v/>
      </c>
      <c r="S862" s="167" t="str">
        <f t="shared" ca="1" si="90"/>
        <v/>
      </c>
      <c r="T862" s="167" t="str">
        <f ca="1">IF(B862="","",IF(ISERROR(MATCH($J862,SorP!$B$1:$B$6230,0)),"",INDIRECT("'SorP'!$A$"&amp;MATCH($J862,SorP!$B$1:$B$6230,0))))</f>
        <v/>
      </c>
      <c r="U862" s="176"/>
      <c r="V862" s="177" t="e">
        <f>IF(C862="",NA(),IF(OR(C862="Smelter not listed",C862="Smelter not yet identified"),MATCH($B862&amp;$D862,'Smelter Look-up'!$J:$J,0),MATCH($B862&amp;$C862,'Smelter Look-up'!$J:$J,0)))</f>
        <v>#N/A</v>
      </c>
      <c r="X862" s="140">
        <f t="shared" ca="1" si="91"/>
        <v>0</v>
      </c>
      <c r="AB862" s="178" t="str">
        <f t="shared" si="92"/>
        <v/>
      </c>
    </row>
    <row r="863" spans="1:28" s="140" customFormat="1" ht="20.25">
      <c r="A863" s="167"/>
      <c r="B863" s="168" t="str">
        <f>IF(LEN(A863)=0,"",INDEX('Smelter Look-up'!$A:$A,MATCH($A863,'Smelter Look-up'!$E:$E,0)))</f>
        <v/>
      </c>
      <c r="C863" s="169" t="str">
        <f>IF(LEN(A863)=0,"",INDEX('Smelter Look-up'!$C:$C,MATCH($A863,'Smelter Look-up'!$E:$E,0)))</f>
        <v/>
      </c>
      <c r="D863" s="170"/>
      <c r="E863" s="168" t="str">
        <f ca="1">IF(ISERROR($V863),"",OFFSET('Smelter Look-up'!$D$4,$V863-4,0)&amp;"")</f>
        <v/>
      </c>
      <c r="F863" s="168" t="str">
        <f ca="1">IF(ISERROR($V863),"",OFFSET('Smelter Look-up'!$E$4,$V863-4,0))</f>
        <v/>
      </c>
      <c r="G863" s="168" t="str">
        <f ca="1">IF(C863=$X$4,IF(ISERROR($V863),"Enter smelter details","RMI"),IF(ISERROR($V863),"",OFFSET('Smelter Look-up'!$F$4,$V863-4,0)))</f>
        <v/>
      </c>
      <c r="H863" s="171" t="str">
        <f ca="1">IF(ISERROR($V863),"",OFFSET('Smelter Look-up'!$G$4,$V863-4,0))</f>
        <v/>
      </c>
      <c r="I863" s="172" t="str">
        <f ca="1">IF(ISERROR($V863),"",OFFSET('Smelter Look-up'!$H$4,$V863-4,0))</f>
        <v/>
      </c>
      <c r="J863" s="172" t="str">
        <f ca="1">IF(ISERROR($V863),"",OFFSET('Smelter Look-up'!$I$4,$V863-4,0))</f>
        <v/>
      </c>
      <c r="K863" s="173"/>
      <c r="L863" s="173"/>
      <c r="M863" s="173"/>
      <c r="N863" s="173"/>
      <c r="O863" s="173"/>
      <c r="P863" s="174"/>
      <c r="Q863" s="175"/>
      <c r="R863" s="168" t="str">
        <f ca="1">IF(ISERROR($V863),"",OFFSET('Smelter Look-up'!$C$4,$V863-4,0)&amp;"")</f>
        <v/>
      </c>
      <c r="S863" s="167" t="str">
        <f t="shared" ca="1" si="90"/>
        <v/>
      </c>
      <c r="T863" s="167" t="str">
        <f ca="1">IF(B863="","",IF(ISERROR(MATCH($J863,SorP!$B$1:$B$6230,0)),"",INDIRECT("'SorP'!$A$"&amp;MATCH($J863,SorP!$B$1:$B$6230,0))))</f>
        <v/>
      </c>
      <c r="U863" s="176"/>
      <c r="V863" s="177" t="e">
        <f>IF(C863="",NA(),IF(OR(C863="Smelter not listed",C863="Smelter not yet identified"),MATCH($B863&amp;$D863,'Smelter Look-up'!$J:$J,0),MATCH($B863&amp;$C863,'Smelter Look-up'!$J:$J,0)))</f>
        <v>#N/A</v>
      </c>
      <c r="X863" s="140">
        <f t="shared" ca="1" si="91"/>
        <v>0</v>
      </c>
      <c r="AB863" s="178" t="str">
        <f t="shared" si="92"/>
        <v/>
      </c>
    </row>
    <row r="864" spans="1:28" s="140" customFormat="1" ht="20.25">
      <c r="A864" s="167"/>
      <c r="B864" s="168" t="str">
        <f>IF(LEN(A864)=0,"",INDEX('Smelter Look-up'!$A:$A,MATCH($A864,'Smelter Look-up'!$E:$E,0)))</f>
        <v/>
      </c>
      <c r="C864" s="169" t="str">
        <f>IF(LEN(A864)=0,"",INDEX('Smelter Look-up'!$C:$C,MATCH($A864,'Smelter Look-up'!$E:$E,0)))</f>
        <v/>
      </c>
      <c r="D864" s="170"/>
      <c r="E864" s="168" t="str">
        <f ca="1">IF(ISERROR($V864),"",OFFSET('Smelter Look-up'!$D$4,$V864-4,0)&amp;"")</f>
        <v/>
      </c>
      <c r="F864" s="168" t="str">
        <f ca="1">IF(ISERROR($V864),"",OFFSET('Smelter Look-up'!$E$4,$V864-4,0))</f>
        <v/>
      </c>
      <c r="G864" s="168" t="str">
        <f ca="1">IF(C864=$X$4,IF(ISERROR($V864),"Enter smelter details","RMI"),IF(ISERROR($V864),"",OFFSET('Smelter Look-up'!$F$4,$V864-4,0)))</f>
        <v/>
      </c>
      <c r="H864" s="171" t="str">
        <f ca="1">IF(ISERROR($V864),"",OFFSET('Smelter Look-up'!$G$4,$V864-4,0))</f>
        <v/>
      </c>
      <c r="I864" s="172" t="str">
        <f ca="1">IF(ISERROR($V864),"",OFFSET('Smelter Look-up'!$H$4,$V864-4,0))</f>
        <v/>
      </c>
      <c r="J864" s="172" t="str">
        <f ca="1">IF(ISERROR($V864),"",OFFSET('Smelter Look-up'!$I$4,$V864-4,0))</f>
        <v/>
      </c>
      <c r="K864" s="173"/>
      <c r="L864" s="173"/>
      <c r="M864" s="173"/>
      <c r="N864" s="173"/>
      <c r="O864" s="173"/>
      <c r="P864" s="174"/>
      <c r="Q864" s="175"/>
      <c r="R864" s="168" t="str">
        <f ca="1">IF(ISERROR($V864),"",OFFSET('Smelter Look-up'!$C$4,$V864-4,0)&amp;"")</f>
        <v/>
      </c>
      <c r="S864" s="167" t="str">
        <f t="shared" ca="1" si="90"/>
        <v/>
      </c>
      <c r="T864" s="167" t="str">
        <f ca="1">IF(B864="","",IF(ISERROR(MATCH($J864,SorP!$B$1:$B$6230,0)),"",INDIRECT("'SorP'!$A$"&amp;MATCH($J864,SorP!$B$1:$B$6230,0))))</f>
        <v/>
      </c>
      <c r="U864" s="176"/>
      <c r="V864" s="177" t="e">
        <f>IF(C864="",NA(),IF(OR(C864="Smelter not listed",C864="Smelter not yet identified"),MATCH($B864&amp;$D864,'Smelter Look-up'!$J:$J,0),MATCH($B864&amp;$C864,'Smelter Look-up'!$J:$J,0)))</f>
        <v>#N/A</v>
      </c>
      <c r="X864" s="140">
        <f t="shared" ca="1" si="91"/>
        <v>0</v>
      </c>
      <c r="AB864" s="178" t="str">
        <f t="shared" si="92"/>
        <v/>
      </c>
    </row>
    <row r="865" spans="1:28" s="140" customFormat="1" ht="20.25">
      <c r="A865" s="167"/>
      <c r="B865" s="168" t="str">
        <f>IF(LEN(A865)=0,"",INDEX('Smelter Look-up'!$A:$A,MATCH($A865,'Smelter Look-up'!$E:$E,0)))</f>
        <v/>
      </c>
      <c r="C865" s="169" t="str">
        <f>IF(LEN(A865)=0,"",INDEX('Smelter Look-up'!$C:$C,MATCH($A865,'Smelter Look-up'!$E:$E,0)))</f>
        <v/>
      </c>
      <c r="D865" s="170"/>
      <c r="E865" s="168" t="str">
        <f ca="1">IF(ISERROR($V865),"",OFFSET('Smelter Look-up'!$D$4,$V865-4,0)&amp;"")</f>
        <v/>
      </c>
      <c r="F865" s="168" t="str">
        <f ca="1">IF(ISERROR($V865),"",OFFSET('Smelter Look-up'!$E$4,$V865-4,0))</f>
        <v/>
      </c>
      <c r="G865" s="168" t="str">
        <f ca="1">IF(C865=$X$4,IF(ISERROR($V865),"Enter smelter details","RMI"),IF(ISERROR($V865),"",OFFSET('Smelter Look-up'!$F$4,$V865-4,0)))</f>
        <v/>
      </c>
      <c r="H865" s="171" t="str">
        <f ca="1">IF(ISERROR($V865),"",OFFSET('Smelter Look-up'!$G$4,$V865-4,0))</f>
        <v/>
      </c>
      <c r="I865" s="172" t="str">
        <f ca="1">IF(ISERROR($V865),"",OFFSET('Smelter Look-up'!$H$4,$V865-4,0))</f>
        <v/>
      </c>
      <c r="J865" s="172" t="str">
        <f ca="1">IF(ISERROR($V865),"",OFFSET('Smelter Look-up'!$I$4,$V865-4,0))</f>
        <v/>
      </c>
      <c r="K865" s="173"/>
      <c r="L865" s="173"/>
      <c r="M865" s="173"/>
      <c r="N865" s="173"/>
      <c r="O865" s="173"/>
      <c r="P865" s="174"/>
      <c r="Q865" s="175"/>
      <c r="R865" s="168" t="str">
        <f ca="1">IF(ISERROR($V865),"",OFFSET('Smelter Look-up'!$C$4,$V865-4,0)&amp;"")</f>
        <v/>
      </c>
      <c r="S865" s="167" t="str">
        <f t="shared" ca="1" si="90"/>
        <v/>
      </c>
      <c r="T865" s="167" t="str">
        <f ca="1">IF(B865="","",IF(ISERROR(MATCH($J865,SorP!$B$1:$B$6230,0)),"",INDIRECT("'SorP'!$A$"&amp;MATCH($J865,SorP!$B$1:$B$6230,0))))</f>
        <v/>
      </c>
      <c r="U865" s="176"/>
      <c r="V865" s="177" t="e">
        <f>IF(C865="",NA(),IF(OR(C865="Smelter not listed",C865="Smelter not yet identified"),MATCH($B865&amp;$D865,'Smelter Look-up'!$J:$J,0),MATCH($B865&amp;$C865,'Smelter Look-up'!$J:$J,0)))</f>
        <v>#N/A</v>
      </c>
      <c r="X865" s="140">
        <f t="shared" ca="1" si="91"/>
        <v>0</v>
      </c>
      <c r="AB865" s="178" t="str">
        <f t="shared" si="92"/>
        <v/>
      </c>
    </row>
    <row r="866" spans="1:28" s="140" customFormat="1" ht="20.25">
      <c r="A866" s="167"/>
      <c r="B866" s="168" t="str">
        <f>IF(LEN(A866)=0,"",INDEX('Smelter Look-up'!$A:$A,MATCH($A866,'Smelter Look-up'!$E:$E,0)))</f>
        <v/>
      </c>
      <c r="C866" s="169" t="str">
        <f>IF(LEN(A866)=0,"",INDEX('Smelter Look-up'!$C:$C,MATCH($A866,'Smelter Look-up'!$E:$E,0)))</f>
        <v/>
      </c>
      <c r="D866" s="170"/>
      <c r="E866" s="168" t="str">
        <f ca="1">IF(ISERROR($V866),"",OFFSET('Smelter Look-up'!$D$4,$V866-4,0)&amp;"")</f>
        <v/>
      </c>
      <c r="F866" s="168" t="str">
        <f ca="1">IF(ISERROR($V866),"",OFFSET('Smelter Look-up'!$E$4,$V866-4,0))</f>
        <v/>
      </c>
      <c r="G866" s="168" t="str">
        <f ca="1">IF(C866=$X$4,IF(ISERROR($V866),"Enter smelter details","RMI"),IF(ISERROR($V866),"",OFFSET('Smelter Look-up'!$F$4,$V866-4,0)))</f>
        <v/>
      </c>
      <c r="H866" s="171" t="str">
        <f ca="1">IF(ISERROR($V866),"",OFFSET('Smelter Look-up'!$G$4,$V866-4,0))</f>
        <v/>
      </c>
      <c r="I866" s="172" t="str">
        <f ca="1">IF(ISERROR($V866),"",OFFSET('Smelter Look-up'!$H$4,$V866-4,0))</f>
        <v/>
      </c>
      <c r="J866" s="172" t="str">
        <f ca="1">IF(ISERROR($V866),"",OFFSET('Smelter Look-up'!$I$4,$V866-4,0))</f>
        <v/>
      </c>
      <c r="K866" s="173"/>
      <c r="L866" s="173"/>
      <c r="M866" s="173"/>
      <c r="N866" s="173"/>
      <c r="O866" s="173"/>
      <c r="P866" s="174"/>
      <c r="Q866" s="175"/>
      <c r="R866" s="168" t="str">
        <f ca="1">IF(ISERROR($V866),"",OFFSET('Smelter Look-up'!$C$4,$V866-4,0)&amp;"")</f>
        <v/>
      </c>
      <c r="S866" s="167" t="str">
        <f t="shared" ca="1" si="90"/>
        <v/>
      </c>
      <c r="T866" s="167" t="str">
        <f ca="1">IF(B866="","",IF(ISERROR(MATCH($J866,SorP!$B$1:$B$6230,0)),"",INDIRECT("'SorP'!$A$"&amp;MATCH($J866,SorP!$B$1:$B$6230,0))))</f>
        <v/>
      </c>
      <c r="U866" s="176"/>
      <c r="V866" s="177" t="e">
        <f>IF(C866="",NA(),IF(OR(C866="Smelter not listed",C866="Smelter not yet identified"),MATCH($B866&amp;$D866,'Smelter Look-up'!$J:$J,0),MATCH($B866&amp;$C866,'Smelter Look-up'!$J:$J,0)))</f>
        <v>#N/A</v>
      </c>
      <c r="X866" s="140">
        <f t="shared" ca="1" si="91"/>
        <v>0</v>
      </c>
      <c r="AB866" s="178" t="str">
        <f t="shared" si="92"/>
        <v/>
      </c>
    </row>
    <row r="867" spans="1:28" s="140" customFormat="1" ht="20.25">
      <c r="A867" s="167"/>
      <c r="B867" s="168" t="str">
        <f>IF(LEN(A867)=0,"",INDEX('Smelter Look-up'!$A:$A,MATCH($A867,'Smelter Look-up'!$E:$E,0)))</f>
        <v/>
      </c>
      <c r="C867" s="169" t="str">
        <f>IF(LEN(A867)=0,"",INDEX('Smelter Look-up'!$C:$C,MATCH($A867,'Smelter Look-up'!$E:$E,0)))</f>
        <v/>
      </c>
      <c r="D867" s="170"/>
      <c r="E867" s="168" t="str">
        <f ca="1">IF(ISERROR($V867),"",OFFSET('Smelter Look-up'!$D$4,$V867-4,0)&amp;"")</f>
        <v/>
      </c>
      <c r="F867" s="168" t="str">
        <f ca="1">IF(ISERROR($V867),"",OFFSET('Smelter Look-up'!$E$4,$V867-4,0))</f>
        <v/>
      </c>
      <c r="G867" s="168" t="str">
        <f ca="1">IF(C867=$X$4,IF(ISERROR($V867),"Enter smelter details","RMI"),IF(ISERROR($V867),"",OFFSET('Smelter Look-up'!$F$4,$V867-4,0)))</f>
        <v/>
      </c>
      <c r="H867" s="171" t="str">
        <f ca="1">IF(ISERROR($V867),"",OFFSET('Smelter Look-up'!$G$4,$V867-4,0))</f>
        <v/>
      </c>
      <c r="I867" s="172" t="str">
        <f ca="1">IF(ISERROR($V867),"",OFFSET('Smelter Look-up'!$H$4,$V867-4,0))</f>
        <v/>
      </c>
      <c r="J867" s="172" t="str">
        <f ca="1">IF(ISERROR($V867),"",OFFSET('Smelter Look-up'!$I$4,$V867-4,0))</f>
        <v/>
      </c>
      <c r="K867" s="173"/>
      <c r="L867" s="173"/>
      <c r="M867" s="173"/>
      <c r="N867" s="173"/>
      <c r="O867" s="173"/>
      <c r="P867" s="174"/>
      <c r="Q867" s="175"/>
      <c r="R867" s="168" t="str">
        <f ca="1">IF(ISERROR($V867),"",OFFSET('Smelter Look-up'!$C$4,$V867-4,0)&amp;"")</f>
        <v/>
      </c>
      <c r="S867" s="167" t="str">
        <f t="shared" ca="1" si="90"/>
        <v/>
      </c>
      <c r="T867" s="167" t="str">
        <f ca="1">IF(B867="","",IF(ISERROR(MATCH($J867,SorP!$B$1:$B$6230,0)),"",INDIRECT("'SorP'!$A$"&amp;MATCH($J867,SorP!$B$1:$B$6230,0))))</f>
        <v/>
      </c>
      <c r="U867" s="176"/>
      <c r="V867" s="177" t="e">
        <f>IF(C867="",NA(),IF(OR(C867="Smelter not listed",C867="Smelter not yet identified"),MATCH($B867&amp;$D867,'Smelter Look-up'!$J:$J,0),MATCH($B867&amp;$C867,'Smelter Look-up'!$J:$J,0)))</f>
        <v>#N/A</v>
      </c>
      <c r="X867" s="140">
        <f t="shared" ca="1" si="91"/>
        <v>0</v>
      </c>
      <c r="AB867" s="178" t="str">
        <f t="shared" si="92"/>
        <v/>
      </c>
    </row>
    <row r="868" spans="1:28" s="140" customFormat="1" ht="20.25">
      <c r="A868" s="167"/>
      <c r="B868" s="168" t="str">
        <f>IF(LEN(A868)=0,"",INDEX('Smelter Look-up'!$A:$A,MATCH($A868,'Smelter Look-up'!$E:$E,0)))</f>
        <v/>
      </c>
      <c r="C868" s="169" t="str">
        <f>IF(LEN(A868)=0,"",INDEX('Smelter Look-up'!$C:$C,MATCH($A868,'Smelter Look-up'!$E:$E,0)))</f>
        <v/>
      </c>
      <c r="D868" s="170"/>
      <c r="E868" s="168" t="str">
        <f ca="1">IF(ISERROR($V868),"",OFFSET('Smelter Look-up'!$D$4,$V868-4,0)&amp;"")</f>
        <v/>
      </c>
      <c r="F868" s="168" t="str">
        <f ca="1">IF(ISERROR($V868),"",OFFSET('Smelter Look-up'!$E$4,$V868-4,0))</f>
        <v/>
      </c>
      <c r="G868" s="168" t="str">
        <f ca="1">IF(C868=$X$4,IF(ISERROR($V868),"Enter smelter details","RMI"),IF(ISERROR($V868),"",OFFSET('Smelter Look-up'!$F$4,$V868-4,0)))</f>
        <v/>
      </c>
      <c r="H868" s="171" t="str">
        <f ca="1">IF(ISERROR($V868),"",OFFSET('Smelter Look-up'!$G$4,$V868-4,0))</f>
        <v/>
      </c>
      <c r="I868" s="172" t="str">
        <f ca="1">IF(ISERROR($V868),"",OFFSET('Smelter Look-up'!$H$4,$V868-4,0))</f>
        <v/>
      </c>
      <c r="J868" s="172" t="str">
        <f ca="1">IF(ISERROR($V868),"",OFFSET('Smelter Look-up'!$I$4,$V868-4,0))</f>
        <v/>
      </c>
      <c r="K868" s="173"/>
      <c r="L868" s="173"/>
      <c r="M868" s="173"/>
      <c r="N868" s="173"/>
      <c r="O868" s="173"/>
      <c r="P868" s="174"/>
      <c r="Q868" s="175"/>
      <c r="R868" s="168" t="str">
        <f ca="1">IF(ISERROR($V868),"",OFFSET('Smelter Look-up'!$C$4,$V868-4,0)&amp;"")</f>
        <v/>
      </c>
      <c r="S868" s="167" t="str">
        <f t="shared" ca="1" si="90"/>
        <v/>
      </c>
      <c r="T868" s="167" t="str">
        <f ca="1">IF(B868="","",IF(ISERROR(MATCH($J868,SorP!$B$1:$B$6230,0)),"",INDIRECT("'SorP'!$A$"&amp;MATCH($J868,SorP!$B$1:$B$6230,0))))</f>
        <v/>
      </c>
      <c r="U868" s="176"/>
      <c r="V868" s="177" t="e">
        <f>IF(C868="",NA(),IF(OR(C868="Smelter not listed",C868="Smelter not yet identified"),MATCH($B868&amp;$D868,'Smelter Look-up'!$J:$J,0),MATCH($B868&amp;$C868,'Smelter Look-up'!$J:$J,0)))</f>
        <v>#N/A</v>
      </c>
      <c r="X868" s="140">
        <f t="shared" ca="1" si="91"/>
        <v>0</v>
      </c>
      <c r="AB868" s="178" t="str">
        <f t="shared" si="92"/>
        <v/>
      </c>
    </row>
    <row r="869" spans="1:28" s="140" customFormat="1" ht="20.25">
      <c r="A869" s="167"/>
      <c r="B869" s="168" t="str">
        <f>IF(LEN(A869)=0,"",INDEX('Smelter Look-up'!$A:$A,MATCH($A869,'Smelter Look-up'!$E:$E,0)))</f>
        <v/>
      </c>
      <c r="C869" s="169" t="str">
        <f>IF(LEN(A869)=0,"",INDEX('Smelter Look-up'!$C:$C,MATCH($A869,'Smelter Look-up'!$E:$E,0)))</f>
        <v/>
      </c>
      <c r="D869" s="170"/>
      <c r="E869" s="168" t="str">
        <f ca="1">IF(ISERROR($V869),"",OFFSET('Smelter Look-up'!$D$4,$V869-4,0)&amp;"")</f>
        <v/>
      </c>
      <c r="F869" s="168" t="str">
        <f ca="1">IF(ISERROR($V869),"",OFFSET('Smelter Look-up'!$E$4,$V869-4,0))</f>
        <v/>
      </c>
      <c r="G869" s="168" t="str">
        <f ca="1">IF(C869=$X$4,IF(ISERROR($V869),"Enter smelter details","RMI"),IF(ISERROR($V869),"",OFFSET('Smelter Look-up'!$F$4,$V869-4,0)))</f>
        <v/>
      </c>
      <c r="H869" s="171" t="str">
        <f ca="1">IF(ISERROR($V869),"",OFFSET('Smelter Look-up'!$G$4,$V869-4,0))</f>
        <v/>
      </c>
      <c r="I869" s="172" t="str">
        <f ca="1">IF(ISERROR($V869),"",OFFSET('Smelter Look-up'!$H$4,$V869-4,0))</f>
        <v/>
      </c>
      <c r="J869" s="172" t="str">
        <f ca="1">IF(ISERROR($V869),"",OFFSET('Smelter Look-up'!$I$4,$V869-4,0))</f>
        <v/>
      </c>
      <c r="K869" s="173"/>
      <c r="L869" s="173"/>
      <c r="M869" s="173"/>
      <c r="N869" s="173"/>
      <c r="O869" s="173"/>
      <c r="P869" s="174"/>
      <c r="Q869" s="175"/>
      <c r="R869" s="168" t="str">
        <f ca="1">IF(ISERROR($V869),"",OFFSET('Smelter Look-up'!$C$4,$V869-4,0)&amp;"")</f>
        <v/>
      </c>
      <c r="S869" s="167" t="str">
        <f t="shared" ref="S869:S932" ca="1" si="93">IF(B869="","",IF(ISERROR(MATCH($E869,CL,0)),"Unknown",INDIRECT("'C'!$A$"&amp;MATCH($E869,CL,0)+1)))</f>
        <v/>
      </c>
      <c r="T869" s="167" t="str">
        <f ca="1">IF(B869="","",IF(ISERROR(MATCH($J869,SorP!$B$1:$B$6230,0)),"",INDIRECT("'SorP'!$A$"&amp;MATCH($J869,SorP!$B$1:$B$6230,0))))</f>
        <v/>
      </c>
      <c r="U869" s="176"/>
      <c r="V869" s="177" t="e">
        <f>IF(C869="",NA(),IF(OR(C869="Smelter not listed",C869="Smelter not yet identified"),MATCH($B869&amp;$D869,'Smelter Look-up'!$J:$J,0),MATCH($B869&amp;$C869,'Smelter Look-up'!$J:$J,0)))</f>
        <v>#N/A</v>
      </c>
      <c r="X869" s="140">
        <f t="shared" ref="X869:X932" ca="1" si="94">IF(AND(C869="Smelter not listed",OR(LEN(D869)=0,LEN(E869)=0)),1,0)</f>
        <v>0</v>
      </c>
      <c r="AB869" s="178" t="str">
        <f t="shared" ref="AB869:AB932" si="95">B869&amp;C869</f>
        <v/>
      </c>
    </row>
    <row r="870" spans="1:28" s="140" customFormat="1" ht="20.25">
      <c r="A870" s="167"/>
      <c r="B870" s="168" t="str">
        <f>IF(LEN(A870)=0,"",INDEX('Smelter Look-up'!$A:$A,MATCH($A870,'Smelter Look-up'!$E:$E,0)))</f>
        <v/>
      </c>
      <c r="C870" s="169" t="str">
        <f>IF(LEN(A870)=0,"",INDEX('Smelter Look-up'!$C:$C,MATCH($A870,'Smelter Look-up'!$E:$E,0)))</f>
        <v/>
      </c>
      <c r="D870" s="170"/>
      <c r="E870" s="168" t="str">
        <f ca="1">IF(ISERROR($V870),"",OFFSET('Smelter Look-up'!$D$4,$V870-4,0)&amp;"")</f>
        <v/>
      </c>
      <c r="F870" s="168" t="str">
        <f ca="1">IF(ISERROR($V870),"",OFFSET('Smelter Look-up'!$E$4,$V870-4,0))</f>
        <v/>
      </c>
      <c r="G870" s="168" t="str">
        <f ca="1">IF(C870=$X$4,IF(ISERROR($V870),"Enter smelter details","RMI"),IF(ISERROR($V870),"",OFFSET('Smelter Look-up'!$F$4,$V870-4,0)))</f>
        <v/>
      </c>
      <c r="H870" s="171" t="str">
        <f ca="1">IF(ISERROR($V870),"",OFFSET('Smelter Look-up'!$G$4,$V870-4,0))</f>
        <v/>
      </c>
      <c r="I870" s="172" t="str">
        <f ca="1">IF(ISERROR($V870),"",OFFSET('Smelter Look-up'!$H$4,$V870-4,0))</f>
        <v/>
      </c>
      <c r="J870" s="172" t="str">
        <f ca="1">IF(ISERROR($V870),"",OFFSET('Smelter Look-up'!$I$4,$V870-4,0))</f>
        <v/>
      </c>
      <c r="K870" s="173"/>
      <c r="L870" s="173"/>
      <c r="M870" s="173"/>
      <c r="N870" s="173"/>
      <c r="O870" s="173"/>
      <c r="P870" s="174"/>
      <c r="Q870" s="175"/>
      <c r="R870" s="168" t="str">
        <f ca="1">IF(ISERROR($V870),"",OFFSET('Smelter Look-up'!$C$4,$V870-4,0)&amp;"")</f>
        <v/>
      </c>
      <c r="S870" s="167" t="str">
        <f t="shared" ca="1" si="93"/>
        <v/>
      </c>
      <c r="T870" s="167" t="str">
        <f ca="1">IF(B870="","",IF(ISERROR(MATCH($J870,SorP!$B$1:$B$6230,0)),"",INDIRECT("'SorP'!$A$"&amp;MATCH($J870,SorP!$B$1:$B$6230,0))))</f>
        <v/>
      </c>
      <c r="U870" s="176"/>
      <c r="V870" s="177" t="e">
        <f>IF(C870="",NA(),IF(OR(C870="Smelter not listed",C870="Smelter not yet identified"),MATCH($B870&amp;$D870,'Smelter Look-up'!$J:$J,0),MATCH($B870&amp;$C870,'Smelter Look-up'!$J:$J,0)))</f>
        <v>#N/A</v>
      </c>
      <c r="X870" s="140">
        <f t="shared" ca="1" si="94"/>
        <v>0</v>
      </c>
      <c r="AB870" s="178" t="str">
        <f t="shared" si="95"/>
        <v/>
      </c>
    </row>
    <row r="871" spans="1:28" s="140" customFormat="1" ht="20.25">
      <c r="A871" s="167"/>
      <c r="B871" s="168" t="str">
        <f>IF(LEN(A871)=0,"",INDEX('Smelter Look-up'!$A:$A,MATCH($A871,'Smelter Look-up'!$E:$E,0)))</f>
        <v/>
      </c>
      <c r="C871" s="169" t="str">
        <f>IF(LEN(A871)=0,"",INDEX('Smelter Look-up'!$C:$C,MATCH($A871,'Smelter Look-up'!$E:$E,0)))</f>
        <v/>
      </c>
      <c r="D871" s="170"/>
      <c r="E871" s="168" t="str">
        <f ca="1">IF(ISERROR($V871),"",OFFSET('Smelter Look-up'!$D$4,$V871-4,0)&amp;"")</f>
        <v/>
      </c>
      <c r="F871" s="168" t="str">
        <f ca="1">IF(ISERROR($V871),"",OFFSET('Smelter Look-up'!$E$4,$V871-4,0))</f>
        <v/>
      </c>
      <c r="G871" s="168" t="str">
        <f ca="1">IF(C871=$X$4,IF(ISERROR($V871),"Enter smelter details","RMI"),IF(ISERROR($V871),"",OFFSET('Smelter Look-up'!$F$4,$V871-4,0)))</f>
        <v/>
      </c>
      <c r="H871" s="171" t="str">
        <f ca="1">IF(ISERROR($V871),"",OFFSET('Smelter Look-up'!$G$4,$V871-4,0))</f>
        <v/>
      </c>
      <c r="I871" s="172" t="str">
        <f ca="1">IF(ISERROR($V871),"",OFFSET('Smelter Look-up'!$H$4,$V871-4,0))</f>
        <v/>
      </c>
      <c r="J871" s="172" t="str">
        <f ca="1">IF(ISERROR($V871),"",OFFSET('Smelter Look-up'!$I$4,$V871-4,0))</f>
        <v/>
      </c>
      <c r="K871" s="173"/>
      <c r="L871" s="173"/>
      <c r="M871" s="173"/>
      <c r="N871" s="173"/>
      <c r="O871" s="173"/>
      <c r="P871" s="174"/>
      <c r="Q871" s="175"/>
      <c r="R871" s="168" t="str">
        <f ca="1">IF(ISERROR($V871),"",OFFSET('Smelter Look-up'!$C$4,$V871-4,0)&amp;"")</f>
        <v/>
      </c>
      <c r="S871" s="167" t="str">
        <f t="shared" ca="1" si="93"/>
        <v/>
      </c>
      <c r="T871" s="167" t="str">
        <f ca="1">IF(B871="","",IF(ISERROR(MATCH($J871,SorP!$B$1:$B$6230,0)),"",INDIRECT("'SorP'!$A$"&amp;MATCH($J871,SorP!$B$1:$B$6230,0))))</f>
        <v/>
      </c>
      <c r="U871" s="176"/>
      <c r="V871" s="177" t="e">
        <f>IF(C871="",NA(),IF(OR(C871="Smelter not listed",C871="Smelter not yet identified"),MATCH($B871&amp;$D871,'Smelter Look-up'!$J:$J,0),MATCH($B871&amp;$C871,'Smelter Look-up'!$J:$J,0)))</f>
        <v>#N/A</v>
      </c>
      <c r="X871" s="140">
        <f t="shared" ca="1" si="94"/>
        <v>0</v>
      </c>
      <c r="AB871" s="178" t="str">
        <f t="shared" si="95"/>
        <v/>
      </c>
    </row>
    <row r="872" spans="1:28" s="140" customFormat="1" ht="20.25">
      <c r="A872" s="167"/>
      <c r="B872" s="168" t="str">
        <f>IF(LEN(A872)=0,"",INDEX('Smelter Look-up'!$A:$A,MATCH($A872,'Smelter Look-up'!$E:$E,0)))</f>
        <v/>
      </c>
      <c r="C872" s="169" t="str">
        <f>IF(LEN(A872)=0,"",INDEX('Smelter Look-up'!$C:$C,MATCH($A872,'Smelter Look-up'!$E:$E,0)))</f>
        <v/>
      </c>
      <c r="D872" s="170"/>
      <c r="E872" s="168" t="str">
        <f ca="1">IF(ISERROR($V872),"",OFFSET('Smelter Look-up'!$D$4,$V872-4,0)&amp;"")</f>
        <v/>
      </c>
      <c r="F872" s="168" t="str">
        <f ca="1">IF(ISERROR($V872),"",OFFSET('Smelter Look-up'!$E$4,$V872-4,0))</f>
        <v/>
      </c>
      <c r="G872" s="168" t="str">
        <f ca="1">IF(C872=$X$4,IF(ISERROR($V872),"Enter smelter details","RMI"),IF(ISERROR($V872),"",OFFSET('Smelter Look-up'!$F$4,$V872-4,0)))</f>
        <v/>
      </c>
      <c r="H872" s="171" t="str">
        <f ca="1">IF(ISERROR($V872),"",OFFSET('Smelter Look-up'!$G$4,$V872-4,0))</f>
        <v/>
      </c>
      <c r="I872" s="172" t="str">
        <f ca="1">IF(ISERROR($V872),"",OFFSET('Smelter Look-up'!$H$4,$V872-4,0))</f>
        <v/>
      </c>
      <c r="J872" s="172" t="str">
        <f ca="1">IF(ISERROR($V872),"",OFFSET('Smelter Look-up'!$I$4,$V872-4,0))</f>
        <v/>
      </c>
      <c r="K872" s="173"/>
      <c r="L872" s="173"/>
      <c r="M872" s="173"/>
      <c r="N872" s="173"/>
      <c r="O872" s="173"/>
      <c r="P872" s="174"/>
      <c r="Q872" s="175"/>
      <c r="R872" s="168" t="str">
        <f ca="1">IF(ISERROR($V872),"",OFFSET('Smelter Look-up'!$C$4,$V872-4,0)&amp;"")</f>
        <v/>
      </c>
      <c r="S872" s="167" t="str">
        <f t="shared" ca="1" si="93"/>
        <v/>
      </c>
      <c r="T872" s="167" t="str">
        <f ca="1">IF(B872="","",IF(ISERROR(MATCH($J872,SorP!$B$1:$B$6230,0)),"",INDIRECT("'SorP'!$A$"&amp;MATCH($J872,SorP!$B$1:$B$6230,0))))</f>
        <v/>
      </c>
      <c r="U872" s="176"/>
      <c r="V872" s="177" t="e">
        <f>IF(C872="",NA(),IF(OR(C872="Smelter not listed",C872="Smelter not yet identified"),MATCH($B872&amp;$D872,'Smelter Look-up'!$J:$J,0),MATCH($B872&amp;$C872,'Smelter Look-up'!$J:$J,0)))</f>
        <v>#N/A</v>
      </c>
      <c r="X872" s="140">
        <f t="shared" ca="1" si="94"/>
        <v>0</v>
      </c>
      <c r="AB872" s="178" t="str">
        <f t="shared" si="95"/>
        <v/>
      </c>
    </row>
    <row r="873" spans="1:28" s="140" customFormat="1" ht="20.25">
      <c r="A873" s="167"/>
      <c r="B873" s="168" t="str">
        <f>IF(LEN(A873)=0,"",INDEX('Smelter Look-up'!$A:$A,MATCH($A873,'Smelter Look-up'!$E:$E,0)))</f>
        <v/>
      </c>
      <c r="C873" s="169" t="str">
        <f>IF(LEN(A873)=0,"",INDEX('Smelter Look-up'!$C:$C,MATCH($A873,'Smelter Look-up'!$E:$E,0)))</f>
        <v/>
      </c>
      <c r="D873" s="170"/>
      <c r="E873" s="168" t="str">
        <f ca="1">IF(ISERROR($V873),"",OFFSET('Smelter Look-up'!$D$4,$V873-4,0)&amp;"")</f>
        <v/>
      </c>
      <c r="F873" s="168" t="str">
        <f ca="1">IF(ISERROR($V873),"",OFFSET('Smelter Look-up'!$E$4,$V873-4,0))</f>
        <v/>
      </c>
      <c r="G873" s="168" t="str">
        <f ca="1">IF(C873=$X$4,IF(ISERROR($V873),"Enter smelter details","RMI"),IF(ISERROR($V873),"",OFFSET('Smelter Look-up'!$F$4,$V873-4,0)))</f>
        <v/>
      </c>
      <c r="H873" s="171" t="str">
        <f ca="1">IF(ISERROR($V873),"",OFFSET('Smelter Look-up'!$G$4,$V873-4,0))</f>
        <v/>
      </c>
      <c r="I873" s="172" t="str">
        <f ca="1">IF(ISERROR($V873),"",OFFSET('Smelter Look-up'!$H$4,$V873-4,0))</f>
        <v/>
      </c>
      <c r="J873" s="172" t="str">
        <f ca="1">IF(ISERROR($V873),"",OFFSET('Smelter Look-up'!$I$4,$V873-4,0))</f>
        <v/>
      </c>
      <c r="K873" s="173"/>
      <c r="L873" s="173"/>
      <c r="M873" s="173"/>
      <c r="N873" s="173"/>
      <c r="O873" s="173"/>
      <c r="P873" s="174"/>
      <c r="Q873" s="175"/>
      <c r="R873" s="168" t="str">
        <f ca="1">IF(ISERROR($V873),"",OFFSET('Smelter Look-up'!$C$4,$V873-4,0)&amp;"")</f>
        <v/>
      </c>
      <c r="S873" s="167" t="str">
        <f t="shared" ca="1" si="93"/>
        <v/>
      </c>
      <c r="T873" s="167" t="str">
        <f ca="1">IF(B873="","",IF(ISERROR(MATCH($J873,SorP!$B$1:$B$6230,0)),"",INDIRECT("'SorP'!$A$"&amp;MATCH($J873,SorP!$B$1:$B$6230,0))))</f>
        <v/>
      </c>
      <c r="U873" s="176"/>
      <c r="V873" s="177" t="e">
        <f>IF(C873="",NA(),IF(OR(C873="Smelter not listed",C873="Smelter not yet identified"),MATCH($B873&amp;$D873,'Smelter Look-up'!$J:$J,0),MATCH($B873&amp;$C873,'Smelter Look-up'!$J:$J,0)))</f>
        <v>#N/A</v>
      </c>
      <c r="X873" s="140">
        <f t="shared" ca="1" si="94"/>
        <v>0</v>
      </c>
      <c r="AB873" s="178" t="str">
        <f t="shared" si="95"/>
        <v/>
      </c>
    </row>
    <row r="874" spans="1:28" s="140" customFormat="1" ht="20.25">
      <c r="A874" s="167"/>
      <c r="B874" s="168" t="str">
        <f>IF(LEN(A874)=0,"",INDEX('Smelter Look-up'!$A:$A,MATCH($A874,'Smelter Look-up'!$E:$E,0)))</f>
        <v/>
      </c>
      <c r="C874" s="169" t="str">
        <f>IF(LEN(A874)=0,"",INDEX('Smelter Look-up'!$C:$C,MATCH($A874,'Smelter Look-up'!$E:$E,0)))</f>
        <v/>
      </c>
      <c r="D874" s="170"/>
      <c r="E874" s="168" t="str">
        <f ca="1">IF(ISERROR($V874),"",OFFSET('Smelter Look-up'!$D$4,$V874-4,0)&amp;"")</f>
        <v/>
      </c>
      <c r="F874" s="168" t="str">
        <f ca="1">IF(ISERROR($V874),"",OFFSET('Smelter Look-up'!$E$4,$V874-4,0))</f>
        <v/>
      </c>
      <c r="G874" s="168" t="str">
        <f ca="1">IF(C874=$X$4,IF(ISERROR($V874),"Enter smelter details","RMI"),IF(ISERROR($V874),"",OFFSET('Smelter Look-up'!$F$4,$V874-4,0)))</f>
        <v/>
      </c>
      <c r="H874" s="171" t="str">
        <f ca="1">IF(ISERROR($V874),"",OFFSET('Smelter Look-up'!$G$4,$V874-4,0))</f>
        <v/>
      </c>
      <c r="I874" s="172" t="str">
        <f ca="1">IF(ISERROR($V874),"",OFFSET('Smelter Look-up'!$H$4,$V874-4,0))</f>
        <v/>
      </c>
      <c r="J874" s="172" t="str">
        <f ca="1">IF(ISERROR($V874),"",OFFSET('Smelter Look-up'!$I$4,$V874-4,0))</f>
        <v/>
      </c>
      <c r="K874" s="173"/>
      <c r="L874" s="173"/>
      <c r="M874" s="173"/>
      <c r="N874" s="173"/>
      <c r="O874" s="173"/>
      <c r="P874" s="174"/>
      <c r="Q874" s="175"/>
      <c r="R874" s="168" t="str">
        <f ca="1">IF(ISERROR($V874),"",OFFSET('Smelter Look-up'!$C$4,$V874-4,0)&amp;"")</f>
        <v/>
      </c>
      <c r="S874" s="167" t="str">
        <f t="shared" ca="1" si="93"/>
        <v/>
      </c>
      <c r="T874" s="167" t="str">
        <f ca="1">IF(B874="","",IF(ISERROR(MATCH($J874,SorP!$B$1:$B$6230,0)),"",INDIRECT("'SorP'!$A$"&amp;MATCH($J874,SorP!$B$1:$B$6230,0))))</f>
        <v/>
      </c>
      <c r="U874" s="176"/>
      <c r="V874" s="177" t="e">
        <f>IF(C874="",NA(),IF(OR(C874="Smelter not listed",C874="Smelter not yet identified"),MATCH($B874&amp;$D874,'Smelter Look-up'!$J:$J,0),MATCH($B874&amp;$C874,'Smelter Look-up'!$J:$J,0)))</f>
        <v>#N/A</v>
      </c>
      <c r="X874" s="140">
        <f t="shared" ca="1" si="94"/>
        <v>0</v>
      </c>
      <c r="AB874" s="178" t="str">
        <f t="shared" si="95"/>
        <v/>
      </c>
    </row>
    <row r="875" spans="1:28" s="140" customFormat="1" ht="20.25">
      <c r="A875" s="167"/>
      <c r="B875" s="168" t="str">
        <f>IF(LEN(A875)=0,"",INDEX('Smelter Look-up'!$A:$A,MATCH($A875,'Smelter Look-up'!$E:$E,0)))</f>
        <v/>
      </c>
      <c r="C875" s="169" t="str">
        <f>IF(LEN(A875)=0,"",INDEX('Smelter Look-up'!$C:$C,MATCH($A875,'Smelter Look-up'!$E:$E,0)))</f>
        <v/>
      </c>
      <c r="D875" s="170"/>
      <c r="E875" s="168" t="str">
        <f ca="1">IF(ISERROR($V875),"",OFFSET('Smelter Look-up'!$D$4,$V875-4,0)&amp;"")</f>
        <v/>
      </c>
      <c r="F875" s="168" t="str">
        <f ca="1">IF(ISERROR($V875),"",OFFSET('Smelter Look-up'!$E$4,$V875-4,0))</f>
        <v/>
      </c>
      <c r="G875" s="168" t="str">
        <f ca="1">IF(C875=$X$4,IF(ISERROR($V875),"Enter smelter details","RMI"),IF(ISERROR($V875),"",OFFSET('Smelter Look-up'!$F$4,$V875-4,0)))</f>
        <v/>
      </c>
      <c r="H875" s="171" t="str">
        <f ca="1">IF(ISERROR($V875),"",OFFSET('Smelter Look-up'!$G$4,$V875-4,0))</f>
        <v/>
      </c>
      <c r="I875" s="172" t="str">
        <f ca="1">IF(ISERROR($V875),"",OFFSET('Smelter Look-up'!$H$4,$V875-4,0))</f>
        <v/>
      </c>
      <c r="J875" s="172" t="str">
        <f ca="1">IF(ISERROR($V875),"",OFFSET('Smelter Look-up'!$I$4,$V875-4,0))</f>
        <v/>
      </c>
      <c r="K875" s="173"/>
      <c r="L875" s="173"/>
      <c r="M875" s="173"/>
      <c r="N875" s="173"/>
      <c r="O875" s="173"/>
      <c r="P875" s="174"/>
      <c r="Q875" s="175"/>
      <c r="R875" s="168" t="str">
        <f ca="1">IF(ISERROR($V875),"",OFFSET('Smelter Look-up'!$C$4,$V875-4,0)&amp;"")</f>
        <v/>
      </c>
      <c r="S875" s="167" t="str">
        <f t="shared" ca="1" si="93"/>
        <v/>
      </c>
      <c r="T875" s="167" t="str">
        <f ca="1">IF(B875="","",IF(ISERROR(MATCH($J875,SorP!$B$1:$B$6230,0)),"",INDIRECT("'SorP'!$A$"&amp;MATCH($J875,SorP!$B$1:$B$6230,0))))</f>
        <v/>
      </c>
      <c r="U875" s="176"/>
      <c r="V875" s="177" t="e">
        <f>IF(C875="",NA(),IF(OR(C875="Smelter not listed",C875="Smelter not yet identified"),MATCH($B875&amp;$D875,'Smelter Look-up'!$J:$J,0),MATCH($B875&amp;$C875,'Smelter Look-up'!$J:$J,0)))</f>
        <v>#N/A</v>
      </c>
      <c r="X875" s="140">
        <f t="shared" ca="1" si="94"/>
        <v>0</v>
      </c>
      <c r="AB875" s="178" t="str">
        <f t="shared" si="95"/>
        <v/>
      </c>
    </row>
    <row r="876" spans="1:28" s="140" customFormat="1" ht="20.25">
      <c r="A876" s="167"/>
      <c r="B876" s="168" t="str">
        <f>IF(LEN(A876)=0,"",INDEX('Smelter Look-up'!$A:$A,MATCH($A876,'Smelter Look-up'!$E:$E,0)))</f>
        <v/>
      </c>
      <c r="C876" s="169" t="str">
        <f>IF(LEN(A876)=0,"",INDEX('Smelter Look-up'!$C:$C,MATCH($A876,'Smelter Look-up'!$E:$E,0)))</f>
        <v/>
      </c>
      <c r="D876" s="170"/>
      <c r="E876" s="168" t="str">
        <f ca="1">IF(ISERROR($V876),"",OFFSET('Smelter Look-up'!$D$4,$V876-4,0)&amp;"")</f>
        <v/>
      </c>
      <c r="F876" s="168" t="str">
        <f ca="1">IF(ISERROR($V876),"",OFFSET('Smelter Look-up'!$E$4,$V876-4,0))</f>
        <v/>
      </c>
      <c r="G876" s="168" t="str">
        <f ca="1">IF(C876=$X$4,IF(ISERROR($V876),"Enter smelter details","RMI"),IF(ISERROR($V876),"",OFFSET('Smelter Look-up'!$F$4,$V876-4,0)))</f>
        <v/>
      </c>
      <c r="H876" s="171" t="str">
        <f ca="1">IF(ISERROR($V876),"",OFFSET('Smelter Look-up'!$G$4,$V876-4,0))</f>
        <v/>
      </c>
      <c r="I876" s="172" t="str">
        <f ca="1">IF(ISERROR($V876),"",OFFSET('Smelter Look-up'!$H$4,$V876-4,0))</f>
        <v/>
      </c>
      <c r="J876" s="172" t="str">
        <f ca="1">IF(ISERROR($V876),"",OFFSET('Smelter Look-up'!$I$4,$V876-4,0))</f>
        <v/>
      </c>
      <c r="K876" s="173"/>
      <c r="L876" s="173"/>
      <c r="M876" s="173"/>
      <c r="N876" s="173"/>
      <c r="O876" s="173"/>
      <c r="P876" s="174"/>
      <c r="Q876" s="175"/>
      <c r="R876" s="168" t="str">
        <f ca="1">IF(ISERROR($V876),"",OFFSET('Smelter Look-up'!$C$4,$V876-4,0)&amp;"")</f>
        <v/>
      </c>
      <c r="S876" s="167" t="str">
        <f t="shared" ca="1" si="93"/>
        <v/>
      </c>
      <c r="T876" s="167" t="str">
        <f ca="1">IF(B876="","",IF(ISERROR(MATCH($J876,SorP!$B$1:$B$6230,0)),"",INDIRECT("'SorP'!$A$"&amp;MATCH($J876,SorP!$B$1:$B$6230,0))))</f>
        <v/>
      </c>
      <c r="U876" s="176"/>
      <c r="V876" s="177" t="e">
        <f>IF(C876="",NA(),IF(OR(C876="Smelter not listed",C876="Smelter not yet identified"),MATCH($B876&amp;$D876,'Smelter Look-up'!$J:$J,0),MATCH($B876&amp;$C876,'Smelter Look-up'!$J:$J,0)))</f>
        <v>#N/A</v>
      </c>
      <c r="X876" s="140">
        <f t="shared" ca="1" si="94"/>
        <v>0</v>
      </c>
      <c r="AB876" s="178" t="str">
        <f t="shared" si="95"/>
        <v/>
      </c>
    </row>
    <row r="877" spans="1:28" s="140" customFormat="1" ht="20.25">
      <c r="A877" s="167"/>
      <c r="B877" s="168" t="str">
        <f>IF(LEN(A877)=0,"",INDEX('Smelter Look-up'!$A:$A,MATCH($A877,'Smelter Look-up'!$E:$E,0)))</f>
        <v/>
      </c>
      <c r="C877" s="169" t="str">
        <f>IF(LEN(A877)=0,"",INDEX('Smelter Look-up'!$C:$C,MATCH($A877,'Smelter Look-up'!$E:$E,0)))</f>
        <v/>
      </c>
      <c r="D877" s="170"/>
      <c r="E877" s="168" t="str">
        <f ca="1">IF(ISERROR($V877),"",OFFSET('Smelter Look-up'!$D$4,$V877-4,0)&amp;"")</f>
        <v/>
      </c>
      <c r="F877" s="168" t="str">
        <f ca="1">IF(ISERROR($V877),"",OFFSET('Smelter Look-up'!$E$4,$V877-4,0))</f>
        <v/>
      </c>
      <c r="G877" s="168" t="str">
        <f ca="1">IF(C877=$X$4,IF(ISERROR($V877),"Enter smelter details","RMI"),IF(ISERROR($V877),"",OFFSET('Smelter Look-up'!$F$4,$V877-4,0)))</f>
        <v/>
      </c>
      <c r="H877" s="171" t="str">
        <f ca="1">IF(ISERROR($V877),"",OFFSET('Smelter Look-up'!$G$4,$V877-4,0))</f>
        <v/>
      </c>
      <c r="I877" s="172" t="str">
        <f ca="1">IF(ISERROR($V877),"",OFFSET('Smelter Look-up'!$H$4,$V877-4,0))</f>
        <v/>
      </c>
      <c r="J877" s="172" t="str">
        <f ca="1">IF(ISERROR($V877),"",OFFSET('Smelter Look-up'!$I$4,$V877-4,0))</f>
        <v/>
      </c>
      <c r="K877" s="173"/>
      <c r="L877" s="173"/>
      <c r="M877" s="173"/>
      <c r="N877" s="173"/>
      <c r="O877" s="173"/>
      <c r="P877" s="174"/>
      <c r="Q877" s="175"/>
      <c r="R877" s="168" t="str">
        <f ca="1">IF(ISERROR($V877),"",OFFSET('Smelter Look-up'!$C$4,$V877-4,0)&amp;"")</f>
        <v/>
      </c>
      <c r="S877" s="167" t="str">
        <f t="shared" ca="1" si="93"/>
        <v/>
      </c>
      <c r="T877" s="167" t="str">
        <f ca="1">IF(B877="","",IF(ISERROR(MATCH($J877,SorP!$B$1:$B$6230,0)),"",INDIRECT("'SorP'!$A$"&amp;MATCH($J877,SorP!$B$1:$B$6230,0))))</f>
        <v/>
      </c>
      <c r="U877" s="176"/>
      <c r="V877" s="177" t="e">
        <f>IF(C877="",NA(),IF(OR(C877="Smelter not listed",C877="Smelter not yet identified"),MATCH($B877&amp;$D877,'Smelter Look-up'!$J:$J,0),MATCH($B877&amp;$C877,'Smelter Look-up'!$J:$J,0)))</f>
        <v>#N/A</v>
      </c>
      <c r="X877" s="140">
        <f t="shared" ca="1" si="94"/>
        <v>0</v>
      </c>
      <c r="AB877" s="178" t="str">
        <f t="shared" si="95"/>
        <v/>
      </c>
    </row>
    <row r="878" spans="1:28" s="140" customFormat="1" ht="20.25">
      <c r="A878" s="167"/>
      <c r="B878" s="168" t="str">
        <f>IF(LEN(A878)=0,"",INDEX('Smelter Look-up'!$A:$A,MATCH($A878,'Smelter Look-up'!$E:$E,0)))</f>
        <v/>
      </c>
      <c r="C878" s="169" t="str">
        <f>IF(LEN(A878)=0,"",INDEX('Smelter Look-up'!$C:$C,MATCH($A878,'Smelter Look-up'!$E:$E,0)))</f>
        <v/>
      </c>
      <c r="D878" s="170"/>
      <c r="E878" s="168" t="str">
        <f ca="1">IF(ISERROR($V878),"",OFFSET('Smelter Look-up'!$D$4,$V878-4,0)&amp;"")</f>
        <v/>
      </c>
      <c r="F878" s="168" t="str">
        <f ca="1">IF(ISERROR($V878),"",OFFSET('Smelter Look-up'!$E$4,$V878-4,0))</f>
        <v/>
      </c>
      <c r="G878" s="168" t="str">
        <f ca="1">IF(C878=$X$4,IF(ISERROR($V878),"Enter smelter details","RMI"),IF(ISERROR($V878),"",OFFSET('Smelter Look-up'!$F$4,$V878-4,0)))</f>
        <v/>
      </c>
      <c r="H878" s="171" t="str">
        <f ca="1">IF(ISERROR($V878),"",OFFSET('Smelter Look-up'!$G$4,$V878-4,0))</f>
        <v/>
      </c>
      <c r="I878" s="172" t="str">
        <f ca="1">IF(ISERROR($V878),"",OFFSET('Smelter Look-up'!$H$4,$V878-4,0))</f>
        <v/>
      </c>
      <c r="J878" s="172" t="str">
        <f ca="1">IF(ISERROR($V878),"",OFFSET('Smelter Look-up'!$I$4,$V878-4,0))</f>
        <v/>
      </c>
      <c r="K878" s="173"/>
      <c r="L878" s="173"/>
      <c r="M878" s="173"/>
      <c r="N878" s="173"/>
      <c r="O878" s="173"/>
      <c r="P878" s="174"/>
      <c r="Q878" s="175"/>
      <c r="R878" s="168" t="str">
        <f ca="1">IF(ISERROR($V878),"",OFFSET('Smelter Look-up'!$C$4,$V878-4,0)&amp;"")</f>
        <v/>
      </c>
      <c r="S878" s="167" t="str">
        <f t="shared" ca="1" si="93"/>
        <v/>
      </c>
      <c r="T878" s="167" t="str">
        <f ca="1">IF(B878="","",IF(ISERROR(MATCH($J878,SorP!$B$1:$B$6230,0)),"",INDIRECT("'SorP'!$A$"&amp;MATCH($J878,SorP!$B$1:$B$6230,0))))</f>
        <v/>
      </c>
      <c r="U878" s="176"/>
      <c r="V878" s="177" t="e">
        <f>IF(C878="",NA(),IF(OR(C878="Smelter not listed",C878="Smelter not yet identified"),MATCH($B878&amp;$D878,'Smelter Look-up'!$J:$J,0),MATCH($B878&amp;$C878,'Smelter Look-up'!$J:$J,0)))</f>
        <v>#N/A</v>
      </c>
      <c r="X878" s="140">
        <f t="shared" ca="1" si="94"/>
        <v>0</v>
      </c>
      <c r="AB878" s="178" t="str">
        <f t="shared" si="95"/>
        <v/>
      </c>
    </row>
    <row r="879" spans="1:28" s="140" customFormat="1" ht="20.25">
      <c r="A879" s="167"/>
      <c r="B879" s="168" t="str">
        <f>IF(LEN(A879)=0,"",INDEX('Smelter Look-up'!$A:$A,MATCH($A879,'Smelter Look-up'!$E:$E,0)))</f>
        <v/>
      </c>
      <c r="C879" s="169" t="str">
        <f>IF(LEN(A879)=0,"",INDEX('Smelter Look-up'!$C:$C,MATCH($A879,'Smelter Look-up'!$E:$E,0)))</f>
        <v/>
      </c>
      <c r="D879" s="170"/>
      <c r="E879" s="168" t="str">
        <f ca="1">IF(ISERROR($V879),"",OFFSET('Smelter Look-up'!$D$4,$V879-4,0)&amp;"")</f>
        <v/>
      </c>
      <c r="F879" s="168" t="str">
        <f ca="1">IF(ISERROR($V879),"",OFFSET('Smelter Look-up'!$E$4,$V879-4,0))</f>
        <v/>
      </c>
      <c r="G879" s="168" t="str">
        <f ca="1">IF(C879=$X$4,IF(ISERROR($V879),"Enter smelter details","RMI"),IF(ISERROR($V879),"",OFFSET('Smelter Look-up'!$F$4,$V879-4,0)))</f>
        <v/>
      </c>
      <c r="H879" s="171" t="str">
        <f ca="1">IF(ISERROR($V879),"",OFFSET('Smelter Look-up'!$G$4,$V879-4,0))</f>
        <v/>
      </c>
      <c r="I879" s="172" t="str">
        <f ca="1">IF(ISERROR($V879),"",OFFSET('Smelter Look-up'!$H$4,$V879-4,0))</f>
        <v/>
      </c>
      <c r="J879" s="172" t="str">
        <f ca="1">IF(ISERROR($V879),"",OFFSET('Smelter Look-up'!$I$4,$V879-4,0))</f>
        <v/>
      </c>
      <c r="K879" s="173"/>
      <c r="L879" s="173"/>
      <c r="M879" s="173"/>
      <c r="N879" s="173"/>
      <c r="O879" s="173"/>
      <c r="P879" s="174"/>
      <c r="Q879" s="175"/>
      <c r="R879" s="168" t="str">
        <f ca="1">IF(ISERROR($V879),"",OFFSET('Smelter Look-up'!$C$4,$V879-4,0)&amp;"")</f>
        <v/>
      </c>
      <c r="S879" s="167" t="str">
        <f t="shared" ca="1" si="93"/>
        <v/>
      </c>
      <c r="T879" s="167" t="str">
        <f ca="1">IF(B879="","",IF(ISERROR(MATCH($J879,SorP!$B$1:$B$6230,0)),"",INDIRECT("'SorP'!$A$"&amp;MATCH($J879,SorP!$B$1:$B$6230,0))))</f>
        <v/>
      </c>
      <c r="U879" s="176"/>
      <c r="V879" s="177" t="e">
        <f>IF(C879="",NA(),IF(OR(C879="Smelter not listed",C879="Smelter not yet identified"),MATCH($B879&amp;$D879,'Smelter Look-up'!$J:$J,0),MATCH($B879&amp;$C879,'Smelter Look-up'!$J:$J,0)))</f>
        <v>#N/A</v>
      </c>
      <c r="X879" s="140">
        <f t="shared" ca="1" si="94"/>
        <v>0</v>
      </c>
      <c r="AB879" s="178" t="str">
        <f t="shared" si="95"/>
        <v/>
      </c>
    </row>
    <row r="880" spans="1:28" s="140" customFormat="1" ht="20.25">
      <c r="A880" s="167"/>
      <c r="B880" s="168" t="str">
        <f>IF(LEN(A880)=0,"",INDEX('Smelter Look-up'!$A:$A,MATCH($A880,'Smelter Look-up'!$E:$E,0)))</f>
        <v/>
      </c>
      <c r="C880" s="169" t="str">
        <f>IF(LEN(A880)=0,"",INDEX('Smelter Look-up'!$C:$C,MATCH($A880,'Smelter Look-up'!$E:$E,0)))</f>
        <v/>
      </c>
      <c r="D880" s="170"/>
      <c r="E880" s="168" t="str">
        <f ca="1">IF(ISERROR($V880),"",OFFSET('Smelter Look-up'!$D$4,$V880-4,0)&amp;"")</f>
        <v/>
      </c>
      <c r="F880" s="168" t="str">
        <f ca="1">IF(ISERROR($V880),"",OFFSET('Smelter Look-up'!$E$4,$V880-4,0))</f>
        <v/>
      </c>
      <c r="G880" s="168" t="str">
        <f ca="1">IF(C880=$X$4,IF(ISERROR($V880),"Enter smelter details","RMI"),IF(ISERROR($V880),"",OFFSET('Smelter Look-up'!$F$4,$V880-4,0)))</f>
        <v/>
      </c>
      <c r="H880" s="171" t="str">
        <f ca="1">IF(ISERROR($V880),"",OFFSET('Smelter Look-up'!$G$4,$V880-4,0))</f>
        <v/>
      </c>
      <c r="I880" s="172" t="str">
        <f ca="1">IF(ISERROR($V880),"",OFFSET('Smelter Look-up'!$H$4,$V880-4,0))</f>
        <v/>
      </c>
      <c r="J880" s="172" t="str">
        <f ca="1">IF(ISERROR($V880),"",OFFSET('Smelter Look-up'!$I$4,$V880-4,0))</f>
        <v/>
      </c>
      <c r="K880" s="173"/>
      <c r="L880" s="173"/>
      <c r="M880" s="173"/>
      <c r="N880" s="173"/>
      <c r="O880" s="173"/>
      <c r="P880" s="174"/>
      <c r="Q880" s="175"/>
      <c r="R880" s="168" t="str">
        <f ca="1">IF(ISERROR($V880),"",OFFSET('Smelter Look-up'!$C$4,$V880-4,0)&amp;"")</f>
        <v/>
      </c>
      <c r="S880" s="167" t="str">
        <f t="shared" ca="1" si="93"/>
        <v/>
      </c>
      <c r="T880" s="167" t="str">
        <f ca="1">IF(B880="","",IF(ISERROR(MATCH($J880,SorP!$B$1:$B$6230,0)),"",INDIRECT("'SorP'!$A$"&amp;MATCH($J880,SorP!$B$1:$B$6230,0))))</f>
        <v/>
      </c>
      <c r="U880" s="176"/>
      <c r="V880" s="177" t="e">
        <f>IF(C880="",NA(),IF(OR(C880="Smelter not listed",C880="Smelter not yet identified"),MATCH($B880&amp;$D880,'Smelter Look-up'!$J:$J,0),MATCH($B880&amp;$C880,'Smelter Look-up'!$J:$J,0)))</f>
        <v>#N/A</v>
      </c>
      <c r="X880" s="140">
        <f t="shared" ca="1" si="94"/>
        <v>0</v>
      </c>
      <c r="AB880" s="178" t="str">
        <f t="shared" si="95"/>
        <v/>
      </c>
    </row>
    <row r="881" spans="1:28" s="140" customFormat="1" ht="20.25">
      <c r="A881" s="167"/>
      <c r="B881" s="168" t="str">
        <f>IF(LEN(A881)=0,"",INDEX('Smelter Look-up'!$A:$A,MATCH($A881,'Smelter Look-up'!$E:$E,0)))</f>
        <v/>
      </c>
      <c r="C881" s="169" t="str">
        <f>IF(LEN(A881)=0,"",INDEX('Smelter Look-up'!$C:$C,MATCH($A881,'Smelter Look-up'!$E:$E,0)))</f>
        <v/>
      </c>
      <c r="D881" s="170"/>
      <c r="E881" s="168" t="str">
        <f ca="1">IF(ISERROR($V881),"",OFFSET('Smelter Look-up'!$D$4,$V881-4,0)&amp;"")</f>
        <v/>
      </c>
      <c r="F881" s="168" t="str">
        <f ca="1">IF(ISERROR($V881),"",OFFSET('Smelter Look-up'!$E$4,$V881-4,0))</f>
        <v/>
      </c>
      <c r="G881" s="168" t="str">
        <f ca="1">IF(C881=$X$4,IF(ISERROR($V881),"Enter smelter details","RMI"),IF(ISERROR($V881),"",OFFSET('Smelter Look-up'!$F$4,$V881-4,0)))</f>
        <v/>
      </c>
      <c r="H881" s="171" t="str">
        <f ca="1">IF(ISERROR($V881),"",OFFSET('Smelter Look-up'!$G$4,$V881-4,0))</f>
        <v/>
      </c>
      <c r="I881" s="172" t="str">
        <f ca="1">IF(ISERROR($V881),"",OFFSET('Smelter Look-up'!$H$4,$V881-4,0))</f>
        <v/>
      </c>
      <c r="J881" s="172" t="str">
        <f ca="1">IF(ISERROR($V881),"",OFFSET('Smelter Look-up'!$I$4,$V881-4,0))</f>
        <v/>
      </c>
      <c r="K881" s="173"/>
      <c r="L881" s="173"/>
      <c r="M881" s="173"/>
      <c r="N881" s="173"/>
      <c r="O881" s="173"/>
      <c r="P881" s="174"/>
      <c r="Q881" s="175"/>
      <c r="R881" s="168" t="str">
        <f ca="1">IF(ISERROR($V881),"",OFFSET('Smelter Look-up'!$C$4,$V881-4,0)&amp;"")</f>
        <v/>
      </c>
      <c r="S881" s="167" t="str">
        <f t="shared" ca="1" si="93"/>
        <v/>
      </c>
      <c r="T881" s="167" t="str">
        <f ca="1">IF(B881="","",IF(ISERROR(MATCH($J881,SorP!$B$1:$B$6230,0)),"",INDIRECT("'SorP'!$A$"&amp;MATCH($J881,SorP!$B$1:$B$6230,0))))</f>
        <v/>
      </c>
      <c r="U881" s="176"/>
      <c r="V881" s="177" t="e">
        <f>IF(C881="",NA(),IF(OR(C881="Smelter not listed",C881="Smelter not yet identified"),MATCH($B881&amp;$D881,'Smelter Look-up'!$J:$J,0),MATCH($B881&amp;$C881,'Smelter Look-up'!$J:$J,0)))</f>
        <v>#N/A</v>
      </c>
      <c r="X881" s="140">
        <f t="shared" ca="1" si="94"/>
        <v>0</v>
      </c>
      <c r="AB881" s="178" t="str">
        <f t="shared" si="95"/>
        <v/>
      </c>
    </row>
    <row r="882" spans="1:28" s="140" customFormat="1" ht="20.25">
      <c r="A882" s="167"/>
      <c r="B882" s="168" t="str">
        <f>IF(LEN(A882)=0,"",INDEX('Smelter Look-up'!$A:$A,MATCH($A882,'Smelter Look-up'!$E:$E,0)))</f>
        <v/>
      </c>
      <c r="C882" s="169" t="str">
        <f>IF(LEN(A882)=0,"",INDEX('Smelter Look-up'!$C:$C,MATCH($A882,'Smelter Look-up'!$E:$E,0)))</f>
        <v/>
      </c>
      <c r="D882" s="170"/>
      <c r="E882" s="168" t="str">
        <f ca="1">IF(ISERROR($V882),"",OFFSET('Smelter Look-up'!$D$4,$V882-4,0)&amp;"")</f>
        <v/>
      </c>
      <c r="F882" s="168" t="str">
        <f ca="1">IF(ISERROR($V882),"",OFFSET('Smelter Look-up'!$E$4,$V882-4,0))</f>
        <v/>
      </c>
      <c r="G882" s="168" t="str">
        <f ca="1">IF(C882=$X$4,IF(ISERROR($V882),"Enter smelter details","RMI"),IF(ISERROR($V882),"",OFFSET('Smelter Look-up'!$F$4,$V882-4,0)))</f>
        <v/>
      </c>
      <c r="H882" s="171" t="str">
        <f ca="1">IF(ISERROR($V882),"",OFFSET('Smelter Look-up'!$G$4,$V882-4,0))</f>
        <v/>
      </c>
      <c r="I882" s="172" t="str">
        <f ca="1">IF(ISERROR($V882),"",OFFSET('Smelter Look-up'!$H$4,$V882-4,0))</f>
        <v/>
      </c>
      <c r="J882" s="172" t="str">
        <f ca="1">IF(ISERROR($V882),"",OFFSET('Smelter Look-up'!$I$4,$V882-4,0))</f>
        <v/>
      </c>
      <c r="K882" s="173"/>
      <c r="L882" s="173"/>
      <c r="M882" s="173"/>
      <c r="N882" s="173"/>
      <c r="O882" s="173"/>
      <c r="P882" s="174"/>
      <c r="Q882" s="175"/>
      <c r="R882" s="168" t="str">
        <f ca="1">IF(ISERROR($V882),"",OFFSET('Smelter Look-up'!$C$4,$V882-4,0)&amp;"")</f>
        <v/>
      </c>
      <c r="S882" s="167" t="str">
        <f t="shared" ca="1" si="93"/>
        <v/>
      </c>
      <c r="T882" s="167" t="str">
        <f ca="1">IF(B882="","",IF(ISERROR(MATCH($J882,SorP!$B$1:$B$6230,0)),"",INDIRECT("'SorP'!$A$"&amp;MATCH($J882,SorP!$B$1:$B$6230,0))))</f>
        <v/>
      </c>
      <c r="U882" s="176"/>
      <c r="V882" s="177" t="e">
        <f>IF(C882="",NA(),IF(OR(C882="Smelter not listed",C882="Smelter not yet identified"),MATCH($B882&amp;$D882,'Smelter Look-up'!$J:$J,0),MATCH($B882&amp;$C882,'Smelter Look-up'!$J:$J,0)))</f>
        <v>#N/A</v>
      </c>
      <c r="X882" s="140">
        <f t="shared" ca="1" si="94"/>
        <v>0</v>
      </c>
      <c r="AB882" s="178" t="str">
        <f t="shared" si="95"/>
        <v/>
      </c>
    </row>
    <row r="883" spans="1:28" s="140" customFormat="1" ht="20.25">
      <c r="A883" s="167"/>
      <c r="B883" s="168" t="str">
        <f>IF(LEN(A883)=0,"",INDEX('Smelter Look-up'!$A:$A,MATCH($A883,'Smelter Look-up'!$E:$E,0)))</f>
        <v/>
      </c>
      <c r="C883" s="169" t="str">
        <f>IF(LEN(A883)=0,"",INDEX('Smelter Look-up'!$C:$C,MATCH($A883,'Smelter Look-up'!$E:$E,0)))</f>
        <v/>
      </c>
      <c r="D883" s="170"/>
      <c r="E883" s="168" t="str">
        <f ca="1">IF(ISERROR($V883),"",OFFSET('Smelter Look-up'!$D$4,$V883-4,0)&amp;"")</f>
        <v/>
      </c>
      <c r="F883" s="168" t="str">
        <f ca="1">IF(ISERROR($V883),"",OFFSET('Smelter Look-up'!$E$4,$V883-4,0))</f>
        <v/>
      </c>
      <c r="G883" s="168" t="str">
        <f ca="1">IF(C883=$X$4,IF(ISERROR($V883),"Enter smelter details","RMI"),IF(ISERROR($V883),"",OFFSET('Smelter Look-up'!$F$4,$V883-4,0)))</f>
        <v/>
      </c>
      <c r="H883" s="171" t="str">
        <f ca="1">IF(ISERROR($V883),"",OFFSET('Smelter Look-up'!$G$4,$V883-4,0))</f>
        <v/>
      </c>
      <c r="I883" s="172" t="str">
        <f ca="1">IF(ISERROR($V883),"",OFFSET('Smelter Look-up'!$H$4,$V883-4,0))</f>
        <v/>
      </c>
      <c r="J883" s="172" t="str">
        <f ca="1">IF(ISERROR($V883),"",OFFSET('Smelter Look-up'!$I$4,$V883-4,0))</f>
        <v/>
      </c>
      <c r="K883" s="173"/>
      <c r="L883" s="173"/>
      <c r="M883" s="173"/>
      <c r="N883" s="173"/>
      <c r="O883" s="173"/>
      <c r="P883" s="174"/>
      <c r="Q883" s="175"/>
      <c r="R883" s="168" t="str">
        <f ca="1">IF(ISERROR($V883),"",OFFSET('Smelter Look-up'!$C$4,$V883-4,0)&amp;"")</f>
        <v/>
      </c>
      <c r="S883" s="167" t="str">
        <f t="shared" ca="1" si="93"/>
        <v/>
      </c>
      <c r="T883" s="167" t="str">
        <f ca="1">IF(B883="","",IF(ISERROR(MATCH($J883,SorP!$B$1:$B$6230,0)),"",INDIRECT("'SorP'!$A$"&amp;MATCH($J883,SorP!$B$1:$B$6230,0))))</f>
        <v/>
      </c>
      <c r="U883" s="176"/>
      <c r="V883" s="177" t="e">
        <f>IF(C883="",NA(),IF(OR(C883="Smelter not listed",C883="Smelter not yet identified"),MATCH($B883&amp;$D883,'Smelter Look-up'!$J:$J,0),MATCH($B883&amp;$C883,'Smelter Look-up'!$J:$J,0)))</f>
        <v>#N/A</v>
      </c>
      <c r="X883" s="140">
        <f t="shared" ca="1" si="94"/>
        <v>0</v>
      </c>
      <c r="AB883" s="178" t="str">
        <f t="shared" si="95"/>
        <v/>
      </c>
    </row>
    <row r="884" spans="1:28" s="140" customFormat="1" ht="20.25">
      <c r="A884" s="167"/>
      <c r="B884" s="168" t="str">
        <f>IF(LEN(A884)=0,"",INDEX('Smelter Look-up'!$A:$A,MATCH($A884,'Smelter Look-up'!$E:$E,0)))</f>
        <v/>
      </c>
      <c r="C884" s="169" t="str">
        <f>IF(LEN(A884)=0,"",INDEX('Smelter Look-up'!$C:$C,MATCH($A884,'Smelter Look-up'!$E:$E,0)))</f>
        <v/>
      </c>
      <c r="D884" s="170"/>
      <c r="E884" s="168" t="str">
        <f ca="1">IF(ISERROR($V884),"",OFFSET('Smelter Look-up'!$D$4,$V884-4,0)&amp;"")</f>
        <v/>
      </c>
      <c r="F884" s="168" t="str">
        <f ca="1">IF(ISERROR($V884),"",OFFSET('Smelter Look-up'!$E$4,$V884-4,0))</f>
        <v/>
      </c>
      <c r="G884" s="168" t="str">
        <f ca="1">IF(C884=$X$4,IF(ISERROR($V884),"Enter smelter details","RMI"),IF(ISERROR($V884),"",OFFSET('Smelter Look-up'!$F$4,$V884-4,0)))</f>
        <v/>
      </c>
      <c r="H884" s="171" t="str">
        <f ca="1">IF(ISERROR($V884),"",OFFSET('Smelter Look-up'!$G$4,$V884-4,0))</f>
        <v/>
      </c>
      <c r="I884" s="172" t="str">
        <f ca="1">IF(ISERROR($V884),"",OFFSET('Smelter Look-up'!$H$4,$V884-4,0))</f>
        <v/>
      </c>
      <c r="J884" s="172" t="str">
        <f ca="1">IF(ISERROR($V884),"",OFFSET('Smelter Look-up'!$I$4,$V884-4,0))</f>
        <v/>
      </c>
      <c r="K884" s="173"/>
      <c r="L884" s="173"/>
      <c r="M884" s="173"/>
      <c r="N884" s="173"/>
      <c r="O884" s="173"/>
      <c r="P884" s="174"/>
      <c r="Q884" s="175"/>
      <c r="R884" s="168" t="str">
        <f ca="1">IF(ISERROR($V884),"",OFFSET('Smelter Look-up'!$C$4,$V884-4,0)&amp;"")</f>
        <v/>
      </c>
      <c r="S884" s="167" t="str">
        <f t="shared" ca="1" si="93"/>
        <v/>
      </c>
      <c r="T884" s="167" t="str">
        <f ca="1">IF(B884="","",IF(ISERROR(MATCH($J884,SorP!$B$1:$B$6230,0)),"",INDIRECT("'SorP'!$A$"&amp;MATCH($J884,SorP!$B$1:$B$6230,0))))</f>
        <v/>
      </c>
      <c r="U884" s="176"/>
      <c r="V884" s="177" t="e">
        <f>IF(C884="",NA(),IF(OR(C884="Smelter not listed",C884="Smelter not yet identified"),MATCH($B884&amp;$D884,'Smelter Look-up'!$J:$J,0),MATCH($B884&amp;$C884,'Smelter Look-up'!$J:$J,0)))</f>
        <v>#N/A</v>
      </c>
      <c r="X884" s="140">
        <f t="shared" ca="1" si="94"/>
        <v>0</v>
      </c>
      <c r="AB884" s="178" t="str">
        <f t="shared" si="95"/>
        <v/>
      </c>
    </row>
    <row r="885" spans="1:28" s="140" customFormat="1" ht="20.25">
      <c r="A885" s="167"/>
      <c r="B885" s="168" t="str">
        <f>IF(LEN(A885)=0,"",INDEX('Smelter Look-up'!$A:$A,MATCH($A885,'Smelter Look-up'!$E:$E,0)))</f>
        <v/>
      </c>
      <c r="C885" s="169" t="str">
        <f>IF(LEN(A885)=0,"",INDEX('Smelter Look-up'!$C:$C,MATCH($A885,'Smelter Look-up'!$E:$E,0)))</f>
        <v/>
      </c>
      <c r="D885" s="170"/>
      <c r="E885" s="168" t="str">
        <f ca="1">IF(ISERROR($V885),"",OFFSET('Smelter Look-up'!$D$4,$V885-4,0)&amp;"")</f>
        <v/>
      </c>
      <c r="F885" s="168" t="str">
        <f ca="1">IF(ISERROR($V885),"",OFFSET('Smelter Look-up'!$E$4,$V885-4,0))</f>
        <v/>
      </c>
      <c r="G885" s="168" t="str">
        <f ca="1">IF(C885=$X$4,IF(ISERROR($V885),"Enter smelter details","RMI"),IF(ISERROR($V885),"",OFFSET('Smelter Look-up'!$F$4,$V885-4,0)))</f>
        <v/>
      </c>
      <c r="H885" s="171" t="str">
        <f ca="1">IF(ISERROR($V885),"",OFFSET('Smelter Look-up'!$G$4,$V885-4,0))</f>
        <v/>
      </c>
      <c r="I885" s="172" t="str">
        <f ca="1">IF(ISERROR($V885),"",OFFSET('Smelter Look-up'!$H$4,$V885-4,0))</f>
        <v/>
      </c>
      <c r="J885" s="172" t="str">
        <f ca="1">IF(ISERROR($V885),"",OFFSET('Smelter Look-up'!$I$4,$V885-4,0))</f>
        <v/>
      </c>
      <c r="K885" s="173"/>
      <c r="L885" s="173"/>
      <c r="M885" s="173"/>
      <c r="N885" s="173"/>
      <c r="O885" s="173"/>
      <c r="P885" s="174"/>
      <c r="Q885" s="175"/>
      <c r="R885" s="168" t="str">
        <f ca="1">IF(ISERROR($V885),"",OFFSET('Smelter Look-up'!$C$4,$V885-4,0)&amp;"")</f>
        <v/>
      </c>
      <c r="S885" s="167" t="str">
        <f t="shared" ca="1" si="93"/>
        <v/>
      </c>
      <c r="T885" s="167" t="str">
        <f ca="1">IF(B885="","",IF(ISERROR(MATCH($J885,SorP!$B$1:$B$6230,0)),"",INDIRECT("'SorP'!$A$"&amp;MATCH($J885,SorP!$B$1:$B$6230,0))))</f>
        <v/>
      </c>
      <c r="U885" s="176"/>
      <c r="V885" s="177" t="e">
        <f>IF(C885="",NA(),IF(OR(C885="Smelter not listed",C885="Smelter not yet identified"),MATCH($B885&amp;$D885,'Smelter Look-up'!$J:$J,0),MATCH($B885&amp;$C885,'Smelter Look-up'!$J:$J,0)))</f>
        <v>#N/A</v>
      </c>
      <c r="X885" s="140">
        <f t="shared" ca="1" si="94"/>
        <v>0</v>
      </c>
      <c r="AB885" s="178" t="str">
        <f t="shared" si="95"/>
        <v/>
      </c>
    </row>
    <row r="886" spans="1:28" s="140" customFormat="1" ht="20.25">
      <c r="A886" s="167"/>
      <c r="B886" s="168" t="str">
        <f>IF(LEN(A886)=0,"",INDEX('Smelter Look-up'!$A:$A,MATCH($A886,'Smelter Look-up'!$E:$E,0)))</f>
        <v/>
      </c>
      <c r="C886" s="169" t="str">
        <f>IF(LEN(A886)=0,"",INDEX('Smelter Look-up'!$C:$C,MATCH($A886,'Smelter Look-up'!$E:$E,0)))</f>
        <v/>
      </c>
      <c r="D886" s="170"/>
      <c r="E886" s="168" t="str">
        <f ca="1">IF(ISERROR($V886),"",OFFSET('Smelter Look-up'!$D$4,$V886-4,0)&amp;"")</f>
        <v/>
      </c>
      <c r="F886" s="168" t="str">
        <f ca="1">IF(ISERROR($V886),"",OFFSET('Smelter Look-up'!$E$4,$V886-4,0))</f>
        <v/>
      </c>
      <c r="G886" s="168" t="str">
        <f ca="1">IF(C886=$X$4,IF(ISERROR($V886),"Enter smelter details","RMI"),IF(ISERROR($V886),"",OFFSET('Smelter Look-up'!$F$4,$V886-4,0)))</f>
        <v/>
      </c>
      <c r="H886" s="171" t="str">
        <f ca="1">IF(ISERROR($V886),"",OFFSET('Smelter Look-up'!$G$4,$V886-4,0))</f>
        <v/>
      </c>
      <c r="I886" s="172" t="str">
        <f ca="1">IF(ISERROR($V886),"",OFFSET('Smelter Look-up'!$H$4,$V886-4,0))</f>
        <v/>
      </c>
      <c r="J886" s="172" t="str">
        <f ca="1">IF(ISERROR($V886),"",OFFSET('Smelter Look-up'!$I$4,$V886-4,0))</f>
        <v/>
      </c>
      <c r="K886" s="173"/>
      <c r="L886" s="173"/>
      <c r="M886" s="173"/>
      <c r="N886" s="173"/>
      <c r="O886" s="173"/>
      <c r="P886" s="174"/>
      <c r="Q886" s="175"/>
      <c r="R886" s="168" t="str">
        <f ca="1">IF(ISERROR($V886),"",OFFSET('Smelter Look-up'!$C$4,$V886-4,0)&amp;"")</f>
        <v/>
      </c>
      <c r="S886" s="167" t="str">
        <f t="shared" ca="1" si="93"/>
        <v/>
      </c>
      <c r="T886" s="167" t="str">
        <f ca="1">IF(B886="","",IF(ISERROR(MATCH($J886,SorP!$B$1:$B$6230,0)),"",INDIRECT("'SorP'!$A$"&amp;MATCH($J886,SorP!$B$1:$B$6230,0))))</f>
        <v/>
      </c>
      <c r="U886" s="176"/>
      <c r="V886" s="177" t="e">
        <f>IF(C886="",NA(),IF(OR(C886="Smelter not listed",C886="Smelter not yet identified"),MATCH($B886&amp;$D886,'Smelter Look-up'!$J:$J,0),MATCH($B886&amp;$C886,'Smelter Look-up'!$J:$J,0)))</f>
        <v>#N/A</v>
      </c>
      <c r="X886" s="140">
        <f t="shared" ca="1" si="94"/>
        <v>0</v>
      </c>
      <c r="AB886" s="178" t="str">
        <f t="shared" si="95"/>
        <v/>
      </c>
    </row>
    <row r="887" spans="1:28" s="140" customFormat="1" ht="20.25">
      <c r="A887" s="167"/>
      <c r="B887" s="168" t="str">
        <f>IF(LEN(A887)=0,"",INDEX('Smelter Look-up'!$A:$A,MATCH($A887,'Smelter Look-up'!$E:$E,0)))</f>
        <v/>
      </c>
      <c r="C887" s="169" t="str">
        <f>IF(LEN(A887)=0,"",INDEX('Smelter Look-up'!$C:$C,MATCH($A887,'Smelter Look-up'!$E:$E,0)))</f>
        <v/>
      </c>
      <c r="D887" s="170"/>
      <c r="E887" s="168" t="str">
        <f ca="1">IF(ISERROR($V887),"",OFFSET('Smelter Look-up'!$D$4,$V887-4,0)&amp;"")</f>
        <v/>
      </c>
      <c r="F887" s="168" t="str">
        <f ca="1">IF(ISERROR($V887),"",OFFSET('Smelter Look-up'!$E$4,$V887-4,0))</f>
        <v/>
      </c>
      <c r="G887" s="168" t="str">
        <f ca="1">IF(C887=$X$4,IF(ISERROR($V887),"Enter smelter details","RMI"),IF(ISERROR($V887),"",OFFSET('Smelter Look-up'!$F$4,$V887-4,0)))</f>
        <v/>
      </c>
      <c r="H887" s="171" t="str">
        <f ca="1">IF(ISERROR($V887),"",OFFSET('Smelter Look-up'!$G$4,$V887-4,0))</f>
        <v/>
      </c>
      <c r="I887" s="172" t="str">
        <f ca="1">IF(ISERROR($V887),"",OFFSET('Smelter Look-up'!$H$4,$V887-4,0))</f>
        <v/>
      </c>
      <c r="J887" s="172" t="str">
        <f ca="1">IF(ISERROR($V887),"",OFFSET('Smelter Look-up'!$I$4,$V887-4,0))</f>
        <v/>
      </c>
      <c r="K887" s="173"/>
      <c r="L887" s="173"/>
      <c r="M887" s="173"/>
      <c r="N887" s="173"/>
      <c r="O887" s="173"/>
      <c r="P887" s="174"/>
      <c r="Q887" s="175"/>
      <c r="R887" s="168" t="str">
        <f ca="1">IF(ISERROR($V887),"",OFFSET('Smelter Look-up'!$C$4,$V887-4,0)&amp;"")</f>
        <v/>
      </c>
      <c r="S887" s="167" t="str">
        <f t="shared" ca="1" si="93"/>
        <v/>
      </c>
      <c r="T887" s="167" t="str">
        <f ca="1">IF(B887="","",IF(ISERROR(MATCH($J887,SorP!$B$1:$B$6230,0)),"",INDIRECT("'SorP'!$A$"&amp;MATCH($J887,SorP!$B$1:$B$6230,0))))</f>
        <v/>
      </c>
      <c r="U887" s="176"/>
      <c r="V887" s="177" t="e">
        <f>IF(C887="",NA(),IF(OR(C887="Smelter not listed",C887="Smelter not yet identified"),MATCH($B887&amp;$D887,'Smelter Look-up'!$J:$J,0),MATCH($B887&amp;$C887,'Smelter Look-up'!$J:$J,0)))</f>
        <v>#N/A</v>
      </c>
      <c r="X887" s="140">
        <f t="shared" ca="1" si="94"/>
        <v>0</v>
      </c>
      <c r="AB887" s="178" t="str">
        <f t="shared" si="95"/>
        <v/>
      </c>
    </row>
    <row r="888" spans="1:28" s="140" customFormat="1" ht="20.25">
      <c r="A888" s="167"/>
      <c r="B888" s="168" t="str">
        <f>IF(LEN(A888)=0,"",INDEX('Smelter Look-up'!$A:$A,MATCH($A888,'Smelter Look-up'!$E:$E,0)))</f>
        <v/>
      </c>
      <c r="C888" s="169" t="str">
        <f>IF(LEN(A888)=0,"",INDEX('Smelter Look-up'!$C:$C,MATCH($A888,'Smelter Look-up'!$E:$E,0)))</f>
        <v/>
      </c>
      <c r="D888" s="170"/>
      <c r="E888" s="168" t="str">
        <f ca="1">IF(ISERROR($V888),"",OFFSET('Smelter Look-up'!$D$4,$V888-4,0)&amp;"")</f>
        <v/>
      </c>
      <c r="F888" s="168" t="str">
        <f ca="1">IF(ISERROR($V888),"",OFFSET('Smelter Look-up'!$E$4,$V888-4,0))</f>
        <v/>
      </c>
      <c r="G888" s="168" t="str">
        <f ca="1">IF(C888=$X$4,IF(ISERROR($V888),"Enter smelter details","RMI"),IF(ISERROR($V888),"",OFFSET('Smelter Look-up'!$F$4,$V888-4,0)))</f>
        <v/>
      </c>
      <c r="H888" s="171" t="str">
        <f ca="1">IF(ISERROR($V888),"",OFFSET('Smelter Look-up'!$G$4,$V888-4,0))</f>
        <v/>
      </c>
      <c r="I888" s="172" t="str">
        <f ca="1">IF(ISERROR($V888),"",OFFSET('Smelter Look-up'!$H$4,$V888-4,0))</f>
        <v/>
      </c>
      <c r="J888" s="172" t="str">
        <f ca="1">IF(ISERROR($V888),"",OFFSET('Smelter Look-up'!$I$4,$V888-4,0))</f>
        <v/>
      </c>
      <c r="K888" s="173"/>
      <c r="L888" s="173"/>
      <c r="M888" s="173"/>
      <c r="N888" s="173"/>
      <c r="O888" s="173"/>
      <c r="P888" s="174"/>
      <c r="Q888" s="175"/>
      <c r="R888" s="168" t="str">
        <f ca="1">IF(ISERROR($V888),"",OFFSET('Smelter Look-up'!$C$4,$V888-4,0)&amp;"")</f>
        <v/>
      </c>
      <c r="S888" s="167" t="str">
        <f t="shared" ca="1" si="93"/>
        <v/>
      </c>
      <c r="T888" s="167" t="str">
        <f ca="1">IF(B888="","",IF(ISERROR(MATCH($J888,SorP!$B$1:$B$6230,0)),"",INDIRECT("'SorP'!$A$"&amp;MATCH($J888,SorP!$B$1:$B$6230,0))))</f>
        <v/>
      </c>
      <c r="U888" s="176"/>
      <c r="V888" s="177" t="e">
        <f>IF(C888="",NA(),IF(OR(C888="Smelter not listed",C888="Smelter not yet identified"),MATCH($B888&amp;$D888,'Smelter Look-up'!$J:$J,0),MATCH($B888&amp;$C888,'Smelter Look-up'!$J:$J,0)))</f>
        <v>#N/A</v>
      </c>
      <c r="X888" s="140">
        <f t="shared" ca="1" si="94"/>
        <v>0</v>
      </c>
      <c r="AB888" s="178" t="str">
        <f t="shared" si="95"/>
        <v/>
      </c>
    </row>
    <row r="889" spans="1:28" s="140" customFormat="1" ht="20.25">
      <c r="A889" s="167"/>
      <c r="B889" s="168" t="str">
        <f>IF(LEN(A889)=0,"",INDEX('Smelter Look-up'!$A:$A,MATCH($A889,'Smelter Look-up'!$E:$E,0)))</f>
        <v/>
      </c>
      <c r="C889" s="169" t="str">
        <f>IF(LEN(A889)=0,"",INDEX('Smelter Look-up'!$C:$C,MATCH($A889,'Smelter Look-up'!$E:$E,0)))</f>
        <v/>
      </c>
      <c r="D889" s="170"/>
      <c r="E889" s="168" t="str">
        <f ca="1">IF(ISERROR($V889),"",OFFSET('Smelter Look-up'!$D$4,$V889-4,0)&amp;"")</f>
        <v/>
      </c>
      <c r="F889" s="168" t="str">
        <f ca="1">IF(ISERROR($V889),"",OFFSET('Smelter Look-up'!$E$4,$V889-4,0))</f>
        <v/>
      </c>
      <c r="G889" s="168" t="str">
        <f ca="1">IF(C889=$X$4,IF(ISERROR($V889),"Enter smelter details","RMI"),IF(ISERROR($V889),"",OFFSET('Smelter Look-up'!$F$4,$V889-4,0)))</f>
        <v/>
      </c>
      <c r="H889" s="171" t="str">
        <f ca="1">IF(ISERROR($V889),"",OFFSET('Smelter Look-up'!$G$4,$V889-4,0))</f>
        <v/>
      </c>
      <c r="I889" s="172" t="str">
        <f ca="1">IF(ISERROR($V889),"",OFFSET('Smelter Look-up'!$H$4,$V889-4,0))</f>
        <v/>
      </c>
      <c r="J889" s="172" t="str">
        <f ca="1">IF(ISERROR($V889),"",OFFSET('Smelter Look-up'!$I$4,$V889-4,0))</f>
        <v/>
      </c>
      <c r="K889" s="173"/>
      <c r="L889" s="173"/>
      <c r="M889" s="173"/>
      <c r="N889" s="173"/>
      <c r="O889" s="173"/>
      <c r="P889" s="174"/>
      <c r="Q889" s="175"/>
      <c r="R889" s="168" t="str">
        <f ca="1">IF(ISERROR($V889),"",OFFSET('Smelter Look-up'!$C$4,$V889-4,0)&amp;"")</f>
        <v/>
      </c>
      <c r="S889" s="167" t="str">
        <f t="shared" ca="1" si="93"/>
        <v/>
      </c>
      <c r="T889" s="167" t="str">
        <f ca="1">IF(B889="","",IF(ISERROR(MATCH($J889,SorP!$B$1:$B$6230,0)),"",INDIRECT("'SorP'!$A$"&amp;MATCH($J889,SorP!$B$1:$B$6230,0))))</f>
        <v/>
      </c>
      <c r="U889" s="176"/>
      <c r="V889" s="177" t="e">
        <f>IF(C889="",NA(),IF(OR(C889="Smelter not listed",C889="Smelter not yet identified"),MATCH($B889&amp;$D889,'Smelter Look-up'!$J:$J,0),MATCH($B889&amp;$C889,'Smelter Look-up'!$J:$J,0)))</f>
        <v>#N/A</v>
      </c>
      <c r="X889" s="140">
        <f t="shared" ca="1" si="94"/>
        <v>0</v>
      </c>
      <c r="AB889" s="178" t="str">
        <f t="shared" si="95"/>
        <v/>
      </c>
    </row>
    <row r="890" spans="1:28" s="140" customFormat="1" ht="20.25">
      <c r="A890" s="167"/>
      <c r="B890" s="168" t="str">
        <f>IF(LEN(A890)=0,"",INDEX('Smelter Look-up'!$A:$A,MATCH($A890,'Smelter Look-up'!$E:$E,0)))</f>
        <v/>
      </c>
      <c r="C890" s="169" t="str">
        <f>IF(LEN(A890)=0,"",INDEX('Smelter Look-up'!$C:$C,MATCH($A890,'Smelter Look-up'!$E:$E,0)))</f>
        <v/>
      </c>
      <c r="D890" s="170"/>
      <c r="E890" s="168" t="str">
        <f ca="1">IF(ISERROR($V890),"",OFFSET('Smelter Look-up'!$D$4,$V890-4,0)&amp;"")</f>
        <v/>
      </c>
      <c r="F890" s="168" t="str">
        <f ca="1">IF(ISERROR($V890),"",OFFSET('Smelter Look-up'!$E$4,$V890-4,0))</f>
        <v/>
      </c>
      <c r="G890" s="168" t="str">
        <f ca="1">IF(C890=$X$4,IF(ISERROR($V890),"Enter smelter details","RMI"),IF(ISERROR($V890),"",OFFSET('Smelter Look-up'!$F$4,$V890-4,0)))</f>
        <v/>
      </c>
      <c r="H890" s="171" t="str">
        <f ca="1">IF(ISERROR($V890),"",OFFSET('Smelter Look-up'!$G$4,$V890-4,0))</f>
        <v/>
      </c>
      <c r="I890" s="172" t="str">
        <f ca="1">IF(ISERROR($V890),"",OFFSET('Smelter Look-up'!$H$4,$V890-4,0))</f>
        <v/>
      </c>
      <c r="J890" s="172" t="str">
        <f ca="1">IF(ISERROR($V890),"",OFFSET('Smelter Look-up'!$I$4,$V890-4,0))</f>
        <v/>
      </c>
      <c r="K890" s="173"/>
      <c r="L890" s="173"/>
      <c r="M890" s="173"/>
      <c r="N890" s="173"/>
      <c r="O890" s="173"/>
      <c r="P890" s="174"/>
      <c r="Q890" s="175"/>
      <c r="R890" s="168" t="str">
        <f ca="1">IF(ISERROR($V890),"",OFFSET('Smelter Look-up'!$C$4,$V890-4,0)&amp;"")</f>
        <v/>
      </c>
      <c r="S890" s="167" t="str">
        <f t="shared" ca="1" si="93"/>
        <v/>
      </c>
      <c r="T890" s="167" t="str">
        <f ca="1">IF(B890="","",IF(ISERROR(MATCH($J890,SorP!$B$1:$B$6230,0)),"",INDIRECT("'SorP'!$A$"&amp;MATCH($J890,SorP!$B$1:$B$6230,0))))</f>
        <v/>
      </c>
      <c r="U890" s="176"/>
      <c r="V890" s="177" t="e">
        <f>IF(C890="",NA(),IF(OR(C890="Smelter not listed",C890="Smelter not yet identified"),MATCH($B890&amp;$D890,'Smelter Look-up'!$J:$J,0),MATCH($B890&amp;$C890,'Smelter Look-up'!$J:$J,0)))</f>
        <v>#N/A</v>
      </c>
      <c r="X890" s="140">
        <f t="shared" ca="1" si="94"/>
        <v>0</v>
      </c>
      <c r="AB890" s="178" t="str">
        <f t="shared" si="95"/>
        <v/>
      </c>
    </row>
    <row r="891" spans="1:28" s="140" customFormat="1" ht="20.25">
      <c r="A891" s="167"/>
      <c r="B891" s="168" t="str">
        <f>IF(LEN(A891)=0,"",INDEX('Smelter Look-up'!$A:$A,MATCH($A891,'Smelter Look-up'!$E:$E,0)))</f>
        <v/>
      </c>
      <c r="C891" s="169" t="str">
        <f>IF(LEN(A891)=0,"",INDEX('Smelter Look-up'!$C:$C,MATCH($A891,'Smelter Look-up'!$E:$E,0)))</f>
        <v/>
      </c>
      <c r="D891" s="170"/>
      <c r="E891" s="168" t="str">
        <f ca="1">IF(ISERROR($V891),"",OFFSET('Smelter Look-up'!$D$4,$V891-4,0)&amp;"")</f>
        <v/>
      </c>
      <c r="F891" s="168" t="str">
        <f ca="1">IF(ISERROR($V891),"",OFFSET('Smelter Look-up'!$E$4,$V891-4,0))</f>
        <v/>
      </c>
      <c r="G891" s="168" t="str">
        <f ca="1">IF(C891=$X$4,IF(ISERROR($V891),"Enter smelter details","RMI"),IF(ISERROR($V891),"",OFFSET('Smelter Look-up'!$F$4,$V891-4,0)))</f>
        <v/>
      </c>
      <c r="H891" s="171" t="str">
        <f ca="1">IF(ISERROR($V891),"",OFFSET('Smelter Look-up'!$G$4,$V891-4,0))</f>
        <v/>
      </c>
      <c r="I891" s="172" t="str">
        <f ca="1">IF(ISERROR($V891),"",OFFSET('Smelter Look-up'!$H$4,$V891-4,0))</f>
        <v/>
      </c>
      <c r="J891" s="172" t="str">
        <f ca="1">IF(ISERROR($V891),"",OFFSET('Smelter Look-up'!$I$4,$V891-4,0))</f>
        <v/>
      </c>
      <c r="K891" s="173"/>
      <c r="L891" s="173"/>
      <c r="M891" s="173"/>
      <c r="N891" s="173"/>
      <c r="O891" s="173"/>
      <c r="P891" s="174"/>
      <c r="Q891" s="175"/>
      <c r="R891" s="168" t="str">
        <f ca="1">IF(ISERROR($V891),"",OFFSET('Smelter Look-up'!$C$4,$V891-4,0)&amp;"")</f>
        <v/>
      </c>
      <c r="S891" s="167" t="str">
        <f t="shared" ca="1" si="93"/>
        <v/>
      </c>
      <c r="T891" s="167" t="str">
        <f ca="1">IF(B891="","",IF(ISERROR(MATCH($J891,SorP!$B$1:$B$6230,0)),"",INDIRECT("'SorP'!$A$"&amp;MATCH($J891,SorP!$B$1:$B$6230,0))))</f>
        <v/>
      </c>
      <c r="U891" s="176"/>
      <c r="V891" s="177" t="e">
        <f>IF(C891="",NA(),IF(OR(C891="Smelter not listed",C891="Smelter not yet identified"),MATCH($B891&amp;$D891,'Smelter Look-up'!$J:$J,0),MATCH($B891&amp;$C891,'Smelter Look-up'!$J:$J,0)))</f>
        <v>#N/A</v>
      </c>
      <c r="X891" s="140">
        <f t="shared" ca="1" si="94"/>
        <v>0</v>
      </c>
      <c r="AB891" s="178" t="str">
        <f t="shared" si="95"/>
        <v/>
      </c>
    </row>
    <row r="892" spans="1:28" s="140" customFormat="1" ht="20.25">
      <c r="A892" s="167"/>
      <c r="B892" s="168" t="str">
        <f>IF(LEN(A892)=0,"",INDEX('Smelter Look-up'!$A:$A,MATCH($A892,'Smelter Look-up'!$E:$E,0)))</f>
        <v/>
      </c>
      <c r="C892" s="169" t="str">
        <f>IF(LEN(A892)=0,"",INDEX('Smelter Look-up'!$C:$C,MATCH($A892,'Smelter Look-up'!$E:$E,0)))</f>
        <v/>
      </c>
      <c r="D892" s="170"/>
      <c r="E892" s="168" t="str">
        <f ca="1">IF(ISERROR($V892),"",OFFSET('Smelter Look-up'!$D$4,$V892-4,0)&amp;"")</f>
        <v/>
      </c>
      <c r="F892" s="168" t="str">
        <f ca="1">IF(ISERROR($V892),"",OFFSET('Smelter Look-up'!$E$4,$V892-4,0))</f>
        <v/>
      </c>
      <c r="G892" s="168" t="str">
        <f ca="1">IF(C892=$X$4,IF(ISERROR($V892),"Enter smelter details","RMI"),IF(ISERROR($V892),"",OFFSET('Smelter Look-up'!$F$4,$V892-4,0)))</f>
        <v/>
      </c>
      <c r="H892" s="171" t="str">
        <f ca="1">IF(ISERROR($V892),"",OFFSET('Smelter Look-up'!$G$4,$V892-4,0))</f>
        <v/>
      </c>
      <c r="I892" s="172" t="str">
        <f ca="1">IF(ISERROR($V892),"",OFFSET('Smelter Look-up'!$H$4,$V892-4,0))</f>
        <v/>
      </c>
      <c r="J892" s="172" t="str">
        <f ca="1">IF(ISERROR($V892),"",OFFSET('Smelter Look-up'!$I$4,$V892-4,0))</f>
        <v/>
      </c>
      <c r="K892" s="173"/>
      <c r="L892" s="173"/>
      <c r="M892" s="173"/>
      <c r="N892" s="173"/>
      <c r="O892" s="173"/>
      <c r="P892" s="174"/>
      <c r="Q892" s="175"/>
      <c r="R892" s="168" t="str">
        <f ca="1">IF(ISERROR($V892),"",OFFSET('Smelter Look-up'!$C$4,$V892-4,0)&amp;"")</f>
        <v/>
      </c>
      <c r="S892" s="167" t="str">
        <f t="shared" ca="1" si="93"/>
        <v/>
      </c>
      <c r="T892" s="167" t="str">
        <f ca="1">IF(B892="","",IF(ISERROR(MATCH($J892,SorP!$B$1:$B$6230,0)),"",INDIRECT("'SorP'!$A$"&amp;MATCH($J892,SorP!$B$1:$B$6230,0))))</f>
        <v/>
      </c>
      <c r="U892" s="176"/>
      <c r="V892" s="177" t="e">
        <f>IF(C892="",NA(),IF(OR(C892="Smelter not listed",C892="Smelter not yet identified"),MATCH($B892&amp;$D892,'Smelter Look-up'!$J:$J,0),MATCH($B892&amp;$C892,'Smelter Look-up'!$J:$J,0)))</f>
        <v>#N/A</v>
      </c>
      <c r="X892" s="140">
        <f t="shared" ca="1" si="94"/>
        <v>0</v>
      </c>
      <c r="AB892" s="178" t="str">
        <f t="shared" si="95"/>
        <v/>
      </c>
    </row>
    <row r="893" spans="1:28" s="140" customFormat="1" ht="20.25">
      <c r="A893" s="167"/>
      <c r="B893" s="168" t="str">
        <f>IF(LEN(A893)=0,"",INDEX('Smelter Look-up'!$A:$A,MATCH($A893,'Smelter Look-up'!$E:$E,0)))</f>
        <v/>
      </c>
      <c r="C893" s="169" t="str">
        <f>IF(LEN(A893)=0,"",INDEX('Smelter Look-up'!$C:$C,MATCH($A893,'Smelter Look-up'!$E:$E,0)))</f>
        <v/>
      </c>
      <c r="D893" s="170"/>
      <c r="E893" s="168" t="str">
        <f ca="1">IF(ISERROR($V893),"",OFFSET('Smelter Look-up'!$D$4,$V893-4,0)&amp;"")</f>
        <v/>
      </c>
      <c r="F893" s="168" t="str">
        <f ca="1">IF(ISERROR($V893),"",OFFSET('Smelter Look-up'!$E$4,$V893-4,0))</f>
        <v/>
      </c>
      <c r="G893" s="168" t="str">
        <f ca="1">IF(C893=$X$4,IF(ISERROR($V893),"Enter smelter details","RMI"),IF(ISERROR($V893),"",OFFSET('Smelter Look-up'!$F$4,$V893-4,0)))</f>
        <v/>
      </c>
      <c r="H893" s="171" t="str">
        <f ca="1">IF(ISERROR($V893),"",OFFSET('Smelter Look-up'!$G$4,$V893-4,0))</f>
        <v/>
      </c>
      <c r="I893" s="172" t="str">
        <f ca="1">IF(ISERROR($V893),"",OFFSET('Smelter Look-up'!$H$4,$V893-4,0))</f>
        <v/>
      </c>
      <c r="J893" s="172" t="str">
        <f ca="1">IF(ISERROR($V893),"",OFFSET('Smelter Look-up'!$I$4,$V893-4,0))</f>
        <v/>
      </c>
      <c r="K893" s="173"/>
      <c r="L893" s="173"/>
      <c r="M893" s="173"/>
      <c r="N893" s="173"/>
      <c r="O893" s="173"/>
      <c r="P893" s="174"/>
      <c r="Q893" s="175"/>
      <c r="R893" s="168" t="str">
        <f ca="1">IF(ISERROR($V893),"",OFFSET('Smelter Look-up'!$C$4,$V893-4,0)&amp;"")</f>
        <v/>
      </c>
      <c r="S893" s="167" t="str">
        <f t="shared" ca="1" si="93"/>
        <v/>
      </c>
      <c r="T893" s="167" t="str">
        <f ca="1">IF(B893="","",IF(ISERROR(MATCH($J893,SorP!$B$1:$B$6230,0)),"",INDIRECT("'SorP'!$A$"&amp;MATCH($J893,SorP!$B$1:$B$6230,0))))</f>
        <v/>
      </c>
      <c r="U893" s="176"/>
      <c r="V893" s="177" t="e">
        <f>IF(C893="",NA(),IF(OR(C893="Smelter not listed",C893="Smelter not yet identified"),MATCH($B893&amp;$D893,'Smelter Look-up'!$J:$J,0),MATCH($B893&amp;$C893,'Smelter Look-up'!$J:$J,0)))</f>
        <v>#N/A</v>
      </c>
      <c r="X893" s="140">
        <f t="shared" ca="1" si="94"/>
        <v>0</v>
      </c>
      <c r="AB893" s="178" t="str">
        <f t="shared" si="95"/>
        <v/>
      </c>
    </row>
    <row r="894" spans="1:28" s="140" customFormat="1" ht="20.25">
      <c r="A894" s="167"/>
      <c r="B894" s="168" t="str">
        <f>IF(LEN(A894)=0,"",INDEX('Smelter Look-up'!$A:$A,MATCH($A894,'Smelter Look-up'!$E:$E,0)))</f>
        <v/>
      </c>
      <c r="C894" s="169" t="str">
        <f>IF(LEN(A894)=0,"",INDEX('Smelter Look-up'!$C:$C,MATCH($A894,'Smelter Look-up'!$E:$E,0)))</f>
        <v/>
      </c>
      <c r="D894" s="170"/>
      <c r="E894" s="168" t="str">
        <f ca="1">IF(ISERROR($V894),"",OFFSET('Smelter Look-up'!$D$4,$V894-4,0)&amp;"")</f>
        <v/>
      </c>
      <c r="F894" s="168" t="str">
        <f ca="1">IF(ISERROR($V894),"",OFFSET('Smelter Look-up'!$E$4,$V894-4,0))</f>
        <v/>
      </c>
      <c r="G894" s="168" t="str">
        <f ca="1">IF(C894=$X$4,IF(ISERROR($V894),"Enter smelter details","RMI"),IF(ISERROR($V894),"",OFFSET('Smelter Look-up'!$F$4,$V894-4,0)))</f>
        <v/>
      </c>
      <c r="H894" s="171" t="str">
        <f ca="1">IF(ISERROR($V894),"",OFFSET('Smelter Look-up'!$G$4,$V894-4,0))</f>
        <v/>
      </c>
      <c r="I894" s="172" t="str">
        <f ca="1">IF(ISERROR($V894),"",OFFSET('Smelter Look-up'!$H$4,$V894-4,0))</f>
        <v/>
      </c>
      <c r="J894" s="172" t="str">
        <f ca="1">IF(ISERROR($V894),"",OFFSET('Smelter Look-up'!$I$4,$V894-4,0))</f>
        <v/>
      </c>
      <c r="K894" s="173"/>
      <c r="L894" s="173"/>
      <c r="M894" s="173"/>
      <c r="N894" s="173"/>
      <c r="O894" s="173"/>
      <c r="P894" s="174"/>
      <c r="Q894" s="175"/>
      <c r="R894" s="168" t="str">
        <f ca="1">IF(ISERROR($V894),"",OFFSET('Smelter Look-up'!$C$4,$V894-4,0)&amp;"")</f>
        <v/>
      </c>
      <c r="S894" s="167" t="str">
        <f t="shared" ca="1" si="93"/>
        <v/>
      </c>
      <c r="T894" s="167" t="str">
        <f ca="1">IF(B894="","",IF(ISERROR(MATCH($J894,SorP!$B$1:$B$6230,0)),"",INDIRECT("'SorP'!$A$"&amp;MATCH($J894,SorP!$B$1:$B$6230,0))))</f>
        <v/>
      </c>
      <c r="U894" s="176"/>
      <c r="V894" s="177" t="e">
        <f>IF(C894="",NA(),IF(OR(C894="Smelter not listed",C894="Smelter not yet identified"),MATCH($B894&amp;$D894,'Smelter Look-up'!$J:$J,0),MATCH($B894&amp;$C894,'Smelter Look-up'!$J:$J,0)))</f>
        <v>#N/A</v>
      </c>
      <c r="X894" s="140">
        <f t="shared" ca="1" si="94"/>
        <v>0</v>
      </c>
      <c r="AB894" s="178" t="str">
        <f t="shared" si="95"/>
        <v/>
      </c>
    </row>
    <row r="895" spans="1:28" s="140" customFormat="1" ht="20.25">
      <c r="A895" s="167"/>
      <c r="B895" s="168" t="str">
        <f>IF(LEN(A895)=0,"",INDEX('Smelter Look-up'!$A:$A,MATCH($A895,'Smelter Look-up'!$E:$E,0)))</f>
        <v/>
      </c>
      <c r="C895" s="169" t="str">
        <f>IF(LEN(A895)=0,"",INDEX('Smelter Look-up'!$C:$C,MATCH($A895,'Smelter Look-up'!$E:$E,0)))</f>
        <v/>
      </c>
      <c r="D895" s="170"/>
      <c r="E895" s="168" t="str">
        <f ca="1">IF(ISERROR($V895),"",OFFSET('Smelter Look-up'!$D$4,$V895-4,0)&amp;"")</f>
        <v/>
      </c>
      <c r="F895" s="168" t="str">
        <f ca="1">IF(ISERROR($V895),"",OFFSET('Smelter Look-up'!$E$4,$V895-4,0))</f>
        <v/>
      </c>
      <c r="G895" s="168" t="str">
        <f ca="1">IF(C895=$X$4,IF(ISERROR($V895),"Enter smelter details","RMI"),IF(ISERROR($V895),"",OFFSET('Smelter Look-up'!$F$4,$V895-4,0)))</f>
        <v/>
      </c>
      <c r="H895" s="171" t="str">
        <f ca="1">IF(ISERROR($V895),"",OFFSET('Smelter Look-up'!$G$4,$V895-4,0))</f>
        <v/>
      </c>
      <c r="I895" s="172" t="str">
        <f ca="1">IF(ISERROR($V895),"",OFFSET('Smelter Look-up'!$H$4,$V895-4,0))</f>
        <v/>
      </c>
      <c r="J895" s="172" t="str">
        <f ca="1">IF(ISERROR($V895),"",OFFSET('Smelter Look-up'!$I$4,$V895-4,0))</f>
        <v/>
      </c>
      <c r="K895" s="173"/>
      <c r="L895" s="173"/>
      <c r="M895" s="173"/>
      <c r="N895" s="173"/>
      <c r="O895" s="173"/>
      <c r="P895" s="174"/>
      <c r="Q895" s="175"/>
      <c r="R895" s="168" t="str">
        <f ca="1">IF(ISERROR($V895),"",OFFSET('Smelter Look-up'!$C$4,$V895-4,0)&amp;"")</f>
        <v/>
      </c>
      <c r="S895" s="167" t="str">
        <f t="shared" ca="1" si="93"/>
        <v/>
      </c>
      <c r="T895" s="167" t="str">
        <f ca="1">IF(B895="","",IF(ISERROR(MATCH($J895,SorP!$B$1:$B$6230,0)),"",INDIRECT("'SorP'!$A$"&amp;MATCH($J895,SorP!$B$1:$B$6230,0))))</f>
        <v/>
      </c>
      <c r="U895" s="176"/>
      <c r="V895" s="177" t="e">
        <f>IF(C895="",NA(),IF(OR(C895="Smelter not listed",C895="Smelter not yet identified"),MATCH($B895&amp;$D895,'Smelter Look-up'!$J:$J,0),MATCH($B895&amp;$C895,'Smelter Look-up'!$J:$J,0)))</f>
        <v>#N/A</v>
      </c>
      <c r="X895" s="140">
        <f t="shared" ca="1" si="94"/>
        <v>0</v>
      </c>
      <c r="AB895" s="178" t="str">
        <f t="shared" si="95"/>
        <v/>
      </c>
    </row>
    <row r="896" spans="1:28" s="140" customFormat="1" ht="20.25">
      <c r="A896" s="167"/>
      <c r="B896" s="168" t="str">
        <f>IF(LEN(A896)=0,"",INDEX('Smelter Look-up'!$A:$A,MATCH($A896,'Smelter Look-up'!$E:$E,0)))</f>
        <v/>
      </c>
      <c r="C896" s="169" t="str">
        <f>IF(LEN(A896)=0,"",INDEX('Smelter Look-up'!$C:$C,MATCH($A896,'Smelter Look-up'!$E:$E,0)))</f>
        <v/>
      </c>
      <c r="D896" s="170"/>
      <c r="E896" s="168" t="str">
        <f ca="1">IF(ISERROR($V896),"",OFFSET('Smelter Look-up'!$D$4,$V896-4,0)&amp;"")</f>
        <v/>
      </c>
      <c r="F896" s="168" t="str">
        <f ca="1">IF(ISERROR($V896),"",OFFSET('Smelter Look-up'!$E$4,$V896-4,0))</f>
        <v/>
      </c>
      <c r="G896" s="168" t="str">
        <f ca="1">IF(C896=$X$4,IF(ISERROR($V896),"Enter smelter details","RMI"),IF(ISERROR($V896),"",OFFSET('Smelter Look-up'!$F$4,$V896-4,0)))</f>
        <v/>
      </c>
      <c r="H896" s="171" t="str">
        <f ca="1">IF(ISERROR($V896),"",OFFSET('Smelter Look-up'!$G$4,$V896-4,0))</f>
        <v/>
      </c>
      <c r="I896" s="172" t="str">
        <f ca="1">IF(ISERROR($V896),"",OFFSET('Smelter Look-up'!$H$4,$V896-4,0))</f>
        <v/>
      </c>
      <c r="J896" s="172" t="str">
        <f ca="1">IF(ISERROR($V896),"",OFFSET('Smelter Look-up'!$I$4,$V896-4,0))</f>
        <v/>
      </c>
      <c r="K896" s="173"/>
      <c r="L896" s="173"/>
      <c r="M896" s="173"/>
      <c r="N896" s="173"/>
      <c r="O896" s="173"/>
      <c r="P896" s="174"/>
      <c r="Q896" s="175"/>
      <c r="R896" s="168" t="str">
        <f ca="1">IF(ISERROR($V896),"",OFFSET('Smelter Look-up'!$C$4,$V896-4,0)&amp;"")</f>
        <v/>
      </c>
      <c r="S896" s="167" t="str">
        <f t="shared" ca="1" si="93"/>
        <v/>
      </c>
      <c r="T896" s="167" t="str">
        <f ca="1">IF(B896="","",IF(ISERROR(MATCH($J896,SorP!$B$1:$B$6230,0)),"",INDIRECT("'SorP'!$A$"&amp;MATCH($J896,SorP!$B$1:$B$6230,0))))</f>
        <v/>
      </c>
      <c r="U896" s="176"/>
      <c r="V896" s="177" t="e">
        <f>IF(C896="",NA(),IF(OR(C896="Smelter not listed",C896="Smelter not yet identified"),MATCH($B896&amp;$D896,'Smelter Look-up'!$J:$J,0),MATCH($B896&amp;$C896,'Smelter Look-up'!$J:$J,0)))</f>
        <v>#N/A</v>
      </c>
      <c r="X896" s="140">
        <f t="shared" ca="1" si="94"/>
        <v>0</v>
      </c>
      <c r="AB896" s="178" t="str">
        <f t="shared" si="95"/>
        <v/>
      </c>
    </row>
    <row r="897" spans="1:28" s="140" customFormat="1" ht="20.25">
      <c r="A897" s="167"/>
      <c r="B897" s="168" t="str">
        <f>IF(LEN(A897)=0,"",INDEX('Smelter Look-up'!$A:$A,MATCH($A897,'Smelter Look-up'!$E:$E,0)))</f>
        <v/>
      </c>
      <c r="C897" s="169" t="str">
        <f>IF(LEN(A897)=0,"",INDEX('Smelter Look-up'!$C:$C,MATCH($A897,'Smelter Look-up'!$E:$E,0)))</f>
        <v/>
      </c>
      <c r="D897" s="170"/>
      <c r="E897" s="168" t="str">
        <f ca="1">IF(ISERROR($V897),"",OFFSET('Smelter Look-up'!$D$4,$V897-4,0)&amp;"")</f>
        <v/>
      </c>
      <c r="F897" s="168" t="str">
        <f ca="1">IF(ISERROR($V897),"",OFFSET('Smelter Look-up'!$E$4,$V897-4,0))</f>
        <v/>
      </c>
      <c r="G897" s="168" t="str">
        <f ca="1">IF(C897=$X$4,IF(ISERROR($V897),"Enter smelter details","RMI"),IF(ISERROR($V897),"",OFFSET('Smelter Look-up'!$F$4,$V897-4,0)))</f>
        <v/>
      </c>
      <c r="H897" s="171" t="str">
        <f ca="1">IF(ISERROR($V897),"",OFFSET('Smelter Look-up'!$G$4,$V897-4,0))</f>
        <v/>
      </c>
      <c r="I897" s="172" t="str">
        <f ca="1">IF(ISERROR($V897),"",OFFSET('Smelter Look-up'!$H$4,$V897-4,0))</f>
        <v/>
      </c>
      <c r="J897" s="172" t="str">
        <f ca="1">IF(ISERROR($V897),"",OFFSET('Smelter Look-up'!$I$4,$V897-4,0))</f>
        <v/>
      </c>
      <c r="K897" s="173"/>
      <c r="L897" s="173"/>
      <c r="M897" s="173"/>
      <c r="N897" s="173"/>
      <c r="O897" s="173"/>
      <c r="P897" s="174"/>
      <c r="Q897" s="175"/>
      <c r="R897" s="168" t="str">
        <f ca="1">IF(ISERROR($V897),"",OFFSET('Smelter Look-up'!$C$4,$V897-4,0)&amp;"")</f>
        <v/>
      </c>
      <c r="S897" s="167" t="str">
        <f t="shared" ca="1" si="93"/>
        <v/>
      </c>
      <c r="T897" s="167" t="str">
        <f ca="1">IF(B897="","",IF(ISERROR(MATCH($J897,SorP!$B$1:$B$6230,0)),"",INDIRECT("'SorP'!$A$"&amp;MATCH($J897,SorP!$B$1:$B$6230,0))))</f>
        <v/>
      </c>
      <c r="U897" s="176"/>
      <c r="V897" s="177" t="e">
        <f>IF(C897="",NA(),IF(OR(C897="Smelter not listed",C897="Smelter not yet identified"),MATCH($B897&amp;$D897,'Smelter Look-up'!$J:$J,0),MATCH($B897&amp;$C897,'Smelter Look-up'!$J:$J,0)))</f>
        <v>#N/A</v>
      </c>
      <c r="X897" s="140">
        <f t="shared" ca="1" si="94"/>
        <v>0</v>
      </c>
      <c r="AB897" s="178" t="str">
        <f t="shared" si="95"/>
        <v/>
      </c>
    </row>
    <row r="898" spans="1:28" s="140" customFormat="1" ht="20.25">
      <c r="A898" s="167"/>
      <c r="B898" s="168" t="str">
        <f>IF(LEN(A898)=0,"",INDEX('Smelter Look-up'!$A:$A,MATCH($A898,'Smelter Look-up'!$E:$E,0)))</f>
        <v/>
      </c>
      <c r="C898" s="169" t="str">
        <f>IF(LEN(A898)=0,"",INDEX('Smelter Look-up'!$C:$C,MATCH($A898,'Smelter Look-up'!$E:$E,0)))</f>
        <v/>
      </c>
      <c r="D898" s="170"/>
      <c r="E898" s="168" t="str">
        <f ca="1">IF(ISERROR($V898),"",OFFSET('Smelter Look-up'!$D$4,$V898-4,0)&amp;"")</f>
        <v/>
      </c>
      <c r="F898" s="168" t="str">
        <f ca="1">IF(ISERROR($V898),"",OFFSET('Smelter Look-up'!$E$4,$V898-4,0))</f>
        <v/>
      </c>
      <c r="G898" s="168" t="str">
        <f ca="1">IF(C898=$X$4,IF(ISERROR($V898),"Enter smelter details","RMI"),IF(ISERROR($V898),"",OFFSET('Smelter Look-up'!$F$4,$V898-4,0)))</f>
        <v/>
      </c>
      <c r="H898" s="171" t="str">
        <f ca="1">IF(ISERROR($V898),"",OFFSET('Smelter Look-up'!$G$4,$V898-4,0))</f>
        <v/>
      </c>
      <c r="I898" s="172" t="str">
        <f ca="1">IF(ISERROR($V898),"",OFFSET('Smelter Look-up'!$H$4,$V898-4,0))</f>
        <v/>
      </c>
      <c r="J898" s="172" t="str">
        <f ca="1">IF(ISERROR($V898),"",OFFSET('Smelter Look-up'!$I$4,$V898-4,0))</f>
        <v/>
      </c>
      <c r="K898" s="173"/>
      <c r="L898" s="173"/>
      <c r="M898" s="173"/>
      <c r="N898" s="173"/>
      <c r="O898" s="173"/>
      <c r="P898" s="174"/>
      <c r="Q898" s="175"/>
      <c r="R898" s="168" t="str">
        <f ca="1">IF(ISERROR($V898),"",OFFSET('Smelter Look-up'!$C$4,$V898-4,0)&amp;"")</f>
        <v/>
      </c>
      <c r="S898" s="167" t="str">
        <f t="shared" ca="1" si="93"/>
        <v/>
      </c>
      <c r="T898" s="167" t="str">
        <f ca="1">IF(B898="","",IF(ISERROR(MATCH($J898,SorP!$B$1:$B$6230,0)),"",INDIRECT("'SorP'!$A$"&amp;MATCH($J898,SorP!$B$1:$B$6230,0))))</f>
        <v/>
      </c>
      <c r="U898" s="176"/>
      <c r="V898" s="177" t="e">
        <f>IF(C898="",NA(),IF(OR(C898="Smelter not listed",C898="Smelter not yet identified"),MATCH($B898&amp;$D898,'Smelter Look-up'!$J:$J,0),MATCH($B898&amp;$C898,'Smelter Look-up'!$J:$J,0)))</f>
        <v>#N/A</v>
      </c>
      <c r="X898" s="140">
        <f t="shared" ca="1" si="94"/>
        <v>0</v>
      </c>
      <c r="AB898" s="178" t="str">
        <f t="shared" si="95"/>
        <v/>
      </c>
    </row>
    <row r="899" spans="1:28" s="140" customFormat="1" ht="20.25">
      <c r="A899" s="167"/>
      <c r="B899" s="168" t="str">
        <f>IF(LEN(A899)=0,"",INDEX('Smelter Look-up'!$A:$A,MATCH($A899,'Smelter Look-up'!$E:$E,0)))</f>
        <v/>
      </c>
      <c r="C899" s="169" t="str">
        <f>IF(LEN(A899)=0,"",INDEX('Smelter Look-up'!$C:$C,MATCH($A899,'Smelter Look-up'!$E:$E,0)))</f>
        <v/>
      </c>
      <c r="D899" s="170"/>
      <c r="E899" s="168" t="str">
        <f ca="1">IF(ISERROR($V899),"",OFFSET('Smelter Look-up'!$D$4,$V899-4,0)&amp;"")</f>
        <v/>
      </c>
      <c r="F899" s="168" t="str">
        <f ca="1">IF(ISERROR($V899),"",OFFSET('Smelter Look-up'!$E$4,$V899-4,0))</f>
        <v/>
      </c>
      <c r="G899" s="168" t="str">
        <f ca="1">IF(C899=$X$4,IF(ISERROR($V899),"Enter smelter details","RMI"),IF(ISERROR($V899),"",OFFSET('Smelter Look-up'!$F$4,$V899-4,0)))</f>
        <v/>
      </c>
      <c r="H899" s="171" t="str">
        <f ca="1">IF(ISERROR($V899),"",OFFSET('Smelter Look-up'!$G$4,$V899-4,0))</f>
        <v/>
      </c>
      <c r="I899" s="172" t="str">
        <f ca="1">IF(ISERROR($V899),"",OFFSET('Smelter Look-up'!$H$4,$V899-4,0))</f>
        <v/>
      </c>
      <c r="J899" s="172" t="str">
        <f ca="1">IF(ISERROR($V899),"",OFFSET('Smelter Look-up'!$I$4,$V899-4,0))</f>
        <v/>
      </c>
      <c r="K899" s="173"/>
      <c r="L899" s="173"/>
      <c r="M899" s="173"/>
      <c r="N899" s="173"/>
      <c r="O899" s="173"/>
      <c r="P899" s="174"/>
      <c r="Q899" s="175"/>
      <c r="R899" s="168" t="str">
        <f ca="1">IF(ISERROR($V899),"",OFFSET('Smelter Look-up'!$C$4,$V899-4,0)&amp;"")</f>
        <v/>
      </c>
      <c r="S899" s="167" t="str">
        <f t="shared" ca="1" si="93"/>
        <v/>
      </c>
      <c r="T899" s="167" t="str">
        <f ca="1">IF(B899="","",IF(ISERROR(MATCH($J899,SorP!$B$1:$B$6230,0)),"",INDIRECT("'SorP'!$A$"&amp;MATCH($J899,SorP!$B$1:$B$6230,0))))</f>
        <v/>
      </c>
      <c r="U899" s="176"/>
      <c r="V899" s="177" t="e">
        <f>IF(C899="",NA(),IF(OR(C899="Smelter not listed",C899="Smelter not yet identified"),MATCH($B899&amp;$D899,'Smelter Look-up'!$J:$J,0),MATCH($B899&amp;$C899,'Smelter Look-up'!$J:$J,0)))</f>
        <v>#N/A</v>
      </c>
      <c r="X899" s="140">
        <f t="shared" ca="1" si="94"/>
        <v>0</v>
      </c>
      <c r="AB899" s="178" t="str">
        <f t="shared" si="95"/>
        <v/>
      </c>
    </row>
    <row r="900" spans="1:28" s="140" customFormat="1" ht="20.25">
      <c r="A900" s="167"/>
      <c r="B900" s="168" t="str">
        <f>IF(LEN(A900)=0,"",INDEX('Smelter Look-up'!$A:$A,MATCH($A900,'Smelter Look-up'!$E:$E,0)))</f>
        <v/>
      </c>
      <c r="C900" s="169" t="str">
        <f>IF(LEN(A900)=0,"",INDEX('Smelter Look-up'!$C:$C,MATCH($A900,'Smelter Look-up'!$E:$E,0)))</f>
        <v/>
      </c>
      <c r="D900" s="170"/>
      <c r="E900" s="168" t="str">
        <f ca="1">IF(ISERROR($V900),"",OFFSET('Smelter Look-up'!$D$4,$V900-4,0)&amp;"")</f>
        <v/>
      </c>
      <c r="F900" s="168" t="str">
        <f ca="1">IF(ISERROR($V900),"",OFFSET('Smelter Look-up'!$E$4,$V900-4,0))</f>
        <v/>
      </c>
      <c r="G900" s="168" t="str">
        <f ca="1">IF(C900=$X$4,IF(ISERROR($V900),"Enter smelter details","RMI"),IF(ISERROR($V900),"",OFFSET('Smelter Look-up'!$F$4,$V900-4,0)))</f>
        <v/>
      </c>
      <c r="H900" s="171" t="str">
        <f ca="1">IF(ISERROR($V900),"",OFFSET('Smelter Look-up'!$G$4,$V900-4,0))</f>
        <v/>
      </c>
      <c r="I900" s="172" t="str">
        <f ca="1">IF(ISERROR($V900),"",OFFSET('Smelter Look-up'!$H$4,$V900-4,0))</f>
        <v/>
      </c>
      <c r="J900" s="172" t="str">
        <f ca="1">IF(ISERROR($V900),"",OFFSET('Smelter Look-up'!$I$4,$V900-4,0))</f>
        <v/>
      </c>
      <c r="K900" s="173"/>
      <c r="L900" s="173"/>
      <c r="M900" s="173"/>
      <c r="N900" s="173"/>
      <c r="O900" s="173"/>
      <c r="P900" s="174"/>
      <c r="Q900" s="175"/>
      <c r="R900" s="168" t="str">
        <f ca="1">IF(ISERROR($V900),"",OFFSET('Smelter Look-up'!$C$4,$V900-4,0)&amp;"")</f>
        <v/>
      </c>
      <c r="S900" s="167" t="str">
        <f t="shared" ca="1" si="93"/>
        <v/>
      </c>
      <c r="T900" s="167" t="str">
        <f ca="1">IF(B900="","",IF(ISERROR(MATCH($J900,SorP!$B$1:$B$6230,0)),"",INDIRECT("'SorP'!$A$"&amp;MATCH($J900,SorP!$B$1:$B$6230,0))))</f>
        <v/>
      </c>
      <c r="U900" s="176"/>
      <c r="V900" s="177" t="e">
        <f>IF(C900="",NA(),IF(OR(C900="Smelter not listed",C900="Smelter not yet identified"),MATCH($B900&amp;$D900,'Smelter Look-up'!$J:$J,0),MATCH($B900&amp;$C900,'Smelter Look-up'!$J:$J,0)))</f>
        <v>#N/A</v>
      </c>
      <c r="X900" s="140">
        <f t="shared" ca="1" si="94"/>
        <v>0</v>
      </c>
      <c r="AB900" s="178" t="str">
        <f t="shared" si="95"/>
        <v/>
      </c>
    </row>
    <row r="901" spans="1:28" s="140" customFormat="1" ht="20.25">
      <c r="A901" s="167"/>
      <c r="B901" s="168" t="str">
        <f>IF(LEN(A901)=0,"",INDEX('Smelter Look-up'!$A:$A,MATCH($A901,'Smelter Look-up'!$E:$E,0)))</f>
        <v/>
      </c>
      <c r="C901" s="169" t="str">
        <f>IF(LEN(A901)=0,"",INDEX('Smelter Look-up'!$C:$C,MATCH($A901,'Smelter Look-up'!$E:$E,0)))</f>
        <v/>
      </c>
      <c r="D901" s="170"/>
      <c r="E901" s="168" t="str">
        <f ca="1">IF(ISERROR($V901),"",OFFSET('Smelter Look-up'!$D$4,$V901-4,0)&amp;"")</f>
        <v/>
      </c>
      <c r="F901" s="168" t="str">
        <f ca="1">IF(ISERROR($V901),"",OFFSET('Smelter Look-up'!$E$4,$V901-4,0))</f>
        <v/>
      </c>
      <c r="G901" s="168" t="str">
        <f ca="1">IF(C901=$X$4,IF(ISERROR($V901),"Enter smelter details","RMI"),IF(ISERROR($V901),"",OFFSET('Smelter Look-up'!$F$4,$V901-4,0)))</f>
        <v/>
      </c>
      <c r="H901" s="171" t="str">
        <f ca="1">IF(ISERROR($V901),"",OFFSET('Smelter Look-up'!$G$4,$V901-4,0))</f>
        <v/>
      </c>
      <c r="I901" s="172" t="str">
        <f ca="1">IF(ISERROR($V901),"",OFFSET('Smelter Look-up'!$H$4,$V901-4,0))</f>
        <v/>
      </c>
      <c r="J901" s="172" t="str">
        <f ca="1">IF(ISERROR($V901),"",OFFSET('Smelter Look-up'!$I$4,$V901-4,0))</f>
        <v/>
      </c>
      <c r="K901" s="173"/>
      <c r="L901" s="173"/>
      <c r="M901" s="173"/>
      <c r="N901" s="173"/>
      <c r="O901" s="173"/>
      <c r="P901" s="174"/>
      <c r="Q901" s="175"/>
      <c r="R901" s="168" t="str">
        <f ca="1">IF(ISERROR($V901),"",OFFSET('Smelter Look-up'!$C$4,$V901-4,0)&amp;"")</f>
        <v/>
      </c>
      <c r="S901" s="167" t="str">
        <f t="shared" ca="1" si="93"/>
        <v/>
      </c>
      <c r="T901" s="167" t="str">
        <f ca="1">IF(B901="","",IF(ISERROR(MATCH($J901,SorP!$B$1:$B$6230,0)),"",INDIRECT("'SorP'!$A$"&amp;MATCH($J901,SorP!$B$1:$B$6230,0))))</f>
        <v/>
      </c>
      <c r="U901" s="176"/>
      <c r="V901" s="177" t="e">
        <f>IF(C901="",NA(),IF(OR(C901="Smelter not listed",C901="Smelter not yet identified"),MATCH($B901&amp;$D901,'Smelter Look-up'!$J:$J,0),MATCH($B901&amp;$C901,'Smelter Look-up'!$J:$J,0)))</f>
        <v>#N/A</v>
      </c>
      <c r="X901" s="140">
        <f t="shared" ca="1" si="94"/>
        <v>0</v>
      </c>
      <c r="AB901" s="178" t="str">
        <f t="shared" si="95"/>
        <v/>
      </c>
    </row>
    <row r="902" spans="1:28" s="140" customFormat="1" ht="20.25">
      <c r="A902" s="167"/>
      <c r="B902" s="168" t="str">
        <f>IF(LEN(A902)=0,"",INDEX('Smelter Look-up'!$A:$A,MATCH($A902,'Smelter Look-up'!$E:$E,0)))</f>
        <v/>
      </c>
      <c r="C902" s="169" t="str">
        <f>IF(LEN(A902)=0,"",INDEX('Smelter Look-up'!$C:$C,MATCH($A902,'Smelter Look-up'!$E:$E,0)))</f>
        <v/>
      </c>
      <c r="D902" s="170"/>
      <c r="E902" s="168" t="str">
        <f ca="1">IF(ISERROR($V902),"",OFFSET('Smelter Look-up'!$D$4,$V902-4,0)&amp;"")</f>
        <v/>
      </c>
      <c r="F902" s="168" t="str">
        <f ca="1">IF(ISERROR($V902),"",OFFSET('Smelter Look-up'!$E$4,$V902-4,0))</f>
        <v/>
      </c>
      <c r="G902" s="168" t="str">
        <f ca="1">IF(C902=$X$4,IF(ISERROR($V902),"Enter smelter details","RMI"),IF(ISERROR($V902),"",OFFSET('Smelter Look-up'!$F$4,$V902-4,0)))</f>
        <v/>
      </c>
      <c r="H902" s="171" t="str">
        <f ca="1">IF(ISERROR($V902),"",OFFSET('Smelter Look-up'!$G$4,$V902-4,0))</f>
        <v/>
      </c>
      <c r="I902" s="172" t="str">
        <f ca="1">IF(ISERROR($V902),"",OFFSET('Smelter Look-up'!$H$4,$V902-4,0))</f>
        <v/>
      </c>
      <c r="J902" s="172" t="str">
        <f ca="1">IF(ISERROR($V902),"",OFFSET('Smelter Look-up'!$I$4,$V902-4,0))</f>
        <v/>
      </c>
      <c r="K902" s="173"/>
      <c r="L902" s="173"/>
      <c r="M902" s="173"/>
      <c r="N902" s="173"/>
      <c r="O902" s="173"/>
      <c r="P902" s="174"/>
      <c r="Q902" s="175"/>
      <c r="R902" s="168" t="str">
        <f ca="1">IF(ISERROR($V902),"",OFFSET('Smelter Look-up'!$C$4,$V902-4,0)&amp;"")</f>
        <v/>
      </c>
      <c r="S902" s="167" t="str">
        <f t="shared" ca="1" si="93"/>
        <v/>
      </c>
      <c r="T902" s="167" t="str">
        <f ca="1">IF(B902="","",IF(ISERROR(MATCH($J902,SorP!$B$1:$B$6230,0)),"",INDIRECT("'SorP'!$A$"&amp;MATCH($J902,SorP!$B$1:$B$6230,0))))</f>
        <v/>
      </c>
      <c r="U902" s="176"/>
      <c r="V902" s="177" t="e">
        <f>IF(C902="",NA(),IF(OR(C902="Smelter not listed",C902="Smelter not yet identified"),MATCH($B902&amp;$D902,'Smelter Look-up'!$J:$J,0),MATCH($B902&amp;$C902,'Smelter Look-up'!$J:$J,0)))</f>
        <v>#N/A</v>
      </c>
      <c r="X902" s="140">
        <f t="shared" ca="1" si="94"/>
        <v>0</v>
      </c>
      <c r="AB902" s="178" t="str">
        <f t="shared" si="95"/>
        <v/>
      </c>
    </row>
    <row r="903" spans="1:28" s="140" customFormat="1" ht="20.25">
      <c r="A903" s="167"/>
      <c r="B903" s="168" t="str">
        <f>IF(LEN(A903)=0,"",INDEX('Smelter Look-up'!$A:$A,MATCH($A903,'Smelter Look-up'!$E:$E,0)))</f>
        <v/>
      </c>
      <c r="C903" s="169" t="str">
        <f>IF(LEN(A903)=0,"",INDEX('Smelter Look-up'!$C:$C,MATCH($A903,'Smelter Look-up'!$E:$E,0)))</f>
        <v/>
      </c>
      <c r="D903" s="170"/>
      <c r="E903" s="168" t="str">
        <f ca="1">IF(ISERROR($V903),"",OFFSET('Smelter Look-up'!$D$4,$V903-4,0)&amp;"")</f>
        <v/>
      </c>
      <c r="F903" s="168" t="str">
        <f ca="1">IF(ISERROR($V903),"",OFFSET('Smelter Look-up'!$E$4,$V903-4,0))</f>
        <v/>
      </c>
      <c r="G903" s="168" t="str">
        <f ca="1">IF(C903=$X$4,IF(ISERROR($V903),"Enter smelter details","RMI"),IF(ISERROR($V903),"",OFFSET('Smelter Look-up'!$F$4,$V903-4,0)))</f>
        <v/>
      </c>
      <c r="H903" s="171" t="str">
        <f ca="1">IF(ISERROR($V903),"",OFFSET('Smelter Look-up'!$G$4,$V903-4,0))</f>
        <v/>
      </c>
      <c r="I903" s="172" t="str">
        <f ca="1">IF(ISERROR($V903),"",OFFSET('Smelter Look-up'!$H$4,$V903-4,0))</f>
        <v/>
      </c>
      <c r="J903" s="172" t="str">
        <f ca="1">IF(ISERROR($V903),"",OFFSET('Smelter Look-up'!$I$4,$V903-4,0))</f>
        <v/>
      </c>
      <c r="K903" s="173"/>
      <c r="L903" s="173"/>
      <c r="M903" s="173"/>
      <c r="N903" s="173"/>
      <c r="O903" s="173"/>
      <c r="P903" s="174"/>
      <c r="Q903" s="175"/>
      <c r="R903" s="168" t="str">
        <f ca="1">IF(ISERROR($V903),"",OFFSET('Smelter Look-up'!$C$4,$V903-4,0)&amp;"")</f>
        <v/>
      </c>
      <c r="S903" s="167" t="str">
        <f t="shared" ca="1" si="93"/>
        <v/>
      </c>
      <c r="T903" s="167" t="str">
        <f ca="1">IF(B903="","",IF(ISERROR(MATCH($J903,SorP!$B$1:$B$6230,0)),"",INDIRECT("'SorP'!$A$"&amp;MATCH($J903,SorP!$B$1:$B$6230,0))))</f>
        <v/>
      </c>
      <c r="U903" s="176"/>
      <c r="V903" s="177" t="e">
        <f>IF(C903="",NA(),IF(OR(C903="Smelter not listed",C903="Smelter not yet identified"),MATCH($B903&amp;$D903,'Smelter Look-up'!$J:$J,0),MATCH($B903&amp;$C903,'Smelter Look-up'!$J:$J,0)))</f>
        <v>#N/A</v>
      </c>
      <c r="X903" s="140">
        <f t="shared" ca="1" si="94"/>
        <v>0</v>
      </c>
      <c r="AB903" s="178" t="str">
        <f t="shared" si="95"/>
        <v/>
      </c>
    </row>
    <row r="904" spans="1:28" s="140" customFormat="1" ht="20.25">
      <c r="A904" s="167"/>
      <c r="B904" s="168" t="str">
        <f>IF(LEN(A904)=0,"",INDEX('Smelter Look-up'!$A:$A,MATCH($A904,'Smelter Look-up'!$E:$E,0)))</f>
        <v/>
      </c>
      <c r="C904" s="169" t="str">
        <f>IF(LEN(A904)=0,"",INDEX('Smelter Look-up'!$C:$C,MATCH($A904,'Smelter Look-up'!$E:$E,0)))</f>
        <v/>
      </c>
      <c r="D904" s="170"/>
      <c r="E904" s="168" t="str">
        <f ca="1">IF(ISERROR($V904),"",OFFSET('Smelter Look-up'!$D$4,$V904-4,0)&amp;"")</f>
        <v/>
      </c>
      <c r="F904" s="168" t="str">
        <f ca="1">IF(ISERROR($V904),"",OFFSET('Smelter Look-up'!$E$4,$V904-4,0))</f>
        <v/>
      </c>
      <c r="G904" s="168" t="str">
        <f ca="1">IF(C904=$X$4,IF(ISERROR($V904),"Enter smelter details","RMI"),IF(ISERROR($V904),"",OFFSET('Smelter Look-up'!$F$4,$V904-4,0)))</f>
        <v/>
      </c>
      <c r="H904" s="171" t="str">
        <f ca="1">IF(ISERROR($V904),"",OFFSET('Smelter Look-up'!$G$4,$V904-4,0))</f>
        <v/>
      </c>
      <c r="I904" s="172" t="str">
        <f ca="1">IF(ISERROR($V904),"",OFFSET('Smelter Look-up'!$H$4,$V904-4,0))</f>
        <v/>
      </c>
      <c r="J904" s="172" t="str">
        <f ca="1">IF(ISERROR($V904),"",OFFSET('Smelter Look-up'!$I$4,$V904-4,0))</f>
        <v/>
      </c>
      <c r="K904" s="173"/>
      <c r="L904" s="173"/>
      <c r="M904" s="173"/>
      <c r="N904" s="173"/>
      <c r="O904" s="173"/>
      <c r="P904" s="174"/>
      <c r="Q904" s="175"/>
      <c r="R904" s="168" t="str">
        <f ca="1">IF(ISERROR($V904),"",OFFSET('Smelter Look-up'!$C$4,$V904-4,0)&amp;"")</f>
        <v/>
      </c>
      <c r="S904" s="167" t="str">
        <f t="shared" ca="1" si="93"/>
        <v/>
      </c>
      <c r="T904" s="167" t="str">
        <f ca="1">IF(B904="","",IF(ISERROR(MATCH($J904,SorP!$B$1:$B$6230,0)),"",INDIRECT("'SorP'!$A$"&amp;MATCH($J904,SorP!$B$1:$B$6230,0))))</f>
        <v/>
      </c>
      <c r="U904" s="176"/>
      <c r="V904" s="177" t="e">
        <f>IF(C904="",NA(),IF(OR(C904="Smelter not listed",C904="Smelter not yet identified"),MATCH($B904&amp;$D904,'Smelter Look-up'!$J:$J,0),MATCH($B904&amp;$C904,'Smelter Look-up'!$J:$J,0)))</f>
        <v>#N/A</v>
      </c>
      <c r="X904" s="140">
        <f t="shared" ca="1" si="94"/>
        <v>0</v>
      </c>
      <c r="AB904" s="178" t="str">
        <f t="shared" si="95"/>
        <v/>
      </c>
    </row>
    <row r="905" spans="1:28" s="140" customFormat="1" ht="20.25">
      <c r="A905" s="167"/>
      <c r="B905" s="168" t="str">
        <f>IF(LEN(A905)=0,"",INDEX('Smelter Look-up'!$A:$A,MATCH($A905,'Smelter Look-up'!$E:$E,0)))</f>
        <v/>
      </c>
      <c r="C905" s="169" t="str">
        <f>IF(LEN(A905)=0,"",INDEX('Smelter Look-up'!$C:$C,MATCH($A905,'Smelter Look-up'!$E:$E,0)))</f>
        <v/>
      </c>
      <c r="D905" s="170"/>
      <c r="E905" s="168" t="str">
        <f ca="1">IF(ISERROR($V905),"",OFFSET('Smelter Look-up'!$D$4,$V905-4,0)&amp;"")</f>
        <v/>
      </c>
      <c r="F905" s="168" t="str">
        <f ca="1">IF(ISERROR($V905),"",OFFSET('Smelter Look-up'!$E$4,$V905-4,0))</f>
        <v/>
      </c>
      <c r="G905" s="168" t="str">
        <f ca="1">IF(C905=$X$4,IF(ISERROR($V905),"Enter smelter details","RMI"),IF(ISERROR($V905),"",OFFSET('Smelter Look-up'!$F$4,$V905-4,0)))</f>
        <v/>
      </c>
      <c r="H905" s="171" t="str">
        <f ca="1">IF(ISERROR($V905),"",OFFSET('Smelter Look-up'!$G$4,$V905-4,0))</f>
        <v/>
      </c>
      <c r="I905" s="172" t="str">
        <f ca="1">IF(ISERROR($V905),"",OFFSET('Smelter Look-up'!$H$4,$V905-4,0))</f>
        <v/>
      </c>
      <c r="J905" s="172" t="str">
        <f ca="1">IF(ISERROR($V905),"",OFFSET('Smelter Look-up'!$I$4,$V905-4,0))</f>
        <v/>
      </c>
      <c r="K905" s="173"/>
      <c r="L905" s="173"/>
      <c r="M905" s="173"/>
      <c r="N905" s="173"/>
      <c r="O905" s="173"/>
      <c r="P905" s="174"/>
      <c r="Q905" s="175"/>
      <c r="R905" s="168" t="str">
        <f ca="1">IF(ISERROR($V905),"",OFFSET('Smelter Look-up'!$C$4,$V905-4,0)&amp;"")</f>
        <v/>
      </c>
      <c r="S905" s="167" t="str">
        <f t="shared" ca="1" si="93"/>
        <v/>
      </c>
      <c r="T905" s="167" t="str">
        <f ca="1">IF(B905="","",IF(ISERROR(MATCH($J905,SorP!$B$1:$B$6230,0)),"",INDIRECT("'SorP'!$A$"&amp;MATCH($J905,SorP!$B$1:$B$6230,0))))</f>
        <v/>
      </c>
      <c r="U905" s="176"/>
      <c r="V905" s="177" t="e">
        <f>IF(C905="",NA(),IF(OR(C905="Smelter not listed",C905="Smelter not yet identified"),MATCH($B905&amp;$D905,'Smelter Look-up'!$J:$J,0),MATCH($B905&amp;$C905,'Smelter Look-up'!$J:$J,0)))</f>
        <v>#N/A</v>
      </c>
      <c r="X905" s="140">
        <f t="shared" ca="1" si="94"/>
        <v>0</v>
      </c>
      <c r="AB905" s="178" t="str">
        <f t="shared" si="95"/>
        <v/>
      </c>
    </row>
    <row r="906" spans="1:28" s="140" customFormat="1" ht="20.25">
      <c r="A906" s="167"/>
      <c r="B906" s="168" t="str">
        <f>IF(LEN(A906)=0,"",INDEX('Smelter Look-up'!$A:$A,MATCH($A906,'Smelter Look-up'!$E:$E,0)))</f>
        <v/>
      </c>
      <c r="C906" s="169" t="str">
        <f>IF(LEN(A906)=0,"",INDEX('Smelter Look-up'!$C:$C,MATCH($A906,'Smelter Look-up'!$E:$E,0)))</f>
        <v/>
      </c>
      <c r="D906" s="170"/>
      <c r="E906" s="168" t="str">
        <f ca="1">IF(ISERROR($V906),"",OFFSET('Smelter Look-up'!$D$4,$V906-4,0)&amp;"")</f>
        <v/>
      </c>
      <c r="F906" s="168" t="str">
        <f ca="1">IF(ISERROR($V906),"",OFFSET('Smelter Look-up'!$E$4,$V906-4,0))</f>
        <v/>
      </c>
      <c r="G906" s="168" t="str">
        <f ca="1">IF(C906=$X$4,IF(ISERROR($V906),"Enter smelter details","RMI"),IF(ISERROR($V906),"",OFFSET('Smelter Look-up'!$F$4,$V906-4,0)))</f>
        <v/>
      </c>
      <c r="H906" s="171" t="str">
        <f ca="1">IF(ISERROR($V906),"",OFFSET('Smelter Look-up'!$G$4,$V906-4,0))</f>
        <v/>
      </c>
      <c r="I906" s="172" t="str">
        <f ca="1">IF(ISERROR($V906),"",OFFSET('Smelter Look-up'!$H$4,$V906-4,0))</f>
        <v/>
      </c>
      <c r="J906" s="172" t="str">
        <f ca="1">IF(ISERROR($V906),"",OFFSET('Smelter Look-up'!$I$4,$V906-4,0))</f>
        <v/>
      </c>
      <c r="K906" s="173"/>
      <c r="L906" s="173"/>
      <c r="M906" s="173"/>
      <c r="N906" s="173"/>
      <c r="O906" s="173"/>
      <c r="P906" s="174"/>
      <c r="Q906" s="175"/>
      <c r="R906" s="168" t="str">
        <f ca="1">IF(ISERROR($V906),"",OFFSET('Smelter Look-up'!$C$4,$V906-4,0)&amp;"")</f>
        <v/>
      </c>
      <c r="S906" s="167" t="str">
        <f t="shared" ca="1" si="93"/>
        <v/>
      </c>
      <c r="T906" s="167" t="str">
        <f ca="1">IF(B906="","",IF(ISERROR(MATCH($J906,SorP!$B$1:$B$6230,0)),"",INDIRECT("'SorP'!$A$"&amp;MATCH($J906,SorP!$B$1:$B$6230,0))))</f>
        <v/>
      </c>
      <c r="U906" s="176"/>
      <c r="V906" s="177" t="e">
        <f>IF(C906="",NA(),IF(OR(C906="Smelter not listed",C906="Smelter not yet identified"),MATCH($B906&amp;$D906,'Smelter Look-up'!$J:$J,0),MATCH($B906&amp;$C906,'Smelter Look-up'!$J:$J,0)))</f>
        <v>#N/A</v>
      </c>
      <c r="X906" s="140">
        <f t="shared" ca="1" si="94"/>
        <v>0</v>
      </c>
      <c r="AB906" s="178" t="str">
        <f t="shared" si="95"/>
        <v/>
      </c>
    </row>
    <row r="907" spans="1:28" s="140" customFormat="1" ht="20.25">
      <c r="A907" s="167"/>
      <c r="B907" s="168" t="str">
        <f>IF(LEN(A907)=0,"",INDEX('Smelter Look-up'!$A:$A,MATCH($A907,'Smelter Look-up'!$E:$E,0)))</f>
        <v/>
      </c>
      <c r="C907" s="169" t="str">
        <f>IF(LEN(A907)=0,"",INDEX('Smelter Look-up'!$C:$C,MATCH($A907,'Smelter Look-up'!$E:$E,0)))</f>
        <v/>
      </c>
      <c r="D907" s="170"/>
      <c r="E907" s="168" t="str">
        <f ca="1">IF(ISERROR($V907),"",OFFSET('Smelter Look-up'!$D$4,$V907-4,0)&amp;"")</f>
        <v/>
      </c>
      <c r="F907" s="168" t="str">
        <f ca="1">IF(ISERROR($V907),"",OFFSET('Smelter Look-up'!$E$4,$V907-4,0))</f>
        <v/>
      </c>
      <c r="G907" s="168" t="str">
        <f ca="1">IF(C907=$X$4,IF(ISERROR($V907),"Enter smelter details","RMI"),IF(ISERROR($V907),"",OFFSET('Smelter Look-up'!$F$4,$V907-4,0)))</f>
        <v/>
      </c>
      <c r="H907" s="171" t="str">
        <f ca="1">IF(ISERROR($V907),"",OFFSET('Smelter Look-up'!$G$4,$V907-4,0))</f>
        <v/>
      </c>
      <c r="I907" s="172" t="str">
        <f ca="1">IF(ISERROR($V907),"",OFFSET('Smelter Look-up'!$H$4,$V907-4,0))</f>
        <v/>
      </c>
      <c r="J907" s="172" t="str">
        <f ca="1">IF(ISERROR($V907),"",OFFSET('Smelter Look-up'!$I$4,$V907-4,0))</f>
        <v/>
      </c>
      <c r="K907" s="173"/>
      <c r="L907" s="173"/>
      <c r="M907" s="173"/>
      <c r="N907" s="173"/>
      <c r="O907" s="173"/>
      <c r="P907" s="174"/>
      <c r="Q907" s="175"/>
      <c r="R907" s="168" t="str">
        <f ca="1">IF(ISERROR($V907),"",OFFSET('Smelter Look-up'!$C$4,$V907-4,0)&amp;"")</f>
        <v/>
      </c>
      <c r="S907" s="167" t="str">
        <f t="shared" ca="1" si="93"/>
        <v/>
      </c>
      <c r="T907" s="167" t="str">
        <f ca="1">IF(B907="","",IF(ISERROR(MATCH($J907,SorP!$B$1:$B$6230,0)),"",INDIRECT("'SorP'!$A$"&amp;MATCH($J907,SorP!$B$1:$B$6230,0))))</f>
        <v/>
      </c>
      <c r="U907" s="176"/>
      <c r="V907" s="177" t="e">
        <f>IF(C907="",NA(),IF(OR(C907="Smelter not listed",C907="Smelter not yet identified"),MATCH($B907&amp;$D907,'Smelter Look-up'!$J:$J,0),MATCH($B907&amp;$C907,'Smelter Look-up'!$J:$J,0)))</f>
        <v>#N/A</v>
      </c>
      <c r="X907" s="140">
        <f t="shared" ca="1" si="94"/>
        <v>0</v>
      </c>
      <c r="AB907" s="178" t="str">
        <f t="shared" si="95"/>
        <v/>
      </c>
    </row>
    <row r="908" spans="1:28" s="140" customFormat="1" ht="20.25">
      <c r="A908" s="167"/>
      <c r="B908" s="168" t="str">
        <f>IF(LEN(A908)=0,"",INDEX('Smelter Look-up'!$A:$A,MATCH($A908,'Smelter Look-up'!$E:$E,0)))</f>
        <v/>
      </c>
      <c r="C908" s="169" t="str">
        <f>IF(LEN(A908)=0,"",INDEX('Smelter Look-up'!$C:$C,MATCH($A908,'Smelter Look-up'!$E:$E,0)))</f>
        <v/>
      </c>
      <c r="D908" s="170"/>
      <c r="E908" s="168" t="str">
        <f ca="1">IF(ISERROR($V908),"",OFFSET('Smelter Look-up'!$D$4,$V908-4,0)&amp;"")</f>
        <v/>
      </c>
      <c r="F908" s="168" t="str">
        <f ca="1">IF(ISERROR($V908),"",OFFSET('Smelter Look-up'!$E$4,$V908-4,0))</f>
        <v/>
      </c>
      <c r="G908" s="168" t="str">
        <f ca="1">IF(C908=$X$4,IF(ISERROR($V908),"Enter smelter details","RMI"),IF(ISERROR($V908),"",OFFSET('Smelter Look-up'!$F$4,$V908-4,0)))</f>
        <v/>
      </c>
      <c r="H908" s="171" t="str">
        <f ca="1">IF(ISERROR($V908),"",OFFSET('Smelter Look-up'!$G$4,$V908-4,0))</f>
        <v/>
      </c>
      <c r="I908" s="172" t="str">
        <f ca="1">IF(ISERROR($V908),"",OFFSET('Smelter Look-up'!$H$4,$V908-4,0))</f>
        <v/>
      </c>
      <c r="J908" s="172" t="str">
        <f ca="1">IF(ISERROR($V908),"",OFFSET('Smelter Look-up'!$I$4,$V908-4,0))</f>
        <v/>
      </c>
      <c r="K908" s="173"/>
      <c r="L908" s="173"/>
      <c r="M908" s="173"/>
      <c r="N908" s="173"/>
      <c r="O908" s="173"/>
      <c r="P908" s="174"/>
      <c r="Q908" s="175"/>
      <c r="R908" s="168" t="str">
        <f ca="1">IF(ISERROR($V908),"",OFFSET('Smelter Look-up'!$C$4,$V908-4,0)&amp;"")</f>
        <v/>
      </c>
      <c r="S908" s="167" t="str">
        <f t="shared" ca="1" si="93"/>
        <v/>
      </c>
      <c r="T908" s="167" t="str">
        <f ca="1">IF(B908="","",IF(ISERROR(MATCH($J908,SorP!$B$1:$B$6230,0)),"",INDIRECT("'SorP'!$A$"&amp;MATCH($J908,SorP!$B$1:$B$6230,0))))</f>
        <v/>
      </c>
      <c r="U908" s="176"/>
      <c r="V908" s="177" t="e">
        <f>IF(C908="",NA(),IF(OR(C908="Smelter not listed",C908="Smelter not yet identified"),MATCH($B908&amp;$D908,'Smelter Look-up'!$J:$J,0),MATCH($B908&amp;$C908,'Smelter Look-up'!$J:$J,0)))</f>
        <v>#N/A</v>
      </c>
      <c r="X908" s="140">
        <f t="shared" ca="1" si="94"/>
        <v>0</v>
      </c>
      <c r="AB908" s="178" t="str">
        <f t="shared" si="95"/>
        <v/>
      </c>
    </row>
    <row r="909" spans="1:28" s="140" customFormat="1" ht="20.25">
      <c r="A909" s="167"/>
      <c r="B909" s="168" t="str">
        <f>IF(LEN(A909)=0,"",INDEX('Smelter Look-up'!$A:$A,MATCH($A909,'Smelter Look-up'!$E:$E,0)))</f>
        <v/>
      </c>
      <c r="C909" s="169" t="str">
        <f>IF(LEN(A909)=0,"",INDEX('Smelter Look-up'!$C:$C,MATCH($A909,'Smelter Look-up'!$E:$E,0)))</f>
        <v/>
      </c>
      <c r="D909" s="170"/>
      <c r="E909" s="168" t="str">
        <f ca="1">IF(ISERROR($V909),"",OFFSET('Smelter Look-up'!$D$4,$V909-4,0)&amp;"")</f>
        <v/>
      </c>
      <c r="F909" s="168" t="str">
        <f ca="1">IF(ISERROR($V909),"",OFFSET('Smelter Look-up'!$E$4,$V909-4,0))</f>
        <v/>
      </c>
      <c r="G909" s="168" t="str">
        <f ca="1">IF(C909=$X$4,IF(ISERROR($V909),"Enter smelter details","RMI"),IF(ISERROR($V909),"",OFFSET('Smelter Look-up'!$F$4,$V909-4,0)))</f>
        <v/>
      </c>
      <c r="H909" s="171" t="str">
        <f ca="1">IF(ISERROR($V909),"",OFFSET('Smelter Look-up'!$G$4,$V909-4,0))</f>
        <v/>
      </c>
      <c r="I909" s="172" t="str">
        <f ca="1">IF(ISERROR($V909),"",OFFSET('Smelter Look-up'!$H$4,$V909-4,0))</f>
        <v/>
      </c>
      <c r="J909" s="172" t="str">
        <f ca="1">IF(ISERROR($V909),"",OFFSET('Smelter Look-up'!$I$4,$V909-4,0))</f>
        <v/>
      </c>
      <c r="K909" s="173"/>
      <c r="L909" s="173"/>
      <c r="M909" s="173"/>
      <c r="N909" s="173"/>
      <c r="O909" s="173"/>
      <c r="P909" s="174"/>
      <c r="Q909" s="175"/>
      <c r="R909" s="168" t="str">
        <f ca="1">IF(ISERROR($V909),"",OFFSET('Smelter Look-up'!$C$4,$V909-4,0)&amp;"")</f>
        <v/>
      </c>
      <c r="S909" s="167" t="str">
        <f t="shared" ca="1" si="93"/>
        <v/>
      </c>
      <c r="T909" s="167" t="str">
        <f ca="1">IF(B909="","",IF(ISERROR(MATCH($J909,SorP!$B$1:$B$6230,0)),"",INDIRECT("'SorP'!$A$"&amp;MATCH($J909,SorP!$B$1:$B$6230,0))))</f>
        <v/>
      </c>
      <c r="U909" s="176"/>
      <c r="V909" s="177" t="e">
        <f>IF(C909="",NA(),IF(OR(C909="Smelter not listed",C909="Smelter not yet identified"),MATCH($B909&amp;$D909,'Smelter Look-up'!$J:$J,0),MATCH($B909&amp;$C909,'Smelter Look-up'!$J:$J,0)))</f>
        <v>#N/A</v>
      </c>
      <c r="X909" s="140">
        <f t="shared" ca="1" si="94"/>
        <v>0</v>
      </c>
      <c r="AB909" s="178" t="str">
        <f t="shared" si="95"/>
        <v/>
      </c>
    </row>
    <row r="910" spans="1:28" s="140" customFormat="1" ht="20.25">
      <c r="A910" s="167"/>
      <c r="B910" s="168" t="str">
        <f>IF(LEN(A910)=0,"",INDEX('Smelter Look-up'!$A:$A,MATCH($A910,'Smelter Look-up'!$E:$E,0)))</f>
        <v/>
      </c>
      <c r="C910" s="169" t="str">
        <f>IF(LEN(A910)=0,"",INDEX('Smelter Look-up'!$C:$C,MATCH($A910,'Smelter Look-up'!$E:$E,0)))</f>
        <v/>
      </c>
      <c r="D910" s="170"/>
      <c r="E910" s="168" t="str">
        <f ca="1">IF(ISERROR($V910),"",OFFSET('Smelter Look-up'!$D$4,$V910-4,0)&amp;"")</f>
        <v/>
      </c>
      <c r="F910" s="168" t="str">
        <f ca="1">IF(ISERROR($V910),"",OFFSET('Smelter Look-up'!$E$4,$V910-4,0))</f>
        <v/>
      </c>
      <c r="G910" s="168" t="str">
        <f ca="1">IF(C910=$X$4,IF(ISERROR($V910),"Enter smelter details","RMI"),IF(ISERROR($V910),"",OFFSET('Smelter Look-up'!$F$4,$V910-4,0)))</f>
        <v/>
      </c>
      <c r="H910" s="171" t="str">
        <f ca="1">IF(ISERROR($V910),"",OFFSET('Smelter Look-up'!$G$4,$V910-4,0))</f>
        <v/>
      </c>
      <c r="I910" s="172" t="str">
        <f ca="1">IF(ISERROR($V910),"",OFFSET('Smelter Look-up'!$H$4,$V910-4,0))</f>
        <v/>
      </c>
      <c r="J910" s="172" t="str">
        <f ca="1">IF(ISERROR($V910),"",OFFSET('Smelter Look-up'!$I$4,$V910-4,0))</f>
        <v/>
      </c>
      <c r="K910" s="173"/>
      <c r="L910" s="173"/>
      <c r="M910" s="173"/>
      <c r="N910" s="173"/>
      <c r="O910" s="173"/>
      <c r="P910" s="174"/>
      <c r="Q910" s="175"/>
      <c r="R910" s="168" t="str">
        <f ca="1">IF(ISERROR($V910),"",OFFSET('Smelter Look-up'!$C$4,$V910-4,0)&amp;"")</f>
        <v/>
      </c>
      <c r="S910" s="167" t="str">
        <f t="shared" ca="1" si="93"/>
        <v/>
      </c>
      <c r="T910" s="167" t="str">
        <f ca="1">IF(B910="","",IF(ISERROR(MATCH($J910,SorP!$B$1:$B$6230,0)),"",INDIRECT("'SorP'!$A$"&amp;MATCH($J910,SorP!$B$1:$B$6230,0))))</f>
        <v/>
      </c>
      <c r="U910" s="176"/>
      <c r="V910" s="177" t="e">
        <f>IF(C910="",NA(),IF(OR(C910="Smelter not listed",C910="Smelter not yet identified"),MATCH($B910&amp;$D910,'Smelter Look-up'!$J:$J,0),MATCH($B910&amp;$C910,'Smelter Look-up'!$J:$J,0)))</f>
        <v>#N/A</v>
      </c>
      <c r="X910" s="140">
        <f t="shared" ca="1" si="94"/>
        <v>0</v>
      </c>
      <c r="AB910" s="178" t="str">
        <f t="shared" si="95"/>
        <v/>
      </c>
    </row>
    <row r="911" spans="1:28" s="140" customFormat="1" ht="20.25">
      <c r="A911" s="167"/>
      <c r="B911" s="168" t="str">
        <f>IF(LEN(A911)=0,"",INDEX('Smelter Look-up'!$A:$A,MATCH($A911,'Smelter Look-up'!$E:$E,0)))</f>
        <v/>
      </c>
      <c r="C911" s="169" t="str">
        <f>IF(LEN(A911)=0,"",INDEX('Smelter Look-up'!$C:$C,MATCH($A911,'Smelter Look-up'!$E:$E,0)))</f>
        <v/>
      </c>
      <c r="D911" s="170"/>
      <c r="E911" s="168" t="str">
        <f ca="1">IF(ISERROR($V911),"",OFFSET('Smelter Look-up'!$D$4,$V911-4,0)&amp;"")</f>
        <v/>
      </c>
      <c r="F911" s="168" t="str">
        <f ca="1">IF(ISERROR($V911),"",OFFSET('Smelter Look-up'!$E$4,$V911-4,0))</f>
        <v/>
      </c>
      <c r="G911" s="168" t="str">
        <f ca="1">IF(C911=$X$4,IF(ISERROR($V911),"Enter smelter details","RMI"),IF(ISERROR($V911),"",OFFSET('Smelter Look-up'!$F$4,$V911-4,0)))</f>
        <v/>
      </c>
      <c r="H911" s="171" t="str">
        <f ca="1">IF(ISERROR($V911),"",OFFSET('Smelter Look-up'!$G$4,$V911-4,0))</f>
        <v/>
      </c>
      <c r="I911" s="172" t="str">
        <f ca="1">IF(ISERROR($V911),"",OFFSET('Smelter Look-up'!$H$4,$V911-4,0))</f>
        <v/>
      </c>
      <c r="J911" s="172" t="str">
        <f ca="1">IF(ISERROR($V911),"",OFFSET('Smelter Look-up'!$I$4,$V911-4,0))</f>
        <v/>
      </c>
      <c r="K911" s="173"/>
      <c r="L911" s="173"/>
      <c r="M911" s="173"/>
      <c r="N911" s="173"/>
      <c r="O911" s="173"/>
      <c r="P911" s="174"/>
      <c r="Q911" s="175"/>
      <c r="R911" s="168" t="str">
        <f ca="1">IF(ISERROR($V911),"",OFFSET('Smelter Look-up'!$C$4,$V911-4,0)&amp;"")</f>
        <v/>
      </c>
      <c r="S911" s="167" t="str">
        <f t="shared" ca="1" si="93"/>
        <v/>
      </c>
      <c r="T911" s="167" t="str">
        <f ca="1">IF(B911="","",IF(ISERROR(MATCH($J911,SorP!$B$1:$B$6230,0)),"",INDIRECT("'SorP'!$A$"&amp;MATCH($J911,SorP!$B$1:$B$6230,0))))</f>
        <v/>
      </c>
      <c r="U911" s="176"/>
      <c r="V911" s="177" t="e">
        <f>IF(C911="",NA(),IF(OR(C911="Smelter not listed",C911="Smelter not yet identified"),MATCH($B911&amp;$D911,'Smelter Look-up'!$J:$J,0),MATCH($B911&amp;$C911,'Smelter Look-up'!$J:$J,0)))</f>
        <v>#N/A</v>
      </c>
      <c r="X911" s="140">
        <f t="shared" ca="1" si="94"/>
        <v>0</v>
      </c>
      <c r="AB911" s="178" t="str">
        <f t="shared" si="95"/>
        <v/>
      </c>
    </row>
    <row r="912" spans="1:28" s="140" customFormat="1" ht="20.25">
      <c r="A912" s="167"/>
      <c r="B912" s="168" t="str">
        <f>IF(LEN(A912)=0,"",INDEX('Smelter Look-up'!$A:$A,MATCH($A912,'Smelter Look-up'!$E:$E,0)))</f>
        <v/>
      </c>
      <c r="C912" s="169" t="str">
        <f>IF(LEN(A912)=0,"",INDEX('Smelter Look-up'!$C:$C,MATCH($A912,'Smelter Look-up'!$E:$E,0)))</f>
        <v/>
      </c>
      <c r="D912" s="170"/>
      <c r="E912" s="168" t="str">
        <f ca="1">IF(ISERROR($V912),"",OFFSET('Smelter Look-up'!$D$4,$V912-4,0)&amp;"")</f>
        <v/>
      </c>
      <c r="F912" s="168" t="str">
        <f ca="1">IF(ISERROR($V912),"",OFFSET('Smelter Look-up'!$E$4,$V912-4,0))</f>
        <v/>
      </c>
      <c r="G912" s="168" t="str">
        <f ca="1">IF(C912=$X$4,IF(ISERROR($V912),"Enter smelter details","RMI"),IF(ISERROR($V912),"",OFFSET('Smelter Look-up'!$F$4,$V912-4,0)))</f>
        <v/>
      </c>
      <c r="H912" s="171" t="str">
        <f ca="1">IF(ISERROR($V912),"",OFFSET('Smelter Look-up'!$G$4,$V912-4,0))</f>
        <v/>
      </c>
      <c r="I912" s="172" t="str">
        <f ca="1">IF(ISERROR($V912),"",OFFSET('Smelter Look-up'!$H$4,$V912-4,0))</f>
        <v/>
      </c>
      <c r="J912" s="172" t="str">
        <f ca="1">IF(ISERROR($V912),"",OFFSET('Smelter Look-up'!$I$4,$V912-4,0))</f>
        <v/>
      </c>
      <c r="K912" s="173"/>
      <c r="L912" s="173"/>
      <c r="M912" s="173"/>
      <c r="N912" s="173"/>
      <c r="O912" s="173"/>
      <c r="P912" s="174"/>
      <c r="Q912" s="175"/>
      <c r="R912" s="168" t="str">
        <f ca="1">IF(ISERROR($V912),"",OFFSET('Smelter Look-up'!$C$4,$V912-4,0)&amp;"")</f>
        <v/>
      </c>
      <c r="S912" s="167" t="str">
        <f t="shared" ca="1" si="93"/>
        <v/>
      </c>
      <c r="T912" s="167" t="str">
        <f ca="1">IF(B912="","",IF(ISERROR(MATCH($J912,SorP!$B$1:$B$6230,0)),"",INDIRECT("'SorP'!$A$"&amp;MATCH($J912,SorP!$B$1:$B$6230,0))))</f>
        <v/>
      </c>
      <c r="U912" s="176"/>
      <c r="V912" s="177" t="e">
        <f>IF(C912="",NA(),IF(OR(C912="Smelter not listed",C912="Smelter not yet identified"),MATCH($B912&amp;$D912,'Smelter Look-up'!$J:$J,0),MATCH($B912&amp;$C912,'Smelter Look-up'!$J:$J,0)))</f>
        <v>#N/A</v>
      </c>
      <c r="X912" s="140">
        <f t="shared" ca="1" si="94"/>
        <v>0</v>
      </c>
      <c r="AB912" s="178" t="str">
        <f t="shared" si="95"/>
        <v/>
      </c>
    </row>
    <row r="913" spans="1:28" s="140" customFormat="1" ht="20.25">
      <c r="A913" s="167"/>
      <c r="B913" s="168" t="str">
        <f>IF(LEN(A913)=0,"",INDEX('Smelter Look-up'!$A:$A,MATCH($A913,'Smelter Look-up'!$E:$E,0)))</f>
        <v/>
      </c>
      <c r="C913" s="169" t="str">
        <f>IF(LEN(A913)=0,"",INDEX('Smelter Look-up'!$C:$C,MATCH($A913,'Smelter Look-up'!$E:$E,0)))</f>
        <v/>
      </c>
      <c r="D913" s="170"/>
      <c r="E913" s="168" t="str">
        <f ca="1">IF(ISERROR($V913),"",OFFSET('Smelter Look-up'!$D$4,$V913-4,0)&amp;"")</f>
        <v/>
      </c>
      <c r="F913" s="168" t="str">
        <f ca="1">IF(ISERROR($V913),"",OFFSET('Smelter Look-up'!$E$4,$V913-4,0))</f>
        <v/>
      </c>
      <c r="G913" s="168" t="str">
        <f ca="1">IF(C913=$X$4,IF(ISERROR($V913),"Enter smelter details","RMI"),IF(ISERROR($V913),"",OFFSET('Smelter Look-up'!$F$4,$V913-4,0)))</f>
        <v/>
      </c>
      <c r="H913" s="171" t="str">
        <f ca="1">IF(ISERROR($V913),"",OFFSET('Smelter Look-up'!$G$4,$V913-4,0))</f>
        <v/>
      </c>
      <c r="I913" s="172" t="str">
        <f ca="1">IF(ISERROR($V913),"",OFFSET('Smelter Look-up'!$H$4,$V913-4,0))</f>
        <v/>
      </c>
      <c r="J913" s="172" t="str">
        <f ca="1">IF(ISERROR($V913),"",OFFSET('Smelter Look-up'!$I$4,$V913-4,0))</f>
        <v/>
      </c>
      <c r="K913" s="173"/>
      <c r="L913" s="173"/>
      <c r="M913" s="173"/>
      <c r="N913" s="173"/>
      <c r="O913" s="173"/>
      <c r="P913" s="174"/>
      <c r="Q913" s="175"/>
      <c r="R913" s="168" t="str">
        <f ca="1">IF(ISERROR($V913),"",OFFSET('Smelter Look-up'!$C$4,$V913-4,0)&amp;"")</f>
        <v/>
      </c>
      <c r="S913" s="167" t="str">
        <f t="shared" ca="1" si="93"/>
        <v/>
      </c>
      <c r="T913" s="167" t="str">
        <f ca="1">IF(B913="","",IF(ISERROR(MATCH($J913,SorP!$B$1:$B$6230,0)),"",INDIRECT("'SorP'!$A$"&amp;MATCH($J913,SorP!$B$1:$B$6230,0))))</f>
        <v/>
      </c>
      <c r="U913" s="176"/>
      <c r="V913" s="177" t="e">
        <f>IF(C913="",NA(),IF(OR(C913="Smelter not listed",C913="Smelter not yet identified"),MATCH($B913&amp;$D913,'Smelter Look-up'!$J:$J,0),MATCH($B913&amp;$C913,'Smelter Look-up'!$J:$J,0)))</f>
        <v>#N/A</v>
      </c>
      <c r="X913" s="140">
        <f t="shared" ca="1" si="94"/>
        <v>0</v>
      </c>
      <c r="AB913" s="178" t="str">
        <f t="shared" si="95"/>
        <v/>
      </c>
    </row>
    <row r="914" spans="1:28" s="140" customFormat="1" ht="20.25">
      <c r="A914" s="167"/>
      <c r="B914" s="168" t="str">
        <f>IF(LEN(A914)=0,"",INDEX('Smelter Look-up'!$A:$A,MATCH($A914,'Smelter Look-up'!$E:$E,0)))</f>
        <v/>
      </c>
      <c r="C914" s="169" t="str">
        <f>IF(LEN(A914)=0,"",INDEX('Smelter Look-up'!$C:$C,MATCH($A914,'Smelter Look-up'!$E:$E,0)))</f>
        <v/>
      </c>
      <c r="D914" s="170"/>
      <c r="E914" s="168" t="str">
        <f ca="1">IF(ISERROR($V914),"",OFFSET('Smelter Look-up'!$D$4,$V914-4,0)&amp;"")</f>
        <v/>
      </c>
      <c r="F914" s="168" t="str">
        <f ca="1">IF(ISERROR($V914),"",OFFSET('Smelter Look-up'!$E$4,$V914-4,0))</f>
        <v/>
      </c>
      <c r="G914" s="168" t="str">
        <f ca="1">IF(C914=$X$4,IF(ISERROR($V914),"Enter smelter details","RMI"),IF(ISERROR($V914),"",OFFSET('Smelter Look-up'!$F$4,$V914-4,0)))</f>
        <v/>
      </c>
      <c r="H914" s="171" t="str">
        <f ca="1">IF(ISERROR($V914),"",OFFSET('Smelter Look-up'!$G$4,$V914-4,0))</f>
        <v/>
      </c>
      <c r="I914" s="172" t="str">
        <f ca="1">IF(ISERROR($V914),"",OFFSET('Smelter Look-up'!$H$4,$V914-4,0))</f>
        <v/>
      </c>
      <c r="J914" s="172" t="str">
        <f ca="1">IF(ISERROR($V914),"",OFFSET('Smelter Look-up'!$I$4,$V914-4,0))</f>
        <v/>
      </c>
      <c r="K914" s="173"/>
      <c r="L914" s="173"/>
      <c r="M914" s="173"/>
      <c r="N914" s="173"/>
      <c r="O914" s="173"/>
      <c r="P914" s="174"/>
      <c r="Q914" s="175"/>
      <c r="R914" s="168" t="str">
        <f ca="1">IF(ISERROR($V914),"",OFFSET('Smelter Look-up'!$C$4,$V914-4,0)&amp;"")</f>
        <v/>
      </c>
      <c r="S914" s="167" t="str">
        <f t="shared" ca="1" si="93"/>
        <v/>
      </c>
      <c r="T914" s="167" t="str">
        <f ca="1">IF(B914="","",IF(ISERROR(MATCH($J914,SorP!$B$1:$B$6230,0)),"",INDIRECT("'SorP'!$A$"&amp;MATCH($J914,SorP!$B$1:$B$6230,0))))</f>
        <v/>
      </c>
      <c r="U914" s="176"/>
      <c r="V914" s="177" t="e">
        <f>IF(C914="",NA(),IF(OR(C914="Smelter not listed",C914="Smelter not yet identified"),MATCH($B914&amp;$D914,'Smelter Look-up'!$J:$J,0),MATCH($B914&amp;$C914,'Smelter Look-up'!$J:$J,0)))</f>
        <v>#N/A</v>
      </c>
      <c r="X914" s="140">
        <f t="shared" ca="1" si="94"/>
        <v>0</v>
      </c>
      <c r="AB914" s="178" t="str">
        <f t="shared" si="95"/>
        <v/>
      </c>
    </row>
    <row r="915" spans="1:28" s="140" customFormat="1" ht="20.25">
      <c r="A915" s="167"/>
      <c r="B915" s="168" t="str">
        <f>IF(LEN(A915)=0,"",INDEX('Smelter Look-up'!$A:$A,MATCH($A915,'Smelter Look-up'!$E:$E,0)))</f>
        <v/>
      </c>
      <c r="C915" s="169" t="str">
        <f>IF(LEN(A915)=0,"",INDEX('Smelter Look-up'!$C:$C,MATCH($A915,'Smelter Look-up'!$E:$E,0)))</f>
        <v/>
      </c>
      <c r="D915" s="170"/>
      <c r="E915" s="168" t="str">
        <f ca="1">IF(ISERROR($V915),"",OFFSET('Smelter Look-up'!$D$4,$V915-4,0)&amp;"")</f>
        <v/>
      </c>
      <c r="F915" s="168" t="str">
        <f ca="1">IF(ISERROR($V915),"",OFFSET('Smelter Look-up'!$E$4,$V915-4,0))</f>
        <v/>
      </c>
      <c r="G915" s="168" t="str">
        <f ca="1">IF(C915=$X$4,IF(ISERROR($V915),"Enter smelter details","RMI"),IF(ISERROR($V915),"",OFFSET('Smelter Look-up'!$F$4,$V915-4,0)))</f>
        <v/>
      </c>
      <c r="H915" s="171" t="str">
        <f ca="1">IF(ISERROR($V915),"",OFFSET('Smelter Look-up'!$G$4,$V915-4,0))</f>
        <v/>
      </c>
      <c r="I915" s="172" t="str">
        <f ca="1">IF(ISERROR($V915),"",OFFSET('Smelter Look-up'!$H$4,$V915-4,0))</f>
        <v/>
      </c>
      <c r="J915" s="172" t="str">
        <f ca="1">IF(ISERROR($V915),"",OFFSET('Smelter Look-up'!$I$4,$V915-4,0))</f>
        <v/>
      </c>
      <c r="K915" s="173"/>
      <c r="L915" s="173"/>
      <c r="M915" s="173"/>
      <c r="N915" s="173"/>
      <c r="O915" s="173"/>
      <c r="P915" s="174"/>
      <c r="Q915" s="175"/>
      <c r="R915" s="168" t="str">
        <f ca="1">IF(ISERROR($V915),"",OFFSET('Smelter Look-up'!$C$4,$V915-4,0)&amp;"")</f>
        <v/>
      </c>
      <c r="S915" s="167" t="str">
        <f t="shared" ca="1" si="93"/>
        <v/>
      </c>
      <c r="T915" s="167" t="str">
        <f ca="1">IF(B915="","",IF(ISERROR(MATCH($J915,SorP!$B$1:$B$6230,0)),"",INDIRECT("'SorP'!$A$"&amp;MATCH($J915,SorP!$B$1:$B$6230,0))))</f>
        <v/>
      </c>
      <c r="U915" s="176"/>
      <c r="V915" s="177" t="e">
        <f>IF(C915="",NA(),IF(OR(C915="Smelter not listed",C915="Smelter not yet identified"),MATCH($B915&amp;$D915,'Smelter Look-up'!$J:$J,0),MATCH($B915&amp;$C915,'Smelter Look-up'!$J:$J,0)))</f>
        <v>#N/A</v>
      </c>
      <c r="X915" s="140">
        <f t="shared" ca="1" si="94"/>
        <v>0</v>
      </c>
      <c r="AB915" s="178" t="str">
        <f t="shared" si="95"/>
        <v/>
      </c>
    </row>
    <row r="916" spans="1:28" s="140" customFormat="1" ht="20.25">
      <c r="A916" s="167"/>
      <c r="B916" s="168" t="str">
        <f>IF(LEN(A916)=0,"",INDEX('Smelter Look-up'!$A:$A,MATCH($A916,'Smelter Look-up'!$E:$E,0)))</f>
        <v/>
      </c>
      <c r="C916" s="169" t="str">
        <f>IF(LEN(A916)=0,"",INDEX('Smelter Look-up'!$C:$C,MATCH($A916,'Smelter Look-up'!$E:$E,0)))</f>
        <v/>
      </c>
      <c r="D916" s="170"/>
      <c r="E916" s="168" t="str">
        <f ca="1">IF(ISERROR($V916),"",OFFSET('Smelter Look-up'!$D$4,$V916-4,0)&amp;"")</f>
        <v/>
      </c>
      <c r="F916" s="168" t="str">
        <f ca="1">IF(ISERROR($V916),"",OFFSET('Smelter Look-up'!$E$4,$V916-4,0))</f>
        <v/>
      </c>
      <c r="G916" s="168" t="str">
        <f ca="1">IF(C916=$X$4,IF(ISERROR($V916),"Enter smelter details","RMI"),IF(ISERROR($V916),"",OFFSET('Smelter Look-up'!$F$4,$V916-4,0)))</f>
        <v/>
      </c>
      <c r="H916" s="171" t="str">
        <f ca="1">IF(ISERROR($V916),"",OFFSET('Smelter Look-up'!$G$4,$V916-4,0))</f>
        <v/>
      </c>
      <c r="I916" s="172" t="str">
        <f ca="1">IF(ISERROR($V916),"",OFFSET('Smelter Look-up'!$H$4,$V916-4,0))</f>
        <v/>
      </c>
      <c r="J916" s="172" t="str">
        <f ca="1">IF(ISERROR($V916),"",OFFSET('Smelter Look-up'!$I$4,$V916-4,0))</f>
        <v/>
      </c>
      <c r="K916" s="173"/>
      <c r="L916" s="173"/>
      <c r="M916" s="173"/>
      <c r="N916" s="173"/>
      <c r="O916" s="173"/>
      <c r="P916" s="174"/>
      <c r="Q916" s="175"/>
      <c r="R916" s="168" t="str">
        <f ca="1">IF(ISERROR($V916),"",OFFSET('Smelter Look-up'!$C$4,$V916-4,0)&amp;"")</f>
        <v/>
      </c>
      <c r="S916" s="167" t="str">
        <f t="shared" ca="1" si="93"/>
        <v/>
      </c>
      <c r="T916" s="167" t="str">
        <f ca="1">IF(B916="","",IF(ISERROR(MATCH($J916,SorP!$B$1:$B$6230,0)),"",INDIRECT("'SorP'!$A$"&amp;MATCH($J916,SorP!$B$1:$B$6230,0))))</f>
        <v/>
      </c>
      <c r="U916" s="176"/>
      <c r="V916" s="177" t="e">
        <f>IF(C916="",NA(),IF(OR(C916="Smelter not listed",C916="Smelter not yet identified"),MATCH($B916&amp;$D916,'Smelter Look-up'!$J:$J,0),MATCH($B916&amp;$C916,'Smelter Look-up'!$J:$J,0)))</f>
        <v>#N/A</v>
      </c>
      <c r="X916" s="140">
        <f t="shared" ca="1" si="94"/>
        <v>0</v>
      </c>
      <c r="AB916" s="178" t="str">
        <f t="shared" si="95"/>
        <v/>
      </c>
    </row>
    <row r="917" spans="1:28" s="140" customFormat="1" ht="20.25">
      <c r="A917" s="167"/>
      <c r="B917" s="168" t="str">
        <f>IF(LEN(A917)=0,"",INDEX('Smelter Look-up'!$A:$A,MATCH($A917,'Smelter Look-up'!$E:$E,0)))</f>
        <v/>
      </c>
      <c r="C917" s="169" t="str">
        <f>IF(LEN(A917)=0,"",INDEX('Smelter Look-up'!$C:$C,MATCH($A917,'Smelter Look-up'!$E:$E,0)))</f>
        <v/>
      </c>
      <c r="D917" s="170"/>
      <c r="E917" s="168" t="str">
        <f ca="1">IF(ISERROR($V917),"",OFFSET('Smelter Look-up'!$D$4,$V917-4,0)&amp;"")</f>
        <v/>
      </c>
      <c r="F917" s="168" t="str">
        <f ca="1">IF(ISERROR($V917),"",OFFSET('Smelter Look-up'!$E$4,$V917-4,0))</f>
        <v/>
      </c>
      <c r="G917" s="168" t="str">
        <f ca="1">IF(C917=$X$4,IF(ISERROR($V917),"Enter smelter details","RMI"),IF(ISERROR($V917),"",OFFSET('Smelter Look-up'!$F$4,$V917-4,0)))</f>
        <v/>
      </c>
      <c r="H917" s="171" t="str">
        <f ca="1">IF(ISERROR($V917),"",OFFSET('Smelter Look-up'!$G$4,$V917-4,0))</f>
        <v/>
      </c>
      <c r="I917" s="172" t="str">
        <f ca="1">IF(ISERROR($V917),"",OFFSET('Smelter Look-up'!$H$4,$V917-4,0))</f>
        <v/>
      </c>
      <c r="J917" s="172" t="str">
        <f ca="1">IF(ISERROR($V917),"",OFFSET('Smelter Look-up'!$I$4,$V917-4,0))</f>
        <v/>
      </c>
      <c r="K917" s="173"/>
      <c r="L917" s="173"/>
      <c r="M917" s="173"/>
      <c r="N917" s="173"/>
      <c r="O917" s="173"/>
      <c r="P917" s="174"/>
      <c r="Q917" s="175"/>
      <c r="R917" s="168" t="str">
        <f ca="1">IF(ISERROR($V917),"",OFFSET('Smelter Look-up'!$C$4,$V917-4,0)&amp;"")</f>
        <v/>
      </c>
      <c r="S917" s="167" t="str">
        <f t="shared" ca="1" si="93"/>
        <v/>
      </c>
      <c r="T917" s="167" t="str">
        <f ca="1">IF(B917="","",IF(ISERROR(MATCH($J917,SorP!$B$1:$B$6230,0)),"",INDIRECT("'SorP'!$A$"&amp;MATCH($J917,SorP!$B$1:$B$6230,0))))</f>
        <v/>
      </c>
      <c r="U917" s="176"/>
      <c r="V917" s="177" t="e">
        <f>IF(C917="",NA(),IF(OR(C917="Smelter not listed",C917="Smelter not yet identified"),MATCH($B917&amp;$D917,'Smelter Look-up'!$J:$J,0),MATCH($B917&amp;$C917,'Smelter Look-up'!$J:$J,0)))</f>
        <v>#N/A</v>
      </c>
      <c r="X917" s="140">
        <f t="shared" ca="1" si="94"/>
        <v>0</v>
      </c>
      <c r="AB917" s="178" t="str">
        <f t="shared" si="95"/>
        <v/>
      </c>
    </row>
    <row r="918" spans="1:28" s="140" customFormat="1" ht="20.25">
      <c r="A918" s="167"/>
      <c r="B918" s="168" t="str">
        <f>IF(LEN(A918)=0,"",INDEX('Smelter Look-up'!$A:$A,MATCH($A918,'Smelter Look-up'!$E:$E,0)))</f>
        <v/>
      </c>
      <c r="C918" s="169" t="str">
        <f>IF(LEN(A918)=0,"",INDEX('Smelter Look-up'!$C:$C,MATCH($A918,'Smelter Look-up'!$E:$E,0)))</f>
        <v/>
      </c>
      <c r="D918" s="170"/>
      <c r="E918" s="168" t="str">
        <f ca="1">IF(ISERROR($V918),"",OFFSET('Smelter Look-up'!$D$4,$V918-4,0)&amp;"")</f>
        <v/>
      </c>
      <c r="F918" s="168" t="str">
        <f ca="1">IF(ISERROR($V918),"",OFFSET('Smelter Look-up'!$E$4,$V918-4,0))</f>
        <v/>
      </c>
      <c r="G918" s="168" t="str">
        <f ca="1">IF(C918=$X$4,IF(ISERROR($V918),"Enter smelter details","RMI"),IF(ISERROR($V918),"",OFFSET('Smelter Look-up'!$F$4,$V918-4,0)))</f>
        <v/>
      </c>
      <c r="H918" s="171" t="str">
        <f ca="1">IF(ISERROR($V918),"",OFFSET('Smelter Look-up'!$G$4,$V918-4,0))</f>
        <v/>
      </c>
      <c r="I918" s="172" t="str">
        <f ca="1">IF(ISERROR($V918),"",OFFSET('Smelter Look-up'!$H$4,$V918-4,0))</f>
        <v/>
      </c>
      <c r="J918" s="172" t="str">
        <f ca="1">IF(ISERROR($V918),"",OFFSET('Smelter Look-up'!$I$4,$V918-4,0))</f>
        <v/>
      </c>
      <c r="K918" s="173"/>
      <c r="L918" s="173"/>
      <c r="M918" s="173"/>
      <c r="N918" s="173"/>
      <c r="O918" s="173"/>
      <c r="P918" s="174"/>
      <c r="Q918" s="175"/>
      <c r="R918" s="168" t="str">
        <f ca="1">IF(ISERROR($V918),"",OFFSET('Smelter Look-up'!$C$4,$V918-4,0)&amp;"")</f>
        <v/>
      </c>
      <c r="S918" s="167" t="str">
        <f t="shared" ca="1" si="93"/>
        <v/>
      </c>
      <c r="T918" s="167" t="str">
        <f ca="1">IF(B918="","",IF(ISERROR(MATCH($J918,SorP!$B$1:$B$6230,0)),"",INDIRECT("'SorP'!$A$"&amp;MATCH($J918,SorP!$B$1:$B$6230,0))))</f>
        <v/>
      </c>
      <c r="U918" s="176"/>
      <c r="V918" s="177" t="e">
        <f>IF(C918="",NA(),IF(OR(C918="Smelter not listed",C918="Smelter not yet identified"),MATCH($B918&amp;$D918,'Smelter Look-up'!$J:$J,0),MATCH($B918&amp;$C918,'Smelter Look-up'!$J:$J,0)))</f>
        <v>#N/A</v>
      </c>
      <c r="X918" s="140">
        <f t="shared" ca="1" si="94"/>
        <v>0</v>
      </c>
      <c r="AB918" s="178" t="str">
        <f t="shared" si="95"/>
        <v/>
      </c>
    </row>
    <row r="919" spans="1:28" s="140" customFormat="1" ht="20.25">
      <c r="A919" s="167"/>
      <c r="B919" s="168" t="str">
        <f>IF(LEN(A919)=0,"",INDEX('Smelter Look-up'!$A:$A,MATCH($A919,'Smelter Look-up'!$E:$E,0)))</f>
        <v/>
      </c>
      <c r="C919" s="169" t="str">
        <f>IF(LEN(A919)=0,"",INDEX('Smelter Look-up'!$C:$C,MATCH($A919,'Smelter Look-up'!$E:$E,0)))</f>
        <v/>
      </c>
      <c r="D919" s="170"/>
      <c r="E919" s="168" t="str">
        <f ca="1">IF(ISERROR($V919),"",OFFSET('Smelter Look-up'!$D$4,$V919-4,0)&amp;"")</f>
        <v/>
      </c>
      <c r="F919" s="168" t="str">
        <f ca="1">IF(ISERROR($V919),"",OFFSET('Smelter Look-up'!$E$4,$V919-4,0))</f>
        <v/>
      </c>
      <c r="G919" s="168" t="str">
        <f ca="1">IF(C919=$X$4,IF(ISERROR($V919),"Enter smelter details","RMI"),IF(ISERROR($V919),"",OFFSET('Smelter Look-up'!$F$4,$V919-4,0)))</f>
        <v/>
      </c>
      <c r="H919" s="171" t="str">
        <f ca="1">IF(ISERROR($V919),"",OFFSET('Smelter Look-up'!$G$4,$V919-4,0))</f>
        <v/>
      </c>
      <c r="I919" s="172" t="str">
        <f ca="1">IF(ISERROR($V919),"",OFFSET('Smelter Look-up'!$H$4,$V919-4,0))</f>
        <v/>
      </c>
      <c r="J919" s="172" t="str">
        <f ca="1">IF(ISERROR($V919),"",OFFSET('Smelter Look-up'!$I$4,$V919-4,0))</f>
        <v/>
      </c>
      <c r="K919" s="173"/>
      <c r="L919" s="173"/>
      <c r="M919" s="173"/>
      <c r="N919" s="173"/>
      <c r="O919" s="173"/>
      <c r="P919" s="174"/>
      <c r="Q919" s="175"/>
      <c r="R919" s="168" t="str">
        <f ca="1">IF(ISERROR($V919),"",OFFSET('Smelter Look-up'!$C$4,$V919-4,0)&amp;"")</f>
        <v/>
      </c>
      <c r="S919" s="167" t="str">
        <f t="shared" ca="1" si="93"/>
        <v/>
      </c>
      <c r="T919" s="167" t="str">
        <f ca="1">IF(B919="","",IF(ISERROR(MATCH($J919,SorP!$B$1:$B$6230,0)),"",INDIRECT("'SorP'!$A$"&amp;MATCH($J919,SorP!$B$1:$B$6230,0))))</f>
        <v/>
      </c>
      <c r="U919" s="176"/>
      <c r="V919" s="177" t="e">
        <f>IF(C919="",NA(),IF(OR(C919="Smelter not listed",C919="Smelter not yet identified"),MATCH($B919&amp;$D919,'Smelter Look-up'!$J:$J,0),MATCH($B919&amp;$C919,'Smelter Look-up'!$J:$J,0)))</f>
        <v>#N/A</v>
      </c>
      <c r="X919" s="140">
        <f t="shared" ca="1" si="94"/>
        <v>0</v>
      </c>
      <c r="AB919" s="178" t="str">
        <f t="shared" si="95"/>
        <v/>
      </c>
    </row>
    <row r="920" spans="1:28" s="140" customFormat="1" ht="20.25">
      <c r="A920" s="167"/>
      <c r="B920" s="168" t="str">
        <f>IF(LEN(A920)=0,"",INDEX('Smelter Look-up'!$A:$A,MATCH($A920,'Smelter Look-up'!$E:$E,0)))</f>
        <v/>
      </c>
      <c r="C920" s="169" t="str">
        <f>IF(LEN(A920)=0,"",INDEX('Smelter Look-up'!$C:$C,MATCH($A920,'Smelter Look-up'!$E:$E,0)))</f>
        <v/>
      </c>
      <c r="D920" s="170"/>
      <c r="E920" s="168" t="str">
        <f ca="1">IF(ISERROR($V920),"",OFFSET('Smelter Look-up'!$D$4,$V920-4,0)&amp;"")</f>
        <v/>
      </c>
      <c r="F920" s="168" t="str">
        <f ca="1">IF(ISERROR($V920),"",OFFSET('Smelter Look-up'!$E$4,$V920-4,0))</f>
        <v/>
      </c>
      <c r="G920" s="168" t="str">
        <f ca="1">IF(C920=$X$4,IF(ISERROR($V920),"Enter smelter details","RMI"),IF(ISERROR($V920),"",OFFSET('Smelter Look-up'!$F$4,$V920-4,0)))</f>
        <v/>
      </c>
      <c r="H920" s="171" t="str">
        <f ca="1">IF(ISERROR($V920),"",OFFSET('Smelter Look-up'!$G$4,$V920-4,0))</f>
        <v/>
      </c>
      <c r="I920" s="172" t="str">
        <f ca="1">IF(ISERROR($V920),"",OFFSET('Smelter Look-up'!$H$4,$V920-4,0))</f>
        <v/>
      </c>
      <c r="J920" s="172" t="str">
        <f ca="1">IF(ISERROR($V920),"",OFFSET('Smelter Look-up'!$I$4,$V920-4,0))</f>
        <v/>
      </c>
      <c r="K920" s="173"/>
      <c r="L920" s="173"/>
      <c r="M920" s="173"/>
      <c r="N920" s="173"/>
      <c r="O920" s="173"/>
      <c r="P920" s="174"/>
      <c r="Q920" s="175"/>
      <c r="R920" s="168" t="str">
        <f ca="1">IF(ISERROR($V920),"",OFFSET('Smelter Look-up'!$C$4,$V920-4,0)&amp;"")</f>
        <v/>
      </c>
      <c r="S920" s="167" t="str">
        <f t="shared" ca="1" si="93"/>
        <v/>
      </c>
      <c r="T920" s="167" t="str">
        <f ca="1">IF(B920="","",IF(ISERROR(MATCH($J920,SorP!$B$1:$B$6230,0)),"",INDIRECT("'SorP'!$A$"&amp;MATCH($J920,SorP!$B$1:$B$6230,0))))</f>
        <v/>
      </c>
      <c r="U920" s="176"/>
      <c r="V920" s="177" t="e">
        <f>IF(C920="",NA(),IF(OR(C920="Smelter not listed",C920="Smelter not yet identified"),MATCH($B920&amp;$D920,'Smelter Look-up'!$J:$J,0),MATCH($B920&amp;$C920,'Smelter Look-up'!$J:$J,0)))</f>
        <v>#N/A</v>
      </c>
      <c r="X920" s="140">
        <f t="shared" ca="1" si="94"/>
        <v>0</v>
      </c>
      <c r="AB920" s="178" t="str">
        <f t="shared" si="95"/>
        <v/>
      </c>
    </row>
    <row r="921" spans="1:28" s="140" customFormat="1" ht="20.25">
      <c r="A921" s="167"/>
      <c r="B921" s="168" t="str">
        <f>IF(LEN(A921)=0,"",INDEX('Smelter Look-up'!$A:$A,MATCH($A921,'Smelter Look-up'!$E:$E,0)))</f>
        <v/>
      </c>
      <c r="C921" s="169" t="str">
        <f>IF(LEN(A921)=0,"",INDEX('Smelter Look-up'!$C:$C,MATCH($A921,'Smelter Look-up'!$E:$E,0)))</f>
        <v/>
      </c>
      <c r="D921" s="170"/>
      <c r="E921" s="168" t="str">
        <f ca="1">IF(ISERROR($V921),"",OFFSET('Smelter Look-up'!$D$4,$V921-4,0)&amp;"")</f>
        <v/>
      </c>
      <c r="F921" s="168" t="str">
        <f ca="1">IF(ISERROR($V921),"",OFFSET('Smelter Look-up'!$E$4,$V921-4,0))</f>
        <v/>
      </c>
      <c r="G921" s="168" t="str">
        <f ca="1">IF(C921=$X$4,IF(ISERROR($V921),"Enter smelter details","RMI"),IF(ISERROR($V921),"",OFFSET('Smelter Look-up'!$F$4,$V921-4,0)))</f>
        <v/>
      </c>
      <c r="H921" s="171" t="str">
        <f ca="1">IF(ISERROR($V921),"",OFFSET('Smelter Look-up'!$G$4,$V921-4,0))</f>
        <v/>
      </c>
      <c r="I921" s="172" t="str">
        <f ca="1">IF(ISERROR($V921),"",OFFSET('Smelter Look-up'!$H$4,$V921-4,0))</f>
        <v/>
      </c>
      <c r="J921" s="172" t="str">
        <f ca="1">IF(ISERROR($V921),"",OFFSET('Smelter Look-up'!$I$4,$V921-4,0))</f>
        <v/>
      </c>
      <c r="K921" s="173"/>
      <c r="L921" s="173"/>
      <c r="M921" s="173"/>
      <c r="N921" s="173"/>
      <c r="O921" s="173"/>
      <c r="P921" s="174"/>
      <c r="Q921" s="175"/>
      <c r="R921" s="168" t="str">
        <f ca="1">IF(ISERROR($V921),"",OFFSET('Smelter Look-up'!$C$4,$V921-4,0)&amp;"")</f>
        <v/>
      </c>
      <c r="S921" s="167" t="str">
        <f t="shared" ca="1" si="93"/>
        <v/>
      </c>
      <c r="T921" s="167" t="str">
        <f ca="1">IF(B921="","",IF(ISERROR(MATCH($J921,SorP!$B$1:$B$6230,0)),"",INDIRECT("'SorP'!$A$"&amp;MATCH($J921,SorP!$B$1:$B$6230,0))))</f>
        <v/>
      </c>
      <c r="U921" s="176"/>
      <c r="V921" s="177" t="e">
        <f>IF(C921="",NA(),IF(OR(C921="Smelter not listed",C921="Smelter not yet identified"),MATCH($B921&amp;$D921,'Smelter Look-up'!$J:$J,0),MATCH($B921&amp;$C921,'Smelter Look-up'!$J:$J,0)))</f>
        <v>#N/A</v>
      </c>
      <c r="X921" s="140">
        <f t="shared" ca="1" si="94"/>
        <v>0</v>
      </c>
      <c r="AB921" s="178" t="str">
        <f t="shared" si="95"/>
        <v/>
      </c>
    </row>
    <row r="922" spans="1:28" s="140" customFormat="1" ht="20.25">
      <c r="A922" s="167"/>
      <c r="B922" s="168" t="str">
        <f>IF(LEN(A922)=0,"",INDEX('Smelter Look-up'!$A:$A,MATCH($A922,'Smelter Look-up'!$E:$E,0)))</f>
        <v/>
      </c>
      <c r="C922" s="169" t="str">
        <f>IF(LEN(A922)=0,"",INDEX('Smelter Look-up'!$C:$C,MATCH($A922,'Smelter Look-up'!$E:$E,0)))</f>
        <v/>
      </c>
      <c r="D922" s="170"/>
      <c r="E922" s="168" t="str">
        <f ca="1">IF(ISERROR($V922),"",OFFSET('Smelter Look-up'!$D$4,$V922-4,0)&amp;"")</f>
        <v/>
      </c>
      <c r="F922" s="168" t="str">
        <f ca="1">IF(ISERROR($V922),"",OFFSET('Smelter Look-up'!$E$4,$V922-4,0))</f>
        <v/>
      </c>
      <c r="G922" s="168" t="str">
        <f ca="1">IF(C922=$X$4,IF(ISERROR($V922),"Enter smelter details","RMI"),IF(ISERROR($V922),"",OFFSET('Smelter Look-up'!$F$4,$V922-4,0)))</f>
        <v/>
      </c>
      <c r="H922" s="171" t="str">
        <f ca="1">IF(ISERROR($V922),"",OFFSET('Smelter Look-up'!$G$4,$V922-4,0))</f>
        <v/>
      </c>
      <c r="I922" s="172" t="str">
        <f ca="1">IF(ISERROR($V922),"",OFFSET('Smelter Look-up'!$H$4,$V922-4,0))</f>
        <v/>
      </c>
      <c r="J922" s="172" t="str">
        <f ca="1">IF(ISERROR($V922),"",OFFSET('Smelter Look-up'!$I$4,$V922-4,0))</f>
        <v/>
      </c>
      <c r="K922" s="173"/>
      <c r="L922" s="173"/>
      <c r="M922" s="173"/>
      <c r="N922" s="173"/>
      <c r="O922" s="173"/>
      <c r="P922" s="174"/>
      <c r="Q922" s="175"/>
      <c r="R922" s="168" t="str">
        <f ca="1">IF(ISERROR($V922),"",OFFSET('Smelter Look-up'!$C$4,$V922-4,0)&amp;"")</f>
        <v/>
      </c>
      <c r="S922" s="167" t="str">
        <f t="shared" ca="1" si="93"/>
        <v/>
      </c>
      <c r="T922" s="167" t="str">
        <f ca="1">IF(B922="","",IF(ISERROR(MATCH($J922,SorP!$B$1:$B$6230,0)),"",INDIRECT("'SorP'!$A$"&amp;MATCH($J922,SorP!$B$1:$B$6230,0))))</f>
        <v/>
      </c>
      <c r="U922" s="176"/>
      <c r="V922" s="177" t="e">
        <f>IF(C922="",NA(),IF(OR(C922="Smelter not listed",C922="Smelter not yet identified"),MATCH($B922&amp;$D922,'Smelter Look-up'!$J:$J,0),MATCH($B922&amp;$C922,'Smelter Look-up'!$J:$J,0)))</f>
        <v>#N/A</v>
      </c>
      <c r="X922" s="140">
        <f t="shared" ca="1" si="94"/>
        <v>0</v>
      </c>
      <c r="AB922" s="178" t="str">
        <f t="shared" si="95"/>
        <v/>
      </c>
    </row>
    <row r="923" spans="1:28" s="140" customFormat="1" ht="20.25">
      <c r="A923" s="167"/>
      <c r="B923" s="168" t="str">
        <f>IF(LEN(A923)=0,"",INDEX('Smelter Look-up'!$A:$A,MATCH($A923,'Smelter Look-up'!$E:$E,0)))</f>
        <v/>
      </c>
      <c r="C923" s="169" t="str">
        <f>IF(LEN(A923)=0,"",INDEX('Smelter Look-up'!$C:$C,MATCH($A923,'Smelter Look-up'!$E:$E,0)))</f>
        <v/>
      </c>
      <c r="D923" s="170"/>
      <c r="E923" s="168" t="str">
        <f ca="1">IF(ISERROR($V923),"",OFFSET('Smelter Look-up'!$D$4,$V923-4,0)&amp;"")</f>
        <v/>
      </c>
      <c r="F923" s="168" t="str">
        <f ca="1">IF(ISERROR($V923),"",OFFSET('Smelter Look-up'!$E$4,$V923-4,0))</f>
        <v/>
      </c>
      <c r="G923" s="168" t="str">
        <f ca="1">IF(C923=$X$4,IF(ISERROR($V923),"Enter smelter details","RMI"),IF(ISERROR($V923),"",OFFSET('Smelter Look-up'!$F$4,$V923-4,0)))</f>
        <v/>
      </c>
      <c r="H923" s="171" t="str">
        <f ca="1">IF(ISERROR($V923),"",OFFSET('Smelter Look-up'!$G$4,$V923-4,0))</f>
        <v/>
      </c>
      <c r="I923" s="172" t="str">
        <f ca="1">IF(ISERROR($V923),"",OFFSET('Smelter Look-up'!$H$4,$V923-4,0))</f>
        <v/>
      </c>
      <c r="J923" s="172" t="str">
        <f ca="1">IF(ISERROR($V923),"",OFFSET('Smelter Look-up'!$I$4,$V923-4,0))</f>
        <v/>
      </c>
      <c r="K923" s="173"/>
      <c r="L923" s="173"/>
      <c r="M923" s="173"/>
      <c r="N923" s="173"/>
      <c r="O923" s="173"/>
      <c r="P923" s="174"/>
      <c r="Q923" s="175"/>
      <c r="R923" s="168" t="str">
        <f ca="1">IF(ISERROR($V923),"",OFFSET('Smelter Look-up'!$C$4,$V923-4,0)&amp;"")</f>
        <v/>
      </c>
      <c r="S923" s="167" t="str">
        <f t="shared" ca="1" si="93"/>
        <v/>
      </c>
      <c r="T923" s="167" t="str">
        <f ca="1">IF(B923="","",IF(ISERROR(MATCH($J923,SorP!$B$1:$B$6230,0)),"",INDIRECT("'SorP'!$A$"&amp;MATCH($J923,SorP!$B$1:$B$6230,0))))</f>
        <v/>
      </c>
      <c r="U923" s="176"/>
      <c r="V923" s="177" t="e">
        <f>IF(C923="",NA(),IF(OR(C923="Smelter not listed",C923="Smelter not yet identified"),MATCH($B923&amp;$D923,'Smelter Look-up'!$J:$J,0),MATCH($B923&amp;$C923,'Smelter Look-up'!$J:$J,0)))</f>
        <v>#N/A</v>
      </c>
      <c r="X923" s="140">
        <f t="shared" ca="1" si="94"/>
        <v>0</v>
      </c>
      <c r="AB923" s="178" t="str">
        <f t="shared" si="95"/>
        <v/>
      </c>
    </row>
    <row r="924" spans="1:28" s="140" customFormat="1" ht="20.25">
      <c r="A924" s="167"/>
      <c r="B924" s="168" t="str">
        <f>IF(LEN(A924)=0,"",INDEX('Smelter Look-up'!$A:$A,MATCH($A924,'Smelter Look-up'!$E:$E,0)))</f>
        <v/>
      </c>
      <c r="C924" s="169" t="str">
        <f>IF(LEN(A924)=0,"",INDEX('Smelter Look-up'!$C:$C,MATCH($A924,'Smelter Look-up'!$E:$E,0)))</f>
        <v/>
      </c>
      <c r="D924" s="170"/>
      <c r="E924" s="168" t="str">
        <f ca="1">IF(ISERROR($V924),"",OFFSET('Smelter Look-up'!$D$4,$V924-4,0)&amp;"")</f>
        <v/>
      </c>
      <c r="F924" s="168" t="str">
        <f ca="1">IF(ISERROR($V924),"",OFFSET('Smelter Look-up'!$E$4,$V924-4,0))</f>
        <v/>
      </c>
      <c r="G924" s="168" t="str">
        <f ca="1">IF(C924=$X$4,IF(ISERROR($V924),"Enter smelter details","RMI"),IF(ISERROR($V924),"",OFFSET('Smelter Look-up'!$F$4,$V924-4,0)))</f>
        <v/>
      </c>
      <c r="H924" s="171" t="str">
        <f ca="1">IF(ISERROR($V924),"",OFFSET('Smelter Look-up'!$G$4,$V924-4,0))</f>
        <v/>
      </c>
      <c r="I924" s="172" t="str">
        <f ca="1">IF(ISERROR($V924),"",OFFSET('Smelter Look-up'!$H$4,$V924-4,0))</f>
        <v/>
      </c>
      <c r="J924" s="172" t="str">
        <f ca="1">IF(ISERROR($V924),"",OFFSET('Smelter Look-up'!$I$4,$V924-4,0))</f>
        <v/>
      </c>
      <c r="K924" s="173"/>
      <c r="L924" s="173"/>
      <c r="M924" s="173"/>
      <c r="N924" s="173"/>
      <c r="O924" s="173"/>
      <c r="P924" s="174"/>
      <c r="Q924" s="175"/>
      <c r="R924" s="168" t="str">
        <f ca="1">IF(ISERROR($V924),"",OFFSET('Smelter Look-up'!$C$4,$V924-4,0)&amp;"")</f>
        <v/>
      </c>
      <c r="S924" s="167" t="str">
        <f t="shared" ca="1" si="93"/>
        <v/>
      </c>
      <c r="T924" s="167" t="str">
        <f ca="1">IF(B924="","",IF(ISERROR(MATCH($J924,SorP!$B$1:$B$6230,0)),"",INDIRECT("'SorP'!$A$"&amp;MATCH($J924,SorP!$B$1:$B$6230,0))))</f>
        <v/>
      </c>
      <c r="U924" s="176"/>
      <c r="V924" s="177" t="e">
        <f>IF(C924="",NA(),IF(OR(C924="Smelter not listed",C924="Smelter not yet identified"),MATCH($B924&amp;$D924,'Smelter Look-up'!$J:$J,0),MATCH($B924&amp;$C924,'Smelter Look-up'!$J:$J,0)))</f>
        <v>#N/A</v>
      </c>
      <c r="X924" s="140">
        <f t="shared" ca="1" si="94"/>
        <v>0</v>
      </c>
      <c r="AB924" s="178" t="str">
        <f t="shared" si="95"/>
        <v/>
      </c>
    </row>
    <row r="925" spans="1:28" s="140" customFormat="1" ht="20.25">
      <c r="A925" s="167"/>
      <c r="B925" s="168" t="str">
        <f>IF(LEN(A925)=0,"",INDEX('Smelter Look-up'!$A:$A,MATCH($A925,'Smelter Look-up'!$E:$E,0)))</f>
        <v/>
      </c>
      <c r="C925" s="169" t="str">
        <f>IF(LEN(A925)=0,"",INDEX('Smelter Look-up'!$C:$C,MATCH($A925,'Smelter Look-up'!$E:$E,0)))</f>
        <v/>
      </c>
      <c r="D925" s="170"/>
      <c r="E925" s="168" t="str">
        <f ca="1">IF(ISERROR($V925),"",OFFSET('Smelter Look-up'!$D$4,$V925-4,0)&amp;"")</f>
        <v/>
      </c>
      <c r="F925" s="168" t="str">
        <f ca="1">IF(ISERROR($V925),"",OFFSET('Smelter Look-up'!$E$4,$V925-4,0))</f>
        <v/>
      </c>
      <c r="G925" s="168" t="str">
        <f ca="1">IF(C925=$X$4,IF(ISERROR($V925),"Enter smelter details","RMI"),IF(ISERROR($V925),"",OFFSET('Smelter Look-up'!$F$4,$V925-4,0)))</f>
        <v/>
      </c>
      <c r="H925" s="171" t="str">
        <f ca="1">IF(ISERROR($V925),"",OFFSET('Smelter Look-up'!$G$4,$V925-4,0))</f>
        <v/>
      </c>
      <c r="I925" s="172" t="str">
        <f ca="1">IF(ISERROR($V925),"",OFFSET('Smelter Look-up'!$H$4,$V925-4,0))</f>
        <v/>
      </c>
      <c r="J925" s="172" t="str">
        <f ca="1">IF(ISERROR($V925),"",OFFSET('Smelter Look-up'!$I$4,$V925-4,0))</f>
        <v/>
      </c>
      <c r="K925" s="173"/>
      <c r="L925" s="173"/>
      <c r="M925" s="173"/>
      <c r="N925" s="173"/>
      <c r="O925" s="173"/>
      <c r="P925" s="174"/>
      <c r="Q925" s="175"/>
      <c r="R925" s="168" t="str">
        <f ca="1">IF(ISERROR($V925),"",OFFSET('Smelter Look-up'!$C$4,$V925-4,0)&amp;"")</f>
        <v/>
      </c>
      <c r="S925" s="167" t="str">
        <f t="shared" ca="1" si="93"/>
        <v/>
      </c>
      <c r="T925" s="167" t="str">
        <f ca="1">IF(B925="","",IF(ISERROR(MATCH($J925,SorP!$B$1:$B$6230,0)),"",INDIRECT("'SorP'!$A$"&amp;MATCH($J925,SorP!$B$1:$B$6230,0))))</f>
        <v/>
      </c>
      <c r="U925" s="176"/>
      <c r="V925" s="177" t="e">
        <f>IF(C925="",NA(),IF(OR(C925="Smelter not listed",C925="Smelter not yet identified"),MATCH($B925&amp;$D925,'Smelter Look-up'!$J:$J,0),MATCH($B925&amp;$C925,'Smelter Look-up'!$J:$J,0)))</f>
        <v>#N/A</v>
      </c>
      <c r="X925" s="140">
        <f t="shared" ca="1" si="94"/>
        <v>0</v>
      </c>
      <c r="AB925" s="178" t="str">
        <f t="shared" si="95"/>
        <v/>
      </c>
    </row>
    <row r="926" spans="1:28" s="140" customFormat="1" ht="20.25">
      <c r="A926" s="167"/>
      <c r="B926" s="168" t="str">
        <f>IF(LEN(A926)=0,"",INDEX('Smelter Look-up'!$A:$A,MATCH($A926,'Smelter Look-up'!$E:$E,0)))</f>
        <v/>
      </c>
      <c r="C926" s="169" t="str">
        <f>IF(LEN(A926)=0,"",INDEX('Smelter Look-up'!$C:$C,MATCH($A926,'Smelter Look-up'!$E:$E,0)))</f>
        <v/>
      </c>
      <c r="D926" s="170"/>
      <c r="E926" s="168" t="str">
        <f ca="1">IF(ISERROR($V926),"",OFFSET('Smelter Look-up'!$D$4,$V926-4,0)&amp;"")</f>
        <v/>
      </c>
      <c r="F926" s="168" t="str">
        <f ca="1">IF(ISERROR($V926),"",OFFSET('Smelter Look-up'!$E$4,$V926-4,0))</f>
        <v/>
      </c>
      <c r="G926" s="168" t="str">
        <f ca="1">IF(C926=$X$4,IF(ISERROR($V926),"Enter smelter details","RMI"),IF(ISERROR($V926),"",OFFSET('Smelter Look-up'!$F$4,$V926-4,0)))</f>
        <v/>
      </c>
      <c r="H926" s="171" t="str">
        <f ca="1">IF(ISERROR($V926),"",OFFSET('Smelter Look-up'!$G$4,$V926-4,0))</f>
        <v/>
      </c>
      <c r="I926" s="172" t="str">
        <f ca="1">IF(ISERROR($V926),"",OFFSET('Smelter Look-up'!$H$4,$V926-4,0))</f>
        <v/>
      </c>
      <c r="J926" s="172" t="str">
        <f ca="1">IF(ISERROR($V926),"",OFFSET('Smelter Look-up'!$I$4,$V926-4,0))</f>
        <v/>
      </c>
      <c r="K926" s="173"/>
      <c r="L926" s="173"/>
      <c r="M926" s="173"/>
      <c r="N926" s="173"/>
      <c r="O926" s="173"/>
      <c r="P926" s="174"/>
      <c r="Q926" s="175"/>
      <c r="R926" s="168" t="str">
        <f ca="1">IF(ISERROR($V926),"",OFFSET('Smelter Look-up'!$C$4,$V926-4,0)&amp;"")</f>
        <v/>
      </c>
      <c r="S926" s="167" t="str">
        <f t="shared" ca="1" si="93"/>
        <v/>
      </c>
      <c r="T926" s="167" t="str">
        <f ca="1">IF(B926="","",IF(ISERROR(MATCH($J926,SorP!$B$1:$B$6230,0)),"",INDIRECT("'SorP'!$A$"&amp;MATCH($J926,SorP!$B$1:$B$6230,0))))</f>
        <v/>
      </c>
      <c r="U926" s="176"/>
      <c r="V926" s="177" t="e">
        <f>IF(C926="",NA(),IF(OR(C926="Smelter not listed",C926="Smelter not yet identified"),MATCH($B926&amp;$D926,'Smelter Look-up'!$J:$J,0),MATCH($B926&amp;$C926,'Smelter Look-up'!$J:$J,0)))</f>
        <v>#N/A</v>
      </c>
      <c r="X926" s="140">
        <f t="shared" ca="1" si="94"/>
        <v>0</v>
      </c>
      <c r="AB926" s="178" t="str">
        <f t="shared" si="95"/>
        <v/>
      </c>
    </row>
    <row r="927" spans="1:28" s="140" customFormat="1" ht="20.25">
      <c r="A927" s="167"/>
      <c r="B927" s="168" t="str">
        <f>IF(LEN(A927)=0,"",INDEX('Smelter Look-up'!$A:$A,MATCH($A927,'Smelter Look-up'!$E:$E,0)))</f>
        <v/>
      </c>
      <c r="C927" s="169" t="str">
        <f>IF(LEN(A927)=0,"",INDEX('Smelter Look-up'!$C:$C,MATCH($A927,'Smelter Look-up'!$E:$E,0)))</f>
        <v/>
      </c>
      <c r="D927" s="170"/>
      <c r="E927" s="168" t="str">
        <f ca="1">IF(ISERROR($V927),"",OFFSET('Smelter Look-up'!$D$4,$V927-4,0)&amp;"")</f>
        <v/>
      </c>
      <c r="F927" s="168" t="str">
        <f ca="1">IF(ISERROR($V927),"",OFFSET('Smelter Look-up'!$E$4,$V927-4,0))</f>
        <v/>
      </c>
      <c r="G927" s="168" t="str">
        <f ca="1">IF(C927=$X$4,IF(ISERROR($V927),"Enter smelter details","RMI"),IF(ISERROR($V927),"",OFFSET('Smelter Look-up'!$F$4,$V927-4,0)))</f>
        <v/>
      </c>
      <c r="H927" s="171" t="str">
        <f ca="1">IF(ISERROR($V927),"",OFFSET('Smelter Look-up'!$G$4,$V927-4,0))</f>
        <v/>
      </c>
      <c r="I927" s="172" t="str">
        <f ca="1">IF(ISERROR($V927),"",OFFSET('Smelter Look-up'!$H$4,$V927-4,0))</f>
        <v/>
      </c>
      <c r="J927" s="172" t="str">
        <f ca="1">IF(ISERROR($V927),"",OFFSET('Smelter Look-up'!$I$4,$V927-4,0))</f>
        <v/>
      </c>
      <c r="K927" s="173"/>
      <c r="L927" s="173"/>
      <c r="M927" s="173"/>
      <c r="N927" s="173"/>
      <c r="O927" s="173"/>
      <c r="P927" s="174"/>
      <c r="Q927" s="175"/>
      <c r="R927" s="168" t="str">
        <f ca="1">IF(ISERROR($V927),"",OFFSET('Smelter Look-up'!$C$4,$V927-4,0)&amp;"")</f>
        <v/>
      </c>
      <c r="S927" s="167" t="str">
        <f t="shared" ca="1" si="93"/>
        <v/>
      </c>
      <c r="T927" s="167" t="str">
        <f ca="1">IF(B927="","",IF(ISERROR(MATCH($J927,SorP!$B$1:$B$6230,0)),"",INDIRECT("'SorP'!$A$"&amp;MATCH($J927,SorP!$B$1:$B$6230,0))))</f>
        <v/>
      </c>
      <c r="U927" s="176"/>
      <c r="V927" s="177" t="e">
        <f>IF(C927="",NA(),IF(OR(C927="Smelter not listed",C927="Smelter not yet identified"),MATCH($B927&amp;$D927,'Smelter Look-up'!$J:$J,0),MATCH($B927&amp;$C927,'Smelter Look-up'!$J:$J,0)))</f>
        <v>#N/A</v>
      </c>
      <c r="X927" s="140">
        <f t="shared" ca="1" si="94"/>
        <v>0</v>
      </c>
      <c r="AB927" s="178" t="str">
        <f t="shared" si="95"/>
        <v/>
      </c>
    </row>
    <row r="928" spans="1:28" s="140" customFormat="1" ht="20.25">
      <c r="A928" s="167"/>
      <c r="B928" s="168" t="str">
        <f>IF(LEN(A928)=0,"",INDEX('Smelter Look-up'!$A:$A,MATCH($A928,'Smelter Look-up'!$E:$E,0)))</f>
        <v/>
      </c>
      <c r="C928" s="169" t="str">
        <f>IF(LEN(A928)=0,"",INDEX('Smelter Look-up'!$C:$C,MATCH($A928,'Smelter Look-up'!$E:$E,0)))</f>
        <v/>
      </c>
      <c r="D928" s="170"/>
      <c r="E928" s="168" t="str">
        <f ca="1">IF(ISERROR($V928),"",OFFSET('Smelter Look-up'!$D$4,$V928-4,0)&amp;"")</f>
        <v/>
      </c>
      <c r="F928" s="168" t="str">
        <f ca="1">IF(ISERROR($V928),"",OFFSET('Smelter Look-up'!$E$4,$V928-4,0))</f>
        <v/>
      </c>
      <c r="G928" s="168" t="str">
        <f ca="1">IF(C928=$X$4,IF(ISERROR($V928),"Enter smelter details","RMI"),IF(ISERROR($V928),"",OFFSET('Smelter Look-up'!$F$4,$V928-4,0)))</f>
        <v/>
      </c>
      <c r="H928" s="171" t="str">
        <f ca="1">IF(ISERROR($V928),"",OFFSET('Smelter Look-up'!$G$4,$V928-4,0))</f>
        <v/>
      </c>
      <c r="I928" s="172" t="str">
        <f ca="1">IF(ISERROR($V928),"",OFFSET('Smelter Look-up'!$H$4,$V928-4,0))</f>
        <v/>
      </c>
      <c r="J928" s="172" t="str">
        <f ca="1">IF(ISERROR($V928),"",OFFSET('Smelter Look-up'!$I$4,$V928-4,0))</f>
        <v/>
      </c>
      <c r="K928" s="173"/>
      <c r="L928" s="173"/>
      <c r="M928" s="173"/>
      <c r="N928" s="173"/>
      <c r="O928" s="173"/>
      <c r="P928" s="174"/>
      <c r="Q928" s="175"/>
      <c r="R928" s="168" t="str">
        <f ca="1">IF(ISERROR($V928),"",OFFSET('Smelter Look-up'!$C$4,$V928-4,0)&amp;"")</f>
        <v/>
      </c>
      <c r="S928" s="167" t="str">
        <f t="shared" ca="1" si="93"/>
        <v/>
      </c>
      <c r="T928" s="167" t="str">
        <f ca="1">IF(B928="","",IF(ISERROR(MATCH($J928,SorP!$B$1:$B$6230,0)),"",INDIRECT("'SorP'!$A$"&amp;MATCH($J928,SorP!$B$1:$B$6230,0))))</f>
        <v/>
      </c>
      <c r="U928" s="176"/>
      <c r="V928" s="177" t="e">
        <f>IF(C928="",NA(),IF(OR(C928="Smelter not listed",C928="Smelter not yet identified"),MATCH($B928&amp;$D928,'Smelter Look-up'!$J:$J,0),MATCH($B928&amp;$C928,'Smelter Look-up'!$J:$J,0)))</f>
        <v>#N/A</v>
      </c>
      <c r="X928" s="140">
        <f t="shared" ca="1" si="94"/>
        <v>0</v>
      </c>
      <c r="AB928" s="178" t="str">
        <f t="shared" si="95"/>
        <v/>
      </c>
    </row>
    <row r="929" spans="1:28" s="140" customFormat="1" ht="20.25">
      <c r="A929" s="167"/>
      <c r="B929" s="168" t="str">
        <f>IF(LEN(A929)=0,"",INDEX('Smelter Look-up'!$A:$A,MATCH($A929,'Smelter Look-up'!$E:$E,0)))</f>
        <v/>
      </c>
      <c r="C929" s="169" t="str">
        <f>IF(LEN(A929)=0,"",INDEX('Smelter Look-up'!$C:$C,MATCH($A929,'Smelter Look-up'!$E:$E,0)))</f>
        <v/>
      </c>
      <c r="D929" s="170"/>
      <c r="E929" s="168" t="str">
        <f ca="1">IF(ISERROR($V929),"",OFFSET('Smelter Look-up'!$D$4,$V929-4,0)&amp;"")</f>
        <v/>
      </c>
      <c r="F929" s="168" t="str">
        <f ca="1">IF(ISERROR($V929),"",OFFSET('Smelter Look-up'!$E$4,$V929-4,0))</f>
        <v/>
      </c>
      <c r="G929" s="168" t="str">
        <f ca="1">IF(C929=$X$4,IF(ISERROR($V929),"Enter smelter details","RMI"),IF(ISERROR($V929),"",OFFSET('Smelter Look-up'!$F$4,$V929-4,0)))</f>
        <v/>
      </c>
      <c r="H929" s="171" t="str">
        <f ca="1">IF(ISERROR($V929),"",OFFSET('Smelter Look-up'!$G$4,$V929-4,0))</f>
        <v/>
      </c>
      <c r="I929" s="172" t="str">
        <f ca="1">IF(ISERROR($V929),"",OFFSET('Smelter Look-up'!$H$4,$V929-4,0))</f>
        <v/>
      </c>
      <c r="J929" s="172" t="str">
        <f ca="1">IF(ISERROR($V929),"",OFFSET('Smelter Look-up'!$I$4,$V929-4,0))</f>
        <v/>
      </c>
      <c r="K929" s="173"/>
      <c r="L929" s="173"/>
      <c r="M929" s="173"/>
      <c r="N929" s="173"/>
      <c r="O929" s="173"/>
      <c r="P929" s="174"/>
      <c r="Q929" s="175"/>
      <c r="R929" s="168" t="str">
        <f ca="1">IF(ISERROR($V929),"",OFFSET('Smelter Look-up'!$C$4,$V929-4,0)&amp;"")</f>
        <v/>
      </c>
      <c r="S929" s="167" t="str">
        <f t="shared" ca="1" si="93"/>
        <v/>
      </c>
      <c r="T929" s="167" t="str">
        <f ca="1">IF(B929="","",IF(ISERROR(MATCH($J929,SorP!$B$1:$B$6230,0)),"",INDIRECT("'SorP'!$A$"&amp;MATCH($J929,SorP!$B$1:$B$6230,0))))</f>
        <v/>
      </c>
      <c r="U929" s="176"/>
      <c r="V929" s="177" t="e">
        <f>IF(C929="",NA(),IF(OR(C929="Smelter not listed",C929="Smelter not yet identified"),MATCH($B929&amp;$D929,'Smelter Look-up'!$J:$J,0),MATCH($B929&amp;$C929,'Smelter Look-up'!$J:$J,0)))</f>
        <v>#N/A</v>
      </c>
      <c r="X929" s="140">
        <f t="shared" ca="1" si="94"/>
        <v>0</v>
      </c>
      <c r="AB929" s="178" t="str">
        <f t="shared" si="95"/>
        <v/>
      </c>
    </row>
    <row r="930" spans="1:28" s="140" customFormat="1" ht="20.25">
      <c r="A930" s="167"/>
      <c r="B930" s="168" t="str">
        <f>IF(LEN(A930)=0,"",INDEX('Smelter Look-up'!$A:$A,MATCH($A930,'Smelter Look-up'!$E:$E,0)))</f>
        <v/>
      </c>
      <c r="C930" s="169" t="str">
        <f>IF(LEN(A930)=0,"",INDEX('Smelter Look-up'!$C:$C,MATCH($A930,'Smelter Look-up'!$E:$E,0)))</f>
        <v/>
      </c>
      <c r="D930" s="170"/>
      <c r="E930" s="168" t="str">
        <f ca="1">IF(ISERROR($V930),"",OFFSET('Smelter Look-up'!$D$4,$V930-4,0)&amp;"")</f>
        <v/>
      </c>
      <c r="F930" s="168" t="str">
        <f ca="1">IF(ISERROR($V930),"",OFFSET('Smelter Look-up'!$E$4,$V930-4,0))</f>
        <v/>
      </c>
      <c r="G930" s="168" t="str">
        <f ca="1">IF(C930=$X$4,IF(ISERROR($V930),"Enter smelter details","RMI"),IF(ISERROR($V930),"",OFFSET('Smelter Look-up'!$F$4,$V930-4,0)))</f>
        <v/>
      </c>
      <c r="H930" s="171" t="str">
        <f ca="1">IF(ISERROR($V930),"",OFFSET('Smelter Look-up'!$G$4,$V930-4,0))</f>
        <v/>
      </c>
      <c r="I930" s="172" t="str">
        <f ca="1">IF(ISERROR($V930),"",OFFSET('Smelter Look-up'!$H$4,$V930-4,0))</f>
        <v/>
      </c>
      <c r="J930" s="172" t="str">
        <f ca="1">IF(ISERROR($V930),"",OFFSET('Smelter Look-up'!$I$4,$V930-4,0))</f>
        <v/>
      </c>
      <c r="K930" s="173"/>
      <c r="L930" s="173"/>
      <c r="M930" s="173"/>
      <c r="N930" s="173"/>
      <c r="O930" s="173"/>
      <c r="P930" s="174"/>
      <c r="Q930" s="175"/>
      <c r="R930" s="168" t="str">
        <f ca="1">IF(ISERROR($V930),"",OFFSET('Smelter Look-up'!$C$4,$V930-4,0)&amp;"")</f>
        <v/>
      </c>
      <c r="S930" s="167" t="str">
        <f t="shared" ca="1" si="93"/>
        <v/>
      </c>
      <c r="T930" s="167" t="str">
        <f ca="1">IF(B930="","",IF(ISERROR(MATCH($J930,SorP!$B$1:$B$6230,0)),"",INDIRECT("'SorP'!$A$"&amp;MATCH($J930,SorP!$B$1:$B$6230,0))))</f>
        <v/>
      </c>
      <c r="U930" s="176"/>
      <c r="V930" s="177" t="e">
        <f>IF(C930="",NA(),IF(OR(C930="Smelter not listed",C930="Smelter not yet identified"),MATCH($B930&amp;$D930,'Smelter Look-up'!$J:$J,0),MATCH($B930&amp;$C930,'Smelter Look-up'!$J:$J,0)))</f>
        <v>#N/A</v>
      </c>
      <c r="X930" s="140">
        <f t="shared" ca="1" si="94"/>
        <v>0</v>
      </c>
      <c r="AB930" s="178" t="str">
        <f t="shared" si="95"/>
        <v/>
      </c>
    </row>
    <row r="931" spans="1:28" s="140" customFormat="1" ht="20.25">
      <c r="A931" s="167"/>
      <c r="B931" s="168" t="str">
        <f>IF(LEN(A931)=0,"",INDEX('Smelter Look-up'!$A:$A,MATCH($A931,'Smelter Look-up'!$E:$E,0)))</f>
        <v/>
      </c>
      <c r="C931" s="169" t="str">
        <f>IF(LEN(A931)=0,"",INDEX('Smelter Look-up'!$C:$C,MATCH($A931,'Smelter Look-up'!$E:$E,0)))</f>
        <v/>
      </c>
      <c r="D931" s="170"/>
      <c r="E931" s="168" t="str">
        <f ca="1">IF(ISERROR($V931),"",OFFSET('Smelter Look-up'!$D$4,$V931-4,0)&amp;"")</f>
        <v/>
      </c>
      <c r="F931" s="168" t="str">
        <f ca="1">IF(ISERROR($V931),"",OFFSET('Smelter Look-up'!$E$4,$V931-4,0))</f>
        <v/>
      </c>
      <c r="G931" s="168" t="str">
        <f ca="1">IF(C931=$X$4,IF(ISERROR($V931),"Enter smelter details","RMI"),IF(ISERROR($V931),"",OFFSET('Smelter Look-up'!$F$4,$V931-4,0)))</f>
        <v/>
      </c>
      <c r="H931" s="171" t="str">
        <f ca="1">IF(ISERROR($V931),"",OFFSET('Smelter Look-up'!$G$4,$V931-4,0))</f>
        <v/>
      </c>
      <c r="I931" s="172" t="str">
        <f ca="1">IF(ISERROR($V931),"",OFFSET('Smelter Look-up'!$H$4,$V931-4,0))</f>
        <v/>
      </c>
      <c r="J931" s="172" t="str">
        <f ca="1">IF(ISERROR($V931),"",OFFSET('Smelter Look-up'!$I$4,$V931-4,0))</f>
        <v/>
      </c>
      <c r="K931" s="173"/>
      <c r="L931" s="173"/>
      <c r="M931" s="173"/>
      <c r="N931" s="173"/>
      <c r="O931" s="173"/>
      <c r="P931" s="174"/>
      <c r="Q931" s="175"/>
      <c r="R931" s="168" t="str">
        <f ca="1">IF(ISERROR($V931),"",OFFSET('Smelter Look-up'!$C$4,$V931-4,0)&amp;"")</f>
        <v/>
      </c>
      <c r="S931" s="167" t="str">
        <f t="shared" ca="1" si="93"/>
        <v/>
      </c>
      <c r="T931" s="167" t="str">
        <f ca="1">IF(B931="","",IF(ISERROR(MATCH($J931,SorP!$B$1:$B$6230,0)),"",INDIRECT("'SorP'!$A$"&amp;MATCH($J931,SorP!$B$1:$B$6230,0))))</f>
        <v/>
      </c>
      <c r="U931" s="176"/>
      <c r="V931" s="177" t="e">
        <f>IF(C931="",NA(),IF(OR(C931="Smelter not listed",C931="Smelter not yet identified"),MATCH($B931&amp;$D931,'Smelter Look-up'!$J:$J,0),MATCH($B931&amp;$C931,'Smelter Look-up'!$J:$J,0)))</f>
        <v>#N/A</v>
      </c>
      <c r="X931" s="140">
        <f t="shared" ca="1" si="94"/>
        <v>0</v>
      </c>
      <c r="AB931" s="178" t="str">
        <f t="shared" si="95"/>
        <v/>
      </c>
    </row>
    <row r="932" spans="1:28" s="140" customFormat="1" ht="20.25">
      <c r="A932" s="167"/>
      <c r="B932" s="168" t="str">
        <f>IF(LEN(A932)=0,"",INDEX('Smelter Look-up'!$A:$A,MATCH($A932,'Smelter Look-up'!$E:$E,0)))</f>
        <v/>
      </c>
      <c r="C932" s="169" t="str">
        <f>IF(LEN(A932)=0,"",INDEX('Smelter Look-up'!$C:$C,MATCH($A932,'Smelter Look-up'!$E:$E,0)))</f>
        <v/>
      </c>
      <c r="D932" s="170"/>
      <c r="E932" s="168" t="str">
        <f ca="1">IF(ISERROR($V932),"",OFFSET('Smelter Look-up'!$D$4,$V932-4,0)&amp;"")</f>
        <v/>
      </c>
      <c r="F932" s="168" t="str">
        <f ca="1">IF(ISERROR($V932),"",OFFSET('Smelter Look-up'!$E$4,$V932-4,0))</f>
        <v/>
      </c>
      <c r="G932" s="168" t="str">
        <f ca="1">IF(C932=$X$4,IF(ISERROR($V932),"Enter smelter details","RMI"),IF(ISERROR($V932),"",OFFSET('Smelter Look-up'!$F$4,$V932-4,0)))</f>
        <v/>
      </c>
      <c r="H932" s="171" t="str">
        <f ca="1">IF(ISERROR($V932),"",OFFSET('Smelter Look-up'!$G$4,$V932-4,0))</f>
        <v/>
      </c>
      <c r="I932" s="172" t="str">
        <f ca="1">IF(ISERROR($V932),"",OFFSET('Smelter Look-up'!$H$4,$V932-4,0))</f>
        <v/>
      </c>
      <c r="J932" s="172" t="str">
        <f ca="1">IF(ISERROR($V932),"",OFFSET('Smelter Look-up'!$I$4,$V932-4,0))</f>
        <v/>
      </c>
      <c r="K932" s="173"/>
      <c r="L932" s="173"/>
      <c r="M932" s="173"/>
      <c r="N932" s="173"/>
      <c r="O932" s="173"/>
      <c r="P932" s="174"/>
      <c r="Q932" s="175"/>
      <c r="R932" s="168" t="str">
        <f ca="1">IF(ISERROR($V932),"",OFFSET('Smelter Look-up'!$C$4,$V932-4,0)&amp;"")</f>
        <v/>
      </c>
      <c r="S932" s="167" t="str">
        <f t="shared" ca="1" si="93"/>
        <v/>
      </c>
      <c r="T932" s="167" t="str">
        <f ca="1">IF(B932="","",IF(ISERROR(MATCH($J932,SorP!$B$1:$B$6230,0)),"",INDIRECT("'SorP'!$A$"&amp;MATCH($J932,SorP!$B$1:$B$6230,0))))</f>
        <v/>
      </c>
      <c r="U932" s="176"/>
      <c r="V932" s="177" t="e">
        <f>IF(C932="",NA(),IF(OR(C932="Smelter not listed",C932="Smelter not yet identified"),MATCH($B932&amp;$D932,'Smelter Look-up'!$J:$J,0),MATCH($B932&amp;$C932,'Smelter Look-up'!$J:$J,0)))</f>
        <v>#N/A</v>
      </c>
      <c r="X932" s="140">
        <f t="shared" ca="1" si="94"/>
        <v>0</v>
      </c>
      <c r="AB932" s="178" t="str">
        <f t="shared" si="95"/>
        <v/>
      </c>
    </row>
    <row r="933" spans="1:28" s="140" customFormat="1" ht="20.25">
      <c r="A933" s="167"/>
      <c r="B933" s="168" t="str">
        <f>IF(LEN(A933)=0,"",INDEX('Smelter Look-up'!$A:$A,MATCH($A933,'Smelter Look-up'!$E:$E,0)))</f>
        <v/>
      </c>
      <c r="C933" s="169" t="str">
        <f>IF(LEN(A933)=0,"",INDEX('Smelter Look-up'!$C:$C,MATCH($A933,'Smelter Look-up'!$E:$E,0)))</f>
        <v/>
      </c>
      <c r="D933" s="170"/>
      <c r="E933" s="168" t="str">
        <f ca="1">IF(ISERROR($V933),"",OFFSET('Smelter Look-up'!$D$4,$V933-4,0)&amp;"")</f>
        <v/>
      </c>
      <c r="F933" s="168" t="str">
        <f ca="1">IF(ISERROR($V933),"",OFFSET('Smelter Look-up'!$E$4,$V933-4,0))</f>
        <v/>
      </c>
      <c r="G933" s="168" t="str">
        <f ca="1">IF(C933=$X$4,IF(ISERROR($V933),"Enter smelter details","RMI"),IF(ISERROR($V933),"",OFFSET('Smelter Look-up'!$F$4,$V933-4,0)))</f>
        <v/>
      </c>
      <c r="H933" s="171" t="str">
        <f ca="1">IF(ISERROR($V933),"",OFFSET('Smelter Look-up'!$G$4,$V933-4,0))</f>
        <v/>
      </c>
      <c r="I933" s="172" t="str">
        <f ca="1">IF(ISERROR($V933),"",OFFSET('Smelter Look-up'!$H$4,$V933-4,0))</f>
        <v/>
      </c>
      <c r="J933" s="172" t="str">
        <f ca="1">IF(ISERROR($V933),"",OFFSET('Smelter Look-up'!$I$4,$V933-4,0))</f>
        <v/>
      </c>
      <c r="K933" s="173"/>
      <c r="L933" s="173"/>
      <c r="M933" s="173"/>
      <c r="N933" s="173"/>
      <c r="O933" s="173"/>
      <c r="P933" s="174"/>
      <c r="Q933" s="175"/>
      <c r="R933" s="168" t="str">
        <f ca="1">IF(ISERROR($V933),"",OFFSET('Smelter Look-up'!$C$4,$V933-4,0)&amp;"")</f>
        <v/>
      </c>
      <c r="S933" s="167" t="str">
        <f t="shared" ref="S933:S996" ca="1" si="96">IF(B933="","",IF(ISERROR(MATCH($E933,CL,0)),"Unknown",INDIRECT("'C'!$A$"&amp;MATCH($E933,CL,0)+1)))</f>
        <v/>
      </c>
      <c r="T933" s="167" t="str">
        <f ca="1">IF(B933="","",IF(ISERROR(MATCH($J933,SorP!$B$1:$B$6230,0)),"",INDIRECT("'SorP'!$A$"&amp;MATCH($J933,SorP!$B$1:$B$6230,0))))</f>
        <v/>
      </c>
      <c r="U933" s="176"/>
      <c r="V933" s="177" t="e">
        <f>IF(C933="",NA(),IF(OR(C933="Smelter not listed",C933="Smelter not yet identified"),MATCH($B933&amp;$D933,'Smelter Look-up'!$J:$J,0),MATCH($B933&amp;$C933,'Smelter Look-up'!$J:$J,0)))</f>
        <v>#N/A</v>
      </c>
      <c r="X933" s="140">
        <f t="shared" ref="X933:X996" ca="1" si="97">IF(AND(C933="Smelter not listed",OR(LEN(D933)=0,LEN(E933)=0)),1,0)</f>
        <v>0</v>
      </c>
      <c r="AB933" s="178" t="str">
        <f t="shared" ref="AB933:AB996" si="98">B933&amp;C933</f>
        <v/>
      </c>
    </row>
    <row r="934" spans="1:28" s="140" customFormat="1" ht="20.25">
      <c r="A934" s="167"/>
      <c r="B934" s="168" t="str">
        <f>IF(LEN(A934)=0,"",INDEX('Smelter Look-up'!$A:$A,MATCH($A934,'Smelter Look-up'!$E:$E,0)))</f>
        <v/>
      </c>
      <c r="C934" s="169" t="str">
        <f>IF(LEN(A934)=0,"",INDEX('Smelter Look-up'!$C:$C,MATCH($A934,'Smelter Look-up'!$E:$E,0)))</f>
        <v/>
      </c>
      <c r="D934" s="170"/>
      <c r="E934" s="168" t="str">
        <f ca="1">IF(ISERROR($V934),"",OFFSET('Smelter Look-up'!$D$4,$V934-4,0)&amp;"")</f>
        <v/>
      </c>
      <c r="F934" s="168" t="str">
        <f ca="1">IF(ISERROR($V934),"",OFFSET('Smelter Look-up'!$E$4,$V934-4,0))</f>
        <v/>
      </c>
      <c r="G934" s="168" t="str">
        <f ca="1">IF(C934=$X$4,IF(ISERROR($V934),"Enter smelter details","RMI"),IF(ISERROR($V934),"",OFFSET('Smelter Look-up'!$F$4,$V934-4,0)))</f>
        <v/>
      </c>
      <c r="H934" s="171" t="str">
        <f ca="1">IF(ISERROR($V934),"",OFFSET('Smelter Look-up'!$G$4,$V934-4,0))</f>
        <v/>
      </c>
      <c r="I934" s="172" t="str">
        <f ca="1">IF(ISERROR($V934),"",OFFSET('Smelter Look-up'!$H$4,$V934-4,0))</f>
        <v/>
      </c>
      <c r="J934" s="172" t="str">
        <f ca="1">IF(ISERROR($V934),"",OFFSET('Smelter Look-up'!$I$4,$V934-4,0))</f>
        <v/>
      </c>
      <c r="K934" s="173"/>
      <c r="L934" s="173"/>
      <c r="M934" s="173"/>
      <c r="N934" s="173"/>
      <c r="O934" s="173"/>
      <c r="P934" s="174"/>
      <c r="Q934" s="175"/>
      <c r="R934" s="168" t="str">
        <f ca="1">IF(ISERROR($V934),"",OFFSET('Smelter Look-up'!$C$4,$V934-4,0)&amp;"")</f>
        <v/>
      </c>
      <c r="S934" s="167" t="str">
        <f t="shared" ca="1" si="96"/>
        <v/>
      </c>
      <c r="T934" s="167" t="str">
        <f ca="1">IF(B934="","",IF(ISERROR(MATCH($J934,SorP!$B$1:$B$6230,0)),"",INDIRECT("'SorP'!$A$"&amp;MATCH($J934,SorP!$B$1:$B$6230,0))))</f>
        <v/>
      </c>
      <c r="U934" s="176"/>
      <c r="V934" s="177" t="e">
        <f>IF(C934="",NA(),IF(OR(C934="Smelter not listed",C934="Smelter not yet identified"),MATCH($B934&amp;$D934,'Smelter Look-up'!$J:$J,0),MATCH($B934&amp;$C934,'Smelter Look-up'!$J:$J,0)))</f>
        <v>#N/A</v>
      </c>
      <c r="X934" s="140">
        <f t="shared" ca="1" si="97"/>
        <v>0</v>
      </c>
      <c r="AB934" s="178" t="str">
        <f t="shared" si="98"/>
        <v/>
      </c>
    </row>
    <row r="935" spans="1:28" s="140" customFormat="1" ht="20.25">
      <c r="A935" s="167"/>
      <c r="B935" s="168" t="str">
        <f>IF(LEN(A935)=0,"",INDEX('Smelter Look-up'!$A:$A,MATCH($A935,'Smelter Look-up'!$E:$E,0)))</f>
        <v/>
      </c>
      <c r="C935" s="169" t="str">
        <f>IF(LEN(A935)=0,"",INDEX('Smelter Look-up'!$C:$C,MATCH($A935,'Smelter Look-up'!$E:$E,0)))</f>
        <v/>
      </c>
      <c r="D935" s="170"/>
      <c r="E935" s="168" t="str">
        <f ca="1">IF(ISERROR($V935),"",OFFSET('Smelter Look-up'!$D$4,$V935-4,0)&amp;"")</f>
        <v/>
      </c>
      <c r="F935" s="168" t="str">
        <f ca="1">IF(ISERROR($V935),"",OFFSET('Smelter Look-up'!$E$4,$V935-4,0))</f>
        <v/>
      </c>
      <c r="G935" s="168" t="str">
        <f ca="1">IF(C935=$X$4,IF(ISERROR($V935),"Enter smelter details","RMI"),IF(ISERROR($V935),"",OFFSET('Smelter Look-up'!$F$4,$V935-4,0)))</f>
        <v/>
      </c>
      <c r="H935" s="171" t="str">
        <f ca="1">IF(ISERROR($V935),"",OFFSET('Smelter Look-up'!$G$4,$V935-4,0))</f>
        <v/>
      </c>
      <c r="I935" s="172" t="str">
        <f ca="1">IF(ISERROR($V935),"",OFFSET('Smelter Look-up'!$H$4,$V935-4,0))</f>
        <v/>
      </c>
      <c r="J935" s="172" t="str">
        <f ca="1">IF(ISERROR($V935),"",OFFSET('Smelter Look-up'!$I$4,$V935-4,0))</f>
        <v/>
      </c>
      <c r="K935" s="173"/>
      <c r="L935" s="173"/>
      <c r="M935" s="173"/>
      <c r="N935" s="173"/>
      <c r="O935" s="173"/>
      <c r="P935" s="174"/>
      <c r="Q935" s="175"/>
      <c r="R935" s="168" t="str">
        <f ca="1">IF(ISERROR($V935),"",OFFSET('Smelter Look-up'!$C$4,$V935-4,0)&amp;"")</f>
        <v/>
      </c>
      <c r="S935" s="167" t="str">
        <f t="shared" ca="1" si="96"/>
        <v/>
      </c>
      <c r="T935" s="167" t="str">
        <f ca="1">IF(B935="","",IF(ISERROR(MATCH($J935,SorP!$B$1:$B$6230,0)),"",INDIRECT("'SorP'!$A$"&amp;MATCH($J935,SorP!$B$1:$B$6230,0))))</f>
        <v/>
      </c>
      <c r="U935" s="176"/>
      <c r="V935" s="177" t="e">
        <f>IF(C935="",NA(),IF(OR(C935="Smelter not listed",C935="Smelter not yet identified"),MATCH($B935&amp;$D935,'Smelter Look-up'!$J:$J,0),MATCH($B935&amp;$C935,'Smelter Look-up'!$J:$J,0)))</f>
        <v>#N/A</v>
      </c>
      <c r="X935" s="140">
        <f t="shared" ca="1" si="97"/>
        <v>0</v>
      </c>
      <c r="AB935" s="178" t="str">
        <f t="shared" si="98"/>
        <v/>
      </c>
    </row>
    <row r="936" spans="1:28" s="140" customFormat="1" ht="20.25">
      <c r="A936" s="167"/>
      <c r="B936" s="168" t="str">
        <f>IF(LEN(A936)=0,"",INDEX('Smelter Look-up'!$A:$A,MATCH($A936,'Smelter Look-up'!$E:$E,0)))</f>
        <v/>
      </c>
      <c r="C936" s="169" t="str">
        <f>IF(LEN(A936)=0,"",INDEX('Smelter Look-up'!$C:$C,MATCH($A936,'Smelter Look-up'!$E:$E,0)))</f>
        <v/>
      </c>
      <c r="D936" s="170"/>
      <c r="E936" s="168" t="str">
        <f ca="1">IF(ISERROR($V936),"",OFFSET('Smelter Look-up'!$D$4,$V936-4,0)&amp;"")</f>
        <v/>
      </c>
      <c r="F936" s="168" t="str">
        <f ca="1">IF(ISERROR($V936),"",OFFSET('Smelter Look-up'!$E$4,$V936-4,0))</f>
        <v/>
      </c>
      <c r="G936" s="168" t="str">
        <f ca="1">IF(C936=$X$4,IF(ISERROR($V936),"Enter smelter details","RMI"),IF(ISERROR($V936),"",OFFSET('Smelter Look-up'!$F$4,$V936-4,0)))</f>
        <v/>
      </c>
      <c r="H936" s="171" t="str">
        <f ca="1">IF(ISERROR($V936),"",OFFSET('Smelter Look-up'!$G$4,$V936-4,0))</f>
        <v/>
      </c>
      <c r="I936" s="172" t="str">
        <f ca="1">IF(ISERROR($V936),"",OFFSET('Smelter Look-up'!$H$4,$V936-4,0))</f>
        <v/>
      </c>
      <c r="J936" s="172" t="str">
        <f ca="1">IF(ISERROR($V936),"",OFFSET('Smelter Look-up'!$I$4,$V936-4,0))</f>
        <v/>
      </c>
      <c r="K936" s="173"/>
      <c r="L936" s="173"/>
      <c r="M936" s="173"/>
      <c r="N936" s="173"/>
      <c r="O936" s="173"/>
      <c r="P936" s="174"/>
      <c r="Q936" s="175"/>
      <c r="R936" s="168" t="str">
        <f ca="1">IF(ISERROR($V936),"",OFFSET('Smelter Look-up'!$C$4,$V936-4,0)&amp;"")</f>
        <v/>
      </c>
      <c r="S936" s="167" t="str">
        <f t="shared" ca="1" si="96"/>
        <v/>
      </c>
      <c r="T936" s="167" t="str">
        <f ca="1">IF(B936="","",IF(ISERROR(MATCH($J936,SorP!$B$1:$B$6230,0)),"",INDIRECT("'SorP'!$A$"&amp;MATCH($J936,SorP!$B$1:$B$6230,0))))</f>
        <v/>
      </c>
      <c r="U936" s="176"/>
      <c r="V936" s="177" t="e">
        <f>IF(C936="",NA(),IF(OR(C936="Smelter not listed",C936="Smelter not yet identified"),MATCH($B936&amp;$D936,'Smelter Look-up'!$J:$J,0),MATCH($B936&amp;$C936,'Smelter Look-up'!$J:$J,0)))</f>
        <v>#N/A</v>
      </c>
      <c r="X936" s="140">
        <f t="shared" ca="1" si="97"/>
        <v>0</v>
      </c>
      <c r="AB936" s="178" t="str">
        <f t="shared" si="98"/>
        <v/>
      </c>
    </row>
    <row r="937" spans="1:28" s="140" customFormat="1" ht="20.25">
      <c r="A937" s="167"/>
      <c r="B937" s="168" t="str">
        <f>IF(LEN(A937)=0,"",INDEX('Smelter Look-up'!$A:$A,MATCH($A937,'Smelter Look-up'!$E:$E,0)))</f>
        <v/>
      </c>
      <c r="C937" s="169" t="str">
        <f>IF(LEN(A937)=0,"",INDEX('Smelter Look-up'!$C:$C,MATCH($A937,'Smelter Look-up'!$E:$E,0)))</f>
        <v/>
      </c>
      <c r="D937" s="170"/>
      <c r="E937" s="168" t="str">
        <f ca="1">IF(ISERROR($V937),"",OFFSET('Smelter Look-up'!$D$4,$V937-4,0)&amp;"")</f>
        <v/>
      </c>
      <c r="F937" s="168" t="str">
        <f ca="1">IF(ISERROR($V937),"",OFFSET('Smelter Look-up'!$E$4,$V937-4,0))</f>
        <v/>
      </c>
      <c r="G937" s="168" t="str">
        <f ca="1">IF(C937=$X$4,IF(ISERROR($V937),"Enter smelter details","RMI"),IF(ISERROR($V937),"",OFFSET('Smelter Look-up'!$F$4,$V937-4,0)))</f>
        <v/>
      </c>
      <c r="H937" s="171" t="str">
        <f ca="1">IF(ISERROR($V937),"",OFFSET('Smelter Look-up'!$G$4,$V937-4,0))</f>
        <v/>
      </c>
      <c r="I937" s="172" t="str">
        <f ca="1">IF(ISERROR($V937),"",OFFSET('Smelter Look-up'!$H$4,$V937-4,0))</f>
        <v/>
      </c>
      <c r="J937" s="172" t="str">
        <f ca="1">IF(ISERROR($V937),"",OFFSET('Smelter Look-up'!$I$4,$V937-4,0))</f>
        <v/>
      </c>
      <c r="K937" s="173"/>
      <c r="L937" s="173"/>
      <c r="M937" s="173"/>
      <c r="N937" s="173"/>
      <c r="O937" s="173"/>
      <c r="P937" s="174"/>
      <c r="Q937" s="175"/>
      <c r="R937" s="168" t="str">
        <f ca="1">IF(ISERROR($V937),"",OFFSET('Smelter Look-up'!$C$4,$V937-4,0)&amp;"")</f>
        <v/>
      </c>
      <c r="S937" s="167" t="str">
        <f t="shared" ca="1" si="96"/>
        <v/>
      </c>
      <c r="T937" s="167" t="str">
        <f ca="1">IF(B937="","",IF(ISERROR(MATCH($J937,SorP!$B$1:$B$6230,0)),"",INDIRECT("'SorP'!$A$"&amp;MATCH($J937,SorP!$B$1:$B$6230,0))))</f>
        <v/>
      </c>
      <c r="U937" s="176"/>
      <c r="V937" s="177" t="e">
        <f>IF(C937="",NA(),IF(OR(C937="Smelter not listed",C937="Smelter not yet identified"),MATCH($B937&amp;$D937,'Smelter Look-up'!$J:$J,0),MATCH($B937&amp;$C937,'Smelter Look-up'!$J:$J,0)))</f>
        <v>#N/A</v>
      </c>
      <c r="X937" s="140">
        <f t="shared" ca="1" si="97"/>
        <v>0</v>
      </c>
      <c r="AB937" s="178" t="str">
        <f t="shared" si="98"/>
        <v/>
      </c>
    </row>
    <row r="938" spans="1:28" s="140" customFormat="1" ht="20.25">
      <c r="A938" s="167"/>
      <c r="B938" s="168" t="str">
        <f>IF(LEN(A938)=0,"",INDEX('Smelter Look-up'!$A:$A,MATCH($A938,'Smelter Look-up'!$E:$E,0)))</f>
        <v/>
      </c>
      <c r="C938" s="169" t="str">
        <f>IF(LEN(A938)=0,"",INDEX('Smelter Look-up'!$C:$C,MATCH($A938,'Smelter Look-up'!$E:$E,0)))</f>
        <v/>
      </c>
      <c r="D938" s="170"/>
      <c r="E938" s="168" t="str">
        <f ca="1">IF(ISERROR($V938),"",OFFSET('Smelter Look-up'!$D$4,$V938-4,0)&amp;"")</f>
        <v/>
      </c>
      <c r="F938" s="168" t="str">
        <f ca="1">IF(ISERROR($V938),"",OFFSET('Smelter Look-up'!$E$4,$V938-4,0))</f>
        <v/>
      </c>
      <c r="G938" s="168" t="str">
        <f ca="1">IF(C938=$X$4,IF(ISERROR($V938),"Enter smelter details","RMI"),IF(ISERROR($V938),"",OFFSET('Smelter Look-up'!$F$4,$V938-4,0)))</f>
        <v/>
      </c>
      <c r="H938" s="171" t="str">
        <f ca="1">IF(ISERROR($V938),"",OFFSET('Smelter Look-up'!$G$4,$V938-4,0))</f>
        <v/>
      </c>
      <c r="I938" s="172" t="str">
        <f ca="1">IF(ISERROR($V938),"",OFFSET('Smelter Look-up'!$H$4,$V938-4,0))</f>
        <v/>
      </c>
      <c r="J938" s="172" t="str">
        <f ca="1">IF(ISERROR($V938),"",OFFSET('Smelter Look-up'!$I$4,$V938-4,0))</f>
        <v/>
      </c>
      <c r="K938" s="173"/>
      <c r="L938" s="173"/>
      <c r="M938" s="173"/>
      <c r="N938" s="173"/>
      <c r="O938" s="173"/>
      <c r="P938" s="174"/>
      <c r="Q938" s="175"/>
      <c r="R938" s="168" t="str">
        <f ca="1">IF(ISERROR($V938),"",OFFSET('Smelter Look-up'!$C$4,$V938-4,0)&amp;"")</f>
        <v/>
      </c>
      <c r="S938" s="167" t="str">
        <f t="shared" ca="1" si="96"/>
        <v/>
      </c>
      <c r="T938" s="167" t="str">
        <f ca="1">IF(B938="","",IF(ISERROR(MATCH($J938,SorP!$B$1:$B$6230,0)),"",INDIRECT("'SorP'!$A$"&amp;MATCH($J938,SorP!$B$1:$B$6230,0))))</f>
        <v/>
      </c>
      <c r="U938" s="176"/>
      <c r="V938" s="177" t="e">
        <f>IF(C938="",NA(),IF(OR(C938="Smelter not listed",C938="Smelter not yet identified"),MATCH($B938&amp;$D938,'Smelter Look-up'!$J:$J,0),MATCH($B938&amp;$C938,'Smelter Look-up'!$J:$J,0)))</f>
        <v>#N/A</v>
      </c>
      <c r="X938" s="140">
        <f t="shared" ca="1" si="97"/>
        <v>0</v>
      </c>
      <c r="AB938" s="178" t="str">
        <f t="shared" si="98"/>
        <v/>
      </c>
    </row>
    <row r="939" spans="1:28" s="140" customFormat="1" ht="20.25">
      <c r="A939" s="167"/>
      <c r="B939" s="168" t="str">
        <f>IF(LEN(A939)=0,"",INDEX('Smelter Look-up'!$A:$A,MATCH($A939,'Smelter Look-up'!$E:$E,0)))</f>
        <v/>
      </c>
      <c r="C939" s="169" t="str">
        <f>IF(LEN(A939)=0,"",INDEX('Smelter Look-up'!$C:$C,MATCH($A939,'Smelter Look-up'!$E:$E,0)))</f>
        <v/>
      </c>
      <c r="D939" s="170"/>
      <c r="E939" s="168" t="str">
        <f ca="1">IF(ISERROR($V939),"",OFFSET('Smelter Look-up'!$D$4,$V939-4,0)&amp;"")</f>
        <v/>
      </c>
      <c r="F939" s="168" t="str">
        <f ca="1">IF(ISERROR($V939),"",OFFSET('Smelter Look-up'!$E$4,$V939-4,0))</f>
        <v/>
      </c>
      <c r="G939" s="168" t="str">
        <f ca="1">IF(C939=$X$4,IF(ISERROR($V939),"Enter smelter details","RMI"),IF(ISERROR($V939),"",OFFSET('Smelter Look-up'!$F$4,$V939-4,0)))</f>
        <v/>
      </c>
      <c r="H939" s="171" t="str">
        <f ca="1">IF(ISERROR($V939),"",OFFSET('Smelter Look-up'!$G$4,$V939-4,0))</f>
        <v/>
      </c>
      <c r="I939" s="172" t="str">
        <f ca="1">IF(ISERROR($V939),"",OFFSET('Smelter Look-up'!$H$4,$V939-4,0))</f>
        <v/>
      </c>
      <c r="J939" s="172" t="str">
        <f ca="1">IF(ISERROR($V939),"",OFFSET('Smelter Look-up'!$I$4,$V939-4,0))</f>
        <v/>
      </c>
      <c r="K939" s="173"/>
      <c r="L939" s="173"/>
      <c r="M939" s="173"/>
      <c r="N939" s="173"/>
      <c r="O939" s="173"/>
      <c r="P939" s="174"/>
      <c r="Q939" s="175"/>
      <c r="R939" s="168" t="str">
        <f ca="1">IF(ISERROR($V939),"",OFFSET('Smelter Look-up'!$C$4,$V939-4,0)&amp;"")</f>
        <v/>
      </c>
      <c r="S939" s="167" t="str">
        <f t="shared" ca="1" si="96"/>
        <v/>
      </c>
      <c r="T939" s="167" t="str">
        <f ca="1">IF(B939="","",IF(ISERROR(MATCH($J939,SorP!$B$1:$B$6230,0)),"",INDIRECT("'SorP'!$A$"&amp;MATCH($J939,SorP!$B$1:$B$6230,0))))</f>
        <v/>
      </c>
      <c r="U939" s="176"/>
      <c r="V939" s="177" t="e">
        <f>IF(C939="",NA(),IF(OR(C939="Smelter not listed",C939="Smelter not yet identified"),MATCH($B939&amp;$D939,'Smelter Look-up'!$J:$J,0),MATCH($B939&amp;$C939,'Smelter Look-up'!$J:$J,0)))</f>
        <v>#N/A</v>
      </c>
      <c r="X939" s="140">
        <f t="shared" ca="1" si="97"/>
        <v>0</v>
      </c>
      <c r="AB939" s="178" t="str">
        <f t="shared" si="98"/>
        <v/>
      </c>
    </row>
    <row r="940" spans="1:28" s="140" customFormat="1" ht="20.25">
      <c r="A940" s="167"/>
      <c r="B940" s="168" t="str">
        <f>IF(LEN(A940)=0,"",INDEX('Smelter Look-up'!$A:$A,MATCH($A940,'Smelter Look-up'!$E:$E,0)))</f>
        <v/>
      </c>
      <c r="C940" s="169" t="str">
        <f>IF(LEN(A940)=0,"",INDEX('Smelter Look-up'!$C:$C,MATCH($A940,'Smelter Look-up'!$E:$E,0)))</f>
        <v/>
      </c>
      <c r="D940" s="170"/>
      <c r="E940" s="168" t="str">
        <f ca="1">IF(ISERROR($V940),"",OFFSET('Smelter Look-up'!$D$4,$V940-4,0)&amp;"")</f>
        <v/>
      </c>
      <c r="F940" s="168" t="str">
        <f ca="1">IF(ISERROR($V940),"",OFFSET('Smelter Look-up'!$E$4,$V940-4,0))</f>
        <v/>
      </c>
      <c r="G940" s="168" t="str">
        <f ca="1">IF(C940=$X$4,IF(ISERROR($V940),"Enter smelter details","RMI"),IF(ISERROR($V940),"",OFFSET('Smelter Look-up'!$F$4,$V940-4,0)))</f>
        <v/>
      </c>
      <c r="H940" s="171" t="str">
        <f ca="1">IF(ISERROR($V940),"",OFFSET('Smelter Look-up'!$G$4,$V940-4,0))</f>
        <v/>
      </c>
      <c r="I940" s="172" t="str">
        <f ca="1">IF(ISERROR($V940),"",OFFSET('Smelter Look-up'!$H$4,$V940-4,0))</f>
        <v/>
      </c>
      <c r="J940" s="172" t="str">
        <f ca="1">IF(ISERROR($V940),"",OFFSET('Smelter Look-up'!$I$4,$V940-4,0))</f>
        <v/>
      </c>
      <c r="K940" s="173"/>
      <c r="L940" s="173"/>
      <c r="M940" s="173"/>
      <c r="N940" s="173"/>
      <c r="O940" s="173"/>
      <c r="P940" s="174"/>
      <c r="Q940" s="175"/>
      <c r="R940" s="168" t="str">
        <f ca="1">IF(ISERROR($V940),"",OFFSET('Smelter Look-up'!$C$4,$V940-4,0)&amp;"")</f>
        <v/>
      </c>
      <c r="S940" s="167" t="str">
        <f t="shared" ca="1" si="96"/>
        <v/>
      </c>
      <c r="T940" s="167" t="str">
        <f ca="1">IF(B940="","",IF(ISERROR(MATCH($J940,SorP!$B$1:$B$6230,0)),"",INDIRECT("'SorP'!$A$"&amp;MATCH($J940,SorP!$B$1:$B$6230,0))))</f>
        <v/>
      </c>
      <c r="U940" s="176"/>
      <c r="V940" s="177" t="e">
        <f>IF(C940="",NA(),IF(OR(C940="Smelter not listed",C940="Smelter not yet identified"),MATCH($B940&amp;$D940,'Smelter Look-up'!$J:$J,0),MATCH($B940&amp;$C940,'Smelter Look-up'!$J:$J,0)))</f>
        <v>#N/A</v>
      </c>
      <c r="X940" s="140">
        <f t="shared" ca="1" si="97"/>
        <v>0</v>
      </c>
      <c r="AB940" s="178" t="str">
        <f t="shared" si="98"/>
        <v/>
      </c>
    </row>
    <row r="941" spans="1:28" s="140" customFormat="1" ht="20.25">
      <c r="A941" s="167"/>
      <c r="B941" s="168" t="str">
        <f>IF(LEN(A941)=0,"",INDEX('Smelter Look-up'!$A:$A,MATCH($A941,'Smelter Look-up'!$E:$E,0)))</f>
        <v/>
      </c>
      <c r="C941" s="169" t="str">
        <f>IF(LEN(A941)=0,"",INDEX('Smelter Look-up'!$C:$C,MATCH($A941,'Smelter Look-up'!$E:$E,0)))</f>
        <v/>
      </c>
      <c r="D941" s="170"/>
      <c r="E941" s="168" t="str">
        <f ca="1">IF(ISERROR($V941),"",OFFSET('Smelter Look-up'!$D$4,$V941-4,0)&amp;"")</f>
        <v/>
      </c>
      <c r="F941" s="168" t="str">
        <f ca="1">IF(ISERROR($V941),"",OFFSET('Smelter Look-up'!$E$4,$V941-4,0))</f>
        <v/>
      </c>
      <c r="G941" s="168" t="str">
        <f ca="1">IF(C941=$X$4,IF(ISERROR($V941),"Enter smelter details","RMI"),IF(ISERROR($V941),"",OFFSET('Smelter Look-up'!$F$4,$V941-4,0)))</f>
        <v/>
      </c>
      <c r="H941" s="171" t="str">
        <f ca="1">IF(ISERROR($V941),"",OFFSET('Smelter Look-up'!$G$4,$V941-4,0))</f>
        <v/>
      </c>
      <c r="I941" s="172" t="str">
        <f ca="1">IF(ISERROR($V941),"",OFFSET('Smelter Look-up'!$H$4,$V941-4,0))</f>
        <v/>
      </c>
      <c r="J941" s="172" t="str">
        <f ca="1">IF(ISERROR($V941),"",OFFSET('Smelter Look-up'!$I$4,$V941-4,0))</f>
        <v/>
      </c>
      <c r="K941" s="173"/>
      <c r="L941" s="173"/>
      <c r="M941" s="173"/>
      <c r="N941" s="173"/>
      <c r="O941" s="173"/>
      <c r="P941" s="174"/>
      <c r="Q941" s="175"/>
      <c r="R941" s="168" t="str">
        <f ca="1">IF(ISERROR($V941),"",OFFSET('Smelter Look-up'!$C$4,$V941-4,0)&amp;"")</f>
        <v/>
      </c>
      <c r="S941" s="167" t="str">
        <f t="shared" ca="1" si="96"/>
        <v/>
      </c>
      <c r="T941" s="167" t="str">
        <f ca="1">IF(B941="","",IF(ISERROR(MATCH($J941,SorP!$B$1:$B$6230,0)),"",INDIRECT("'SorP'!$A$"&amp;MATCH($J941,SorP!$B$1:$B$6230,0))))</f>
        <v/>
      </c>
      <c r="U941" s="176"/>
      <c r="V941" s="177" t="e">
        <f>IF(C941="",NA(),IF(OR(C941="Smelter not listed",C941="Smelter not yet identified"),MATCH($B941&amp;$D941,'Smelter Look-up'!$J:$J,0),MATCH($B941&amp;$C941,'Smelter Look-up'!$J:$J,0)))</f>
        <v>#N/A</v>
      </c>
      <c r="X941" s="140">
        <f t="shared" ca="1" si="97"/>
        <v>0</v>
      </c>
      <c r="AB941" s="178" t="str">
        <f t="shared" si="98"/>
        <v/>
      </c>
    </row>
    <row r="942" spans="1:28" s="140" customFormat="1" ht="20.25">
      <c r="A942" s="167"/>
      <c r="B942" s="168" t="str">
        <f>IF(LEN(A942)=0,"",INDEX('Smelter Look-up'!$A:$A,MATCH($A942,'Smelter Look-up'!$E:$E,0)))</f>
        <v/>
      </c>
      <c r="C942" s="169" t="str">
        <f>IF(LEN(A942)=0,"",INDEX('Smelter Look-up'!$C:$C,MATCH($A942,'Smelter Look-up'!$E:$E,0)))</f>
        <v/>
      </c>
      <c r="D942" s="170"/>
      <c r="E942" s="168" t="str">
        <f ca="1">IF(ISERROR($V942),"",OFFSET('Smelter Look-up'!$D$4,$V942-4,0)&amp;"")</f>
        <v/>
      </c>
      <c r="F942" s="168" t="str">
        <f ca="1">IF(ISERROR($V942),"",OFFSET('Smelter Look-up'!$E$4,$V942-4,0))</f>
        <v/>
      </c>
      <c r="G942" s="168" t="str">
        <f ca="1">IF(C942=$X$4,IF(ISERROR($V942),"Enter smelter details","RMI"),IF(ISERROR($V942),"",OFFSET('Smelter Look-up'!$F$4,$V942-4,0)))</f>
        <v/>
      </c>
      <c r="H942" s="171" t="str">
        <f ca="1">IF(ISERROR($V942),"",OFFSET('Smelter Look-up'!$G$4,$V942-4,0))</f>
        <v/>
      </c>
      <c r="I942" s="172" t="str">
        <f ca="1">IF(ISERROR($V942),"",OFFSET('Smelter Look-up'!$H$4,$V942-4,0))</f>
        <v/>
      </c>
      <c r="J942" s="172" t="str">
        <f ca="1">IF(ISERROR($V942),"",OFFSET('Smelter Look-up'!$I$4,$V942-4,0))</f>
        <v/>
      </c>
      <c r="K942" s="173"/>
      <c r="L942" s="173"/>
      <c r="M942" s="173"/>
      <c r="N942" s="173"/>
      <c r="O942" s="173"/>
      <c r="P942" s="174"/>
      <c r="Q942" s="175"/>
      <c r="R942" s="168" t="str">
        <f ca="1">IF(ISERROR($V942),"",OFFSET('Smelter Look-up'!$C$4,$V942-4,0)&amp;"")</f>
        <v/>
      </c>
      <c r="S942" s="167" t="str">
        <f t="shared" ca="1" si="96"/>
        <v/>
      </c>
      <c r="T942" s="167" t="str">
        <f ca="1">IF(B942="","",IF(ISERROR(MATCH($J942,SorP!$B$1:$B$6230,0)),"",INDIRECT("'SorP'!$A$"&amp;MATCH($J942,SorP!$B$1:$B$6230,0))))</f>
        <v/>
      </c>
      <c r="U942" s="176"/>
      <c r="V942" s="177" t="e">
        <f>IF(C942="",NA(),IF(OR(C942="Smelter not listed",C942="Smelter not yet identified"),MATCH($B942&amp;$D942,'Smelter Look-up'!$J:$J,0),MATCH($B942&amp;$C942,'Smelter Look-up'!$J:$J,0)))</f>
        <v>#N/A</v>
      </c>
      <c r="X942" s="140">
        <f t="shared" ca="1" si="97"/>
        <v>0</v>
      </c>
      <c r="AB942" s="178" t="str">
        <f t="shared" si="98"/>
        <v/>
      </c>
    </row>
    <row r="943" spans="1:28" s="140" customFormat="1" ht="20.25">
      <c r="A943" s="167"/>
      <c r="B943" s="168" t="str">
        <f>IF(LEN(A943)=0,"",INDEX('Smelter Look-up'!$A:$A,MATCH($A943,'Smelter Look-up'!$E:$E,0)))</f>
        <v/>
      </c>
      <c r="C943" s="169" t="str">
        <f>IF(LEN(A943)=0,"",INDEX('Smelter Look-up'!$C:$C,MATCH($A943,'Smelter Look-up'!$E:$E,0)))</f>
        <v/>
      </c>
      <c r="D943" s="170"/>
      <c r="E943" s="168" t="str">
        <f ca="1">IF(ISERROR($V943),"",OFFSET('Smelter Look-up'!$D$4,$V943-4,0)&amp;"")</f>
        <v/>
      </c>
      <c r="F943" s="168" t="str">
        <f ca="1">IF(ISERROR($V943),"",OFFSET('Smelter Look-up'!$E$4,$V943-4,0))</f>
        <v/>
      </c>
      <c r="G943" s="168" t="str">
        <f ca="1">IF(C943=$X$4,IF(ISERROR($V943),"Enter smelter details","RMI"),IF(ISERROR($V943),"",OFFSET('Smelter Look-up'!$F$4,$V943-4,0)))</f>
        <v/>
      </c>
      <c r="H943" s="171" t="str">
        <f ca="1">IF(ISERROR($V943),"",OFFSET('Smelter Look-up'!$G$4,$V943-4,0))</f>
        <v/>
      </c>
      <c r="I943" s="172" t="str">
        <f ca="1">IF(ISERROR($V943),"",OFFSET('Smelter Look-up'!$H$4,$V943-4,0))</f>
        <v/>
      </c>
      <c r="J943" s="172" t="str">
        <f ca="1">IF(ISERROR($V943),"",OFFSET('Smelter Look-up'!$I$4,$V943-4,0))</f>
        <v/>
      </c>
      <c r="K943" s="173"/>
      <c r="L943" s="173"/>
      <c r="M943" s="173"/>
      <c r="N943" s="173"/>
      <c r="O943" s="173"/>
      <c r="P943" s="174"/>
      <c r="Q943" s="175"/>
      <c r="R943" s="168" t="str">
        <f ca="1">IF(ISERROR($V943),"",OFFSET('Smelter Look-up'!$C$4,$V943-4,0)&amp;"")</f>
        <v/>
      </c>
      <c r="S943" s="167" t="str">
        <f t="shared" ca="1" si="96"/>
        <v/>
      </c>
      <c r="T943" s="167" t="str">
        <f ca="1">IF(B943="","",IF(ISERROR(MATCH($J943,SorP!$B$1:$B$6230,0)),"",INDIRECT("'SorP'!$A$"&amp;MATCH($J943,SorP!$B$1:$B$6230,0))))</f>
        <v/>
      </c>
      <c r="U943" s="176"/>
      <c r="V943" s="177" t="e">
        <f>IF(C943="",NA(),IF(OR(C943="Smelter not listed",C943="Smelter not yet identified"),MATCH($B943&amp;$D943,'Smelter Look-up'!$J:$J,0),MATCH($B943&amp;$C943,'Smelter Look-up'!$J:$J,0)))</f>
        <v>#N/A</v>
      </c>
      <c r="X943" s="140">
        <f t="shared" ca="1" si="97"/>
        <v>0</v>
      </c>
      <c r="AB943" s="178" t="str">
        <f t="shared" si="98"/>
        <v/>
      </c>
    </row>
    <row r="944" spans="1:28" s="140" customFormat="1" ht="20.25">
      <c r="A944" s="167"/>
      <c r="B944" s="168" t="str">
        <f>IF(LEN(A944)=0,"",INDEX('Smelter Look-up'!$A:$A,MATCH($A944,'Smelter Look-up'!$E:$E,0)))</f>
        <v/>
      </c>
      <c r="C944" s="169" t="str">
        <f>IF(LEN(A944)=0,"",INDEX('Smelter Look-up'!$C:$C,MATCH($A944,'Smelter Look-up'!$E:$E,0)))</f>
        <v/>
      </c>
      <c r="D944" s="170"/>
      <c r="E944" s="168" t="str">
        <f ca="1">IF(ISERROR($V944),"",OFFSET('Smelter Look-up'!$D$4,$V944-4,0)&amp;"")</f>
        <v/>
      </c>
      <c r="F944" s="168" t="str">
        <f ca="1">IF(ISERROR($V944),"",OFFSET('Smelter Look-up'!$E$4,$V944-4,0))</f>
        <v/>
      </c>
      <c r="G944" s="168" t="str">
        <f ca="1">IF(C944=$X$4,IF(ISERROR($V944),"Enter smelter details","RMI"),IF(ISERROR($V944),"",OFFSET('Smelter Look-up'!$F$4,$V944-4,0)))</f>
        <v/>
      </c>
      <c r="H944" s="171" t="str">
        <f ca="1">IF(ISERROR($V944),"",OFFSET('Smelter Look-up'!$G$4,$V944-4,0))</f>
        <v/>
      </c>
      <c r="I944" s="172" t="str">
        <f ca="1">IF(ISERROR($V944),"",OFFSET('Smelter Look-up'!$H$4,$V944-4,0))</f>
        <v/>
      </c>
      <c r="J944" s="172" t="str">
        <f ca="1">IF(ISERROR($V944),"",OFFSET('Smelter Look-up'!$I$4,$V944-4,0))</f>
        <v/>
      </c>
      <c r="K944" s="173"/>
      <c r="L944" s="173"/>
      <c r="M944" s="173"/>
      <c r="N944" s="173"/>
      <c r="O944" s="173"/>
      <c r="P944" s="174"/>
      <c r="Q944" s="175"/>
      <c r="R944" s="168" t="str">
        <f ca="1">IF(ISERROR($V944),"",OFFSET('Smelter Look-up'!$C$4,$V944-4,0)&amp;"")</f>
        <v/>
      </c>
      <c r="S944" s="167" t="str">
        <f t="shared" ca="1" si="96"/>
        <v/>
      </c>
      <c r="T944" s="167" t="str">
        <f ca="1">IF(B944="","",IF(ISERROR(MATCH($J944,SorP!$B$1:$B$6230,0)),"",INDIRECT("'SorP'!$A$"&amp;MATCH($J944,SorP!$B$1:$B$6230,0))))</f>
        <v/>
      </c>
      <c r="U944" s="176"/>
      <c r="V944" s="177" t="e">
        <f>IF(C944="",NA(),IF(OR(C944="Smelter not listed",C944="Smelter not yet identified"),MATCH($B944&amp;$D944,'Smelter Look-up'!$J:$J,0),MATCH($B944&amp;$C944,'Smelter Look-up'!$J:$J,0)))</f>
        <v>#N/A</v>
      </c>
      <c r="X944" s="140">
        <f t="shared" ca="1" si="97"/>
        <v>0</v>
      </c>
      <c r="AB944" s="178" t="str">
        <f t="shared" si="98"/>
        <v/>
      </c>
    </row>
    <row r="945" spans="1:28" s="140" customFormat="1" ht="20.25">
      <c r="A945" s="167"/>
      <c r="B945" s="168" t="str">
        <f>IF(LEN(A945)=0,"",INDEX('Smelter Look-up'!$A:$A,MATCH($A945,'Smelter Look-up'!$E:$E,0)))</f>
        <v/>
      </c>
      <c r="C945" s="169" t="str">
        <f>IF(LEN(A945)=0,"",INDEX('Smelter Look-up'!$C:$C,MATCH($A945,'Smelter Look-up'!$E:$E,0)))</f>
        <v/>
      </c>
      <c r="D945" s="170"/>
      <c r="E945" s="168" t="str">
        <f ca="1">IF(ISERROR($V945),"",OFFSET('Smelter Look-up'!$D$4,$V945-4,0)&amp;"")</f>
        <v/>
      </c>
      <c r="F945" s="168" t="str">
        <f ca="1">IF(ISERROR($V945),"",OFFSET('Smelter Look-up'!$E$4,$V945-4,0))</f>
        <v/>
      </c>
      <c r="G945" s="168" t="str">
        <f ca="1">IF(C945=$X$4,IF(ISERROR($V945),"Enter smelter details","RMI"),IF(ISERROR($V945),"",OFFSET('Smelter Look-up'!$F$4,$V945-4,0)))</f>
        <v/>
      </c>
      <c r="H945" s="171" t="str">
        <f ca="1">IF(ISERROR($V945),"",OFFSET('Smelter Look-up'!$G$4,$V945-4,0))</f>
        <v/>
      </c>
      <c r="I945" s="172" t="str">
        <f ca="1">IF(ISERROR($V945),"",OFFSET('Smelter Look-up'!$H$4,$V945-4,0))</f>
        <v/>
      </c>
      <c r="J945" s="172" t="str">
        <f ca="1">IF(ISERROR($V945),"",OFFSET('Smelter Look-up'!$I$4,$V945-4,0))</f>
        <v/>
      </c>
      <c r="K945" s="173"/>
      <c r="L945" s="173"/>
      <c r="M945" s="173"/>
      <c r="N945" s="173"/>
      <c r="O945" s="173"/>
      <c r="P945" s="174"/>
      <c r="Q945" s="175"/>
      <c r="R945" s="168" t="str">
        <f ca="1">IF(ISERROR($V945),"",OFFSET('Smelter Look-up'!$C$4,$V945-4,0)&amp;"")</f>
        <v/>
      </c>
      <c r="S945" s="167" t="str">
        <f t="shared" ca="1" si="96"/>
        <v/>
      </c>
      <c r="T945" s="167" t="str">
        <f ca="1">IF(B945="","",IF(ISERROR(MATCH($J945,SorP!$B$1:$B$6230,0)),"",INDIRECT("'SorP'!$A$"&amp;MATCH($J945,SorP!$B$1:$B$6230,0))))</f>
        <v/>
      </c>
      <c r="U945" s="176"/>
      <c r="V945" s="177" t="e">
        <f>IF(C945="",NA(),IF(OR(C945="Smelter not listed",C945="Smelter not yet identified"),MATCH($B945&amp;$D945,'Smelter Look-up'!$J:$J,0),MATCH($B945&amp;$C945,'Smelter Look-up'!$J:$J,0)))</f>
        <v>#N/A</v>
      </c>
      <c r="X945" s="140">
        <f t="shared" ca="1" si="97"/>
        <v>0</v>
      </c>
      <c r="AB945" s="178" t="str">
        <f t="shared" si="98"/>
        <v/>
      </c>
    </row>
    <row r="946" spans="1:28" s="140" customFormat="1" ht="20.25">
      <c r="A946" s="167"/>
      <c r="B946" s="168" t="str">
        <f>IF(LEN(A946)=0,"",INDEX('Smelter Look-up'!$A:$A,MATCH($A946,'Smelter Look-up'!$E:$E,0)))</f>
        <v/>
      </c>
      <c r="C946" s="169" t="str">
        <f>IF(LEN(A946)=0,"",INDEX('Smelter Look-up'!$C:$C,MATCH($A946,'Smelter Look-up'!$E:$E,0)))</f>
        <v/>
      </c>
      <c r="D946" s="170"/>
      <c r="E946" s="168" t="str">
        <f ca="1">IF(ISERROR($V946),"",OFFSET('Smelter Look-up'!$D$4,$V946-4,0)&amp;"")</f>
        <v/>
      </c>
      <c r="F946" s="168" t="str">
        <f ca="1">IF(ISERROR($V946),"",OFFSET('Smelter Look-up'!$E$4,$V946-4,0))</f>
        <v/>
      </c>
      <c r="G946" s="168" t="str">
        <f ca="1">IF(C946=$X$4,IF(ISERROR($V946),"Enter smelter details","RMI"),IF(ISERROR($V946),"",OFFSET('Smelter Look-up'!$F$4,$V946-4,0)))</f>
        <v/>
      </c>
      <c r="H946" s="171" t="str">
        <f ca="1">IF(ISERROR($V946),"",OFFSET('Smelter Look-up'!$G$4,$V946-4,0))</f>
        <v/>
      </c>
      <c r="I946" s="172" t="str">
        <f ca="1">IF(ISERROR($V946),"",OFFSET('Smelter Look-up'!$H$4,$V946-4,0))</f>
        <v/>
      </c>
      <c r="J946" s="172" t="str">
        <f ca="1">IF(ISERROR($V946),"",OFFSET('Smelter Look-up'!$I$4,$V946-4,0))</f>
        <v/>
      </c>
      <c r="K946" s="173"/>
      <c r="L946" s="173"/>
      <c r="M946" s="173"/>
      <c r="N946" s="173"/>
      <c r="O946" s="173"/>
      <c r="P946" s="174"/>
      <c r="Q946" s="175"/>
      <c r="R946" s="168" t="str">
        <f ca="1">IF(ISERROR($V946),"",OFFSET('Smelter Look-up'!$C$4,$V946-4,0)&amp;"")</f>
        <v/>
      </c>
      <c r="S946" s="167" t="str">
        <f t="shared" ca="1" si="96"/>
        <v/>
      </c>
      <c r="T946" s="167" t="str">
        <f ca="1">IF(B946="","",IF(ISERROR(MATCH($J946,SorP!$B$1:$B$6230,0)),"",INDIRECT("'SorP'!$A$"&amp;MATCH($J946,SorP!$B$1:$B$6230,0))))</f>
        <v/>
      </c>
      <c r="U946" s="176"/>
      <c r="V946" s="177" t="e">
        <f>IF(C946="",NA(),IF(OR(C946="Smelter not listed",C946="Smelter not yet identified"),MATCH($B946&amp;$D946,'Smelter Look-up'!$J:$J,0),MATCH($B946&amp;$C946,'Smelter Look-up'!$J:$J,0)))</f>
        <v>#N/A</v>
      </c>
      <c r="X946" s="140">
        <f t="shared" ca="1" si="97"/>
        <v>0</v>
      </c>
      <c r="AB946" s="178" t="str">
        <f t="shared" si="98"/>
        <v/>
      </c>
    </row>
    <row r="947" spans="1:28" s="140" customFormat="1" ht="20.25">
      <c r="A947" s="167"/>
      <c r="B947" s="168" t="str">
        <f>IF(LEN(A947)=0,"",INDEX('Smelter Look-up'!$A:$A,MATCH($A947,'Smelter Look-up'!$E:$E,0)))</f>
        <v/>
      </c>
      <c r="C947" s="169" t="str">
        <f>IF(LEN(A947)=0,"",INDEX('Smelter Look-up'!$C:$C,MATCH($A947,'Smelter Look-up'!$E:$E,0)))</f>
        <v/>
      </c>
      <c r="D947" s="170"/>
      <c r="E947" s="168" t="str">
        <f ca="1">IF(ISERROR($V947),"",OFFSET('Smelter Look-up'!$D$4,$V947-4,0)&amp;"")</f>
        <v/>
      </c>
      <c r="F947" s="168" t="str">
        <f ca="1">IF(ISERROR($V947),"",OFFSET('Smelter Look-up'!$E$4,$V947-4,0))</f>
        <v/>
      </c>
      <c r="G947" s="168" t="str">
        <f ca="1">IF(C947=$X$4,IF(ISERROR($V947),"Enter smelter details","RMI"),IF(ISERROR($V947),"",OFFSET('Smelter Look-up'!$F$4,$V947-4,0)))</f>
        <v/>
      </c>
      <c r="H947" s="171" t="str">
        <f ca="1">IF(ISERROR($V947),"",OFFSET('Smelter Look-up'!$G$4,$V947-4,0))</f>
        <v/>
      </c>
      <c r="I947" s="172" t="str">
        <f ca="1">IF(ISERROR($V947),"",OFFSET('Smelter Look-up'!$H$4,$V947-4,0))</f>
        <v/>
      </c>
      <c r="J947" s="172" t="str">
        <f ca="1">IF(ISERROR($V947),"",OFFSET('Smelter Look-up'!$I$4,$V947-4,0))</f>
        <v/>
      </c>
      <c r="K947" s="173"/>
      <c r="L947" s="173"/>
      <c r="M947" s="173"/>
      <c r="N947" s="173"/>
      <c r="O947" s="173"/>
      <c r="P947" s="174"/>
      <c r="Q947" s="175"/>
      <c r="R947" s="168" t="str">
        <f ca="1">IF(ISERROR($V947),"",OFFSET('Smelter Look-up'!$C$4,$V947-4,0)&amp;"")</f>
        <v/>
      </c>
      <c r="S947" s="167" t="str">
        <f t="shared" ca="1" si="96"/>
        <v/>
      </c>
      <c r="T947" s="167" t="str">
        <f ca="1">IF(B947="","",IF(ISERROR(MATCH($J947,SorP!$B$1:$B$6230,0)),"",INDIRECT("'SorP'!$A$"&amp;MATCH($J947,SorP!$B$1:$B$6230,0))))</f>
        <v/>
      </c>
      <c r="U947" s="176"/>
      <c r="V947" s="177" t="e">
        <f>IF(C947="",NA(),IF(OR(C947="Smelter not listed",C947="Smelter not yet identified"),MATCH($B947&amp;$D947,'Smelter Look-up'!$J:$J,0),MATCH($B947&amp;$C947,'Smelter Look-up'!$J:$J,0)))</f>
        <v>#N/A</v>
      </c>
      <c r="X947" s="140">
        <f t="shared" ca="1" si="97"/>
        <v>0</v>
      </c>
      <c r="AB947" s="178" t="str">
        <f t="shared" si="98"/>
        <v/>
      </c>
    </row>
    <row r="948" spans="1:28" s="140" customFormat="1" ht="20.25">
      <c r="A948" s="167"/>
      <c r="B948" s="168" t="str">
        <f>IF(LEN(A948)=0,"",INDEX('Smelter Look-up'!$A:$A,MATCH($A948,'Smelter Look-up'!$E:$E,0)))</f>
        <v/>
      </c>
      <c r="C948" s="169" t="str">
        <f>IF(LEN(A948)=0,"",INDEX('Smelter Look-up'!$C:$C,MATCH($A948,'Smelter Look-up'!$E:$E,0)))</f>
        <v/>
      </c>
      <c r="D948" s="170"/>
      <c r="E948" s="168" t="str">
        <f ca="1">IF(ISERROR($V948),"",OFFSET('Smelter Look-up'!$D$4,$V948-4,0)&amp;"")</f>
        <v/>
      </c>
      <c r="F948" s="168" t="str">
        <f ca="1">IF(ISERROR($V948),"",OFFSET('Smelter Look-up'!$E$4,$V948-4,0))</f>
        <v/>
      </c>
      <c r="G948" s="168" t="str">
        <f ca="1">IF(C948=$X$4,IF(ISERROR($V948),"Enter smelter details","RMI"),IF(ISERROR($V948),"",OFFSET('Smelter Look-up'!$F$4,$V948-4,0)))</f>
        <v/>
      </c>
      <c r="H948" s="171" t="str">
        <f ca="1">IF(ISERROR($V948),"",OFFSET('Smelter Look-up'!$G$4,$V948-4,0))</f>
        <v/>
      </c>
      <c r="I948" s="172" t="str">
        <f ca="1">IF(ISERROR($V948),"",OFFSET('Smelter Look-up'!$H$4,$V948-4,0))</f>
        <v/>
      </c>
      <c r="J948" s="172" t="str">
        <f ca="1">IF(ISERROR($V948),"",OFFSET('Smelter Look-up'!$I$4,$V948-4,0))</f>
        <v/>
      </c>
      <c r="K948" s="173"/>
      <c r="L948" s="173"/>
      <c r="M948" s="173"/>
      <c r="N948" s="173"/>
      <c r="O948" s="173"/>
      <c r="P948" s="174"/>
      <c r="Q948" s="175"/>
      <c r="R948" s="168" t="str">
        <f ca="1">IF(ISERROR($V948),"",OFFSET('Smelter Look-up'!$C$4,$V948-4,0)&amp;"")</f>
        <v/>
      </c>
      <c r="S948" s="167" t="str">
        <f t="shared" ca="1" si="96"/>
        <v/>
      </c>
      <c r="T948" s="167" t="str">
        <f ca="1">IF(B948="","",IF(ISERROR(MATCH($J948,SorP!$B$1:$B$6230,0)),"",INDIRECT("'SorP'!$A$"&amp;MATCH($J948,SorP!$B$1:$B$6230,0))))</f>
        <v/>
      </c>
      <c r="U948" s="176"/>
      <c r="V948" s="177" t="e">
        <f>IF(C948="",NA(),IF(OR(C948="Smelter not listed",C948="Smelter not yet identified"),MATCH($B948&amp;$D948,'Smelter Look-up'!$J:$J,0),MATCH($B948&amp;$C948,'Smelter Look-up'!$J:$J,0)))</f>
        <v>#N/A</v>
      </c>
      <c r="X948" s="140">
        <f t="shared" ca="1" si="97"/>
        <v>0</v>
      </c>
      <c r="AB948" s="178" t="str">
        <f t="shared" si="98"/>
        <v/>
      </c>
    </row>
    <row r="949" spans="1:28" s="140" customFormat="1" ht="20.25">
      <c r="A949" s="167"/>
      <c r="B949" s="168" t="str">
        <f>IF(LEN(A949)=0,"",INDEX('Smelter Look-up'!$A:$A,MATCH($A949,'Smelter Look-up'!$E:$E,0)))</f>
        <v/>
      </c>
      <c r="C949" s="169" t="str">
        <f>IF(LEN(A949)=0,"",INDEX('Smelter Look-up'!$C:$C,MATCH($A949,'Smelter Look-up'!$E:$E,0)))</f>
        <v/>
      </c>
      <c r="D949" s="170"/>
      <c r="E949" s="168" t="str">
        <f ca="1">IF(ISERROR($V949),"",OFFSET('Smelter Look-up'!$D$4,$V949-4,0)&amp;"")</f>
        <v/>
      </c>
      <c r="F949" s="168" t="str">
        <f ca="1">IF(ISERROR($V949),"",OFFSET('Smelter Look-up'!$E$4,$V949-4,0))</f>
        <v/>
      </c>
      <c r="G949" s="168" t="str">
        <f ca="1">IF(C949=$X$4,IF(ISERROR($V949),"Enter smelter details","RMI"),IF(ISERROR($V949),"",OFFSET('Smelter Look-up'!$F$4,$V949-4,0)))</f>
        <v/>
      </c>
      <c r="H949" s="171" t="str">
        <f ca="1">IF(ISERROR($V949),"",OFFSET('Smelter Look-up'!$G$4,$V949-4,0))</f>
        <v/>
      </c>
      <c r="I949" s="172" t="str">
        <f ca="1">IF(ISERROR($V949),"",OFFSET('Smelter Look-up'!$H$4,$V949-4,0))</f>
        <v/>
      </c>
      <c r="J949" s="172" t="str">
        <f ca="1">IF(ISERROR($V949),"",OFFSET('Smelter Look-up'!$I$4,$V949-4,0))</f>
        <v/>
      </c>
      <c r="K949" s="173"/>
      <c r="L949" s="173"/>
      <c r="M949" s="173"/>
      <c r="N949" s="173"/>
      <c r="O949" s="173"/>
      <c r="P949" s="174"/>
      <c r="Q949" s="175"/>
      <c r="R949" s="168" t="str">
        <f ca="1">IF(ISERROR($V949),"",OFFSET('Smelter Look-up'!$C$4,$V949-4,0)&amp;"")</f>
        <v/>
      </c>
      <c r="S949" s="167" t="str">
        <f t="shared" ca="1" si="96"/>
        <v/>
      </c>
      <c r="T949" s="167" t="str">
        <f ca="1">IF(B949="","",IF(ISERROR(MATCH($J949,SorP!$B$1:$B$6230,0)),"",INDIRECT("'SorP'!$A$"&amp;MATCH($J949,SorP!$B$1:$B$6230,0))))</f>
        <v/>
      </c>
      <c r="U949" s="176"/>
      <c r="V949" s="177" t="e">
        <f>IF(C949="",NA(),IF(OR(C949="Smelter not listed",C949="Smelter not yet identified"),MATCH($B949&amp;$D949,'Smelter Look-up'!$J:$J,0),MATCH($B949&amp;$C949,'Smelter Look-up'!$J:$J,0)))</f>
        <v>#N/A</v>
      </c>
      <c r="X949" s="140">
        <f t="shared" ca="1" si="97"/>
        <v>0</v>
      </c>
      <c r="AB949" s="178" t="str">
        <f t="shared" si="98"/>
        <v/>
      </c>
    </row>
    <row r="950" spans="1:28" s="140" customFormat="1" ht="20.25">
      <c r="A950" s="167"/>
      <c r="B950" s="168" t="str">
        <f>IF(LEN(A950)=0,"",INDEX('Smelter Look-up'!$A:$A,MATCH($A950,'Smelter Look-up'!$E:$E,0)))</f>
        <v/>
      </c>
      <c r="C950" s="169" t="str">
        <f>IF(LEN(A950)=0,"",INDEX('Smelter Look-up'!$C:$C,MATCH($A950,'Smelter Look-up'!$E:$E,0)))</f>
        <v/>
      </c>
      <c r="D950" s="170"/>
      <c r="E950" s="168" t="str">
        <f ca="1">IF(ISERROR($V950),"",OFFSET('Smelter Look-up'!$D$4,$V950-4,0)&amp;"")</f>
        <v/>
      </c>
      <c r="F950" s="168" t="str">
        <f ca="1">IF(ISERROR($V950),"",OFFSET('Smelter Look-up'!$E$4,$V950-4,0))</f>
        <v/>
      </c>
      <c r="G950" s="168" t="str">
        <f ca="1">IF(C950=$X$4,IF(ISERROR($V950),"Enter smelter details","RMI"),IF(ISERROR($V950),"",OFFSET('Smelter Look-up'!$F$4,$V950-4,0)))</f>
        <v/>
      </c>
      <c r="H950" s="171" t="str">
        <f ca="1">IF(ISERROR($V950),"",OFFSET('Smelter Look-up'!$G$4,$V950-4,0))</f>
        <v/>
      </c>
      <c r="I950" s="172" t="str">
        <f ca="1">IF(ISERROR($V950),"",OFFSET('Smelter Look-up'!$H$4,$V950-4,0))</f>
        <v/>
      </c>
      <c r="J950" s="172" t="str">
        <f ca="1">IF(ISERROR($V950),"",OFFSET('Smelter Look-up'!$I$4,$V950-4,0))</f>
        <v/>
      </c>
      <c r="K950" s="173"/>
      <c r="L950" s="173"/>
      <c r="M950" s="173"/>
      <c r="N950" s="173"/>
      <c r="O950" s="173"/>
      <c r="P950" s="174"/>
      <c r="Q950" s="175"/>
      <c r="R950" s="168" t="str">
        <f ca="1">IF(ISERROR($V950),"",OFFSET('Smelter Look-up'!$C$4,$V950-4,0)&amp;"")</f>
        <v/>
      </c>
      <c r="S950" s="167" t="str">
        <f t="shared" ca="1" si="96"/>
        <v/>
      </c>
      <c r="T950" s="167" t="str">
        <f ca="1">IF(B950="","",IF(ISERROR(MATCH($J950,SorP!$B$1:$B$6230,0)),"",INDIRECT("'SorP'!$A$"&amp;MATCH($J950,SorP!$B$1:$B$6230,0))))</f>
        <v/>
      </c>
      <c r="U950" s="176"/>
      <c r="V950" s="177" t="e">
        <f>IF(C950="",NA(),IF(OR(C950="Smelter not listed",C950="Smelter not yet identified"),MATCH($B950&amp;$D950,'Smelter Look-up'!$J:$J,0),MATCH($B950&amp;$C950,'Smelter Look-up'!$J:$J,0)))</f>
        <v>#N/A</v>
      </c>
      <c r="X950" s="140">
        <f t="shared" ca="1" si="97"/>
        <v>0</v>
      </c>
      <c r="AB950" s="178" t="str">
        <f t="shared" si="98"/>
        <v/>
      </c>
    </row>
    <row r="951" spans="1:28" s="140" customFormat="1" ht="20.25">
      <c r="A951" s="167"/>
      <c r="B951" s="168" t="str">
        <f>IF(LEN(A951)=0,"",INDEX('Smelter Look-up'!$A:$A,MATCH($A951,'Smelter Look-up'!$E:$E,0)))</f>
        <v/>
      </c>
      <c r="C951" s="169" t="str">
        <f>IF(LEN(A951)=0,"",INDEX('Smelter Look-up'!$C:$C,MATCH($A951,'Smelter Look-up'!$E:$E,0)))</f>
        <v/>
      </c>
      <c r="D951" s="170"/>
      <c r="E951" s="168" t="str">
        <f ca="1">IF(ISERROR($V951),"",OFFSET('Smelter Look-up'!$D$4,$V951-4,0)&amp;"")</f>
        <v/>
      </c>
      <c r="F951" s="168" t="str">
        <f ca="1">IF(ISERROR($V951),"",OFFSET('Smelter Look-up'!$E$4,$V951-4,0))</f>
        <v/>
      </c>
      <c r="G951" s="168" t="str">
        <f ca="1">IF(C951=$X$4,IF(ISERROR($V951),"Enter smelter details","RMI"),IF(ISERROR($V951),"",OFFSET('Smelter Look-up'!$F$4,$V951-4,0)))</f>
        <v/>
      </c>
      <c r="H951" s="171" t="str">
        <f ca="1">IF(ISERROR($V951),"",OFFSET('Smelter Look-up'!$G$4,$V951-4,0))</f>
        <v/>
      </c>
      <c r="I951" s="172" t="str">
        <f ca="1">IF(ISERROR($V951),"",OFFSET('Smelter Look-up'!$H$4,$V951-4,0))</f>
        <v/>
      </c>
      <c r="J951" s="172" t="str">
        <f ca="1">IF(ISERROR($V951),"",OFFSET('Smelter Look-up'!$I$4,$V951-4,0))</f>
        <v/>
      </c>
      <c r="K951" s="173"/>
      <c r="L951" s="173"/>
      <c r="M951" s="173"/>
      <c r="N951" s="173"/>
      <c r="O951" s="173"/>
      <c r="P951" s="174"/>
      <c r="Q951" s="175"/>
      <c r="R951" s="168" t="str">
        <f ca="1">IF(ISERROR($V951),"",OFFSET('Smelter Look-up'!$C$4,$V951-4,0)&amp;"")</f>
        <v/>
      </c>
      <c r="S951" s="167" t="str">
        <f t="shared" ca="1" si="96"/>
        <v/>
      </c>
      <c r="T951" s="167" t="str">
        <f ca="1">IF(B951="","",IF(ISERROR(MATCH($J951,SorP!$B$1:$B$6230,0)),"",INDIRECT("'SorP'!$A$"&amp;MATCH($J951,SorP!$B$1:$B$6230,0))))</f>
        <v/>
      </c>
      <c r="U951" s="176"/>
      <c r="V951" s="177" t="e">
        <f>IF(C951="",NA(),IF(OR(C951="Smelter not listed",C951="Smelter not yet identified"),MATCH($B951&amp;$D951,'Smelter Look-up'!$J:$J,0),MATCH($B951&amp;$C951,'Smelter Look-up'!$J:$J,0)))</f>
        <v>#N/A</v>
      </c>
      <c r="X951" s="140">
        <f t="shared" ca="1" si="97"/>
        <v>0</v>
      </c>
      <c r="AB951" s="178" t="str">
        <f t="shared" si="98"/>
        <v/>
      </c>
    </row>
    <row r="952" spans="1:28" s="140" customFormat="1" ht="20.25">
      <c r="A952" s="167"/>
      <c r="B952" s="168" t="str">
        <f>IF(LEN(A952)=0,"",INDEX('Smelter Look-up'!$A:$A,MATCH($A952,'Smelter Look-up'!$E:$E,0)))</f>
        <v/>
      </c>
      <c r="C952" s="169" t="str">
        <f>IF(LEN(A952)=0,"",INDEX('Smelter Look-up'!$C:$C,MATCH($A952,'Smelter Look-up'!$E:$E,0)))</f>
        <v/>
      </c>
      <c r="D952" s="170"/>
      <c r="E952" s="168" t="str">
        <f ca="1">IF(ISERROR($V952),"",OFFSET('Smelter Look-up'!$D$4,$V952-4,0)&amp;"")</f>
        <v/>
      </c>
      <c r="F952" s="168" t="str">
        <f ca="1">IF(ISERROR($V952),"",OFFSET('Smelter Look-up'!$E$4,$V952-4,0))</f>
        <v/>
      </c>
      <c r="G952" s="168" t="str">
        <f ca="1">IF(C952=$X$4,IF(ISERROR($V952),"Enter smelter details","RMI"),IF(ISERROR($V952),"",OFFSET('Smelter Look-up'!$F$4,$V952-4,0)))</f>
        <v/>
      </c>
      <c r="H952" s="171" t="str">
        <f ca="1">IF(ISERROR($V952),"",OFFSET('Smelter Look-up'!$G$4,$V952-4,0))</f>
        <v/>
      </c>
      <c r="I952" s="172" t="str">
        <f ca="1">IF(ISERROR($V952),"",OFFSET('Smelter Look-up'!$H$4,$V952-4,0))</f>
        <v/>
      </c>
      <c r="J952" s="172" t="str">
        <f ca="1">IF(ISERROR($V952),"",OFFSET('Smelter Look-up'!$I$4,$V952-4,0))</f>
        <v/>
      </c>
      <c r="K952" s="173"/>
      <c r="L952" s="173"/>
      <c r="M952" s="173"/>
      <c r="N952" s="173"/>
      <c r="O952" s="173"/>
      <c r="P952" s="174"/>
      <c r="Q952" s="175"/>
      <c r="R952" s="168" t="str">
        <f ca="1">IF(ISERROR($V952),"",OFFSET('Smelter Look-up'!$C$4,$V952-4,0)&amp;"")</f>
        <v/>
      </c>
      <c r="S952" s="167" t="str">
        <f t="shared" ca="1" si="96"/>
        <v/>
      </c>
      <c r="T952" s="167" t="str">
        <f ca="1">IF(B952="","",IF(ISERROR(MATCH($J952,SorP!$B$1:$B$6230,0)),"",INDIRECT("'SorP'!$A$"&amp;MATCH($J952,SorP!$B$1:$B$6230,0))))</f>
        <v/>
      </c>
      <c r="U952" s="176"/>
      <c r="V952" s="177" t="e">
        <f>IF(C952="",NA(),IF(OR(C952="Smelter not listed",C952="Smelter not yet identified"),MATCH($B952&amp;$D952,'Smelter Look-up'!$J:$J,0),MATCH($B952&amp;$C952,'Smelter Look-up'!$J:$J,0)))</f>
        <v>#N/A</v>
      </c>
      <c r="X952" s="140">
        <f t="shared" ca="1" si="97"/>
        <v>0</v>
      </c>
      <c r="AB952" s="178" t="str">
        <f t="shared" si="98"/>
        <v/>
      </c>
    </row>
    <row r="953" spans="1:28" s="140" customFormat="1" ht="20.25">
      <c r="A953" s="167"/>
      <c r="B953" s="168" t="str">
        <f>IF(LEN(A953)=0,"",INDEX('Smelter Look-up'!$A:$A,MATCH($A953,'Smelter Look-up'!$E:$E,0)))</f>
        <v/>
      </c>
      <c r="C953" s="169" t="str">
        <f>IF(LEN(A953)=0,"",INDEX('Smelter Look-up'!$C:$C,MATCH($A953,'Smelter Look-up'!$E:$E,0)))</f>
        <v/>
      </c>
      <c r="D953" s="170"/>
      <c r="E953" s="168" t="str">
        <f ca="1">IF(ISERROR($V953),"",OFFSET('Smelter Look-up'!$D$4,$V953-4,0)&amp;"")</f>
        <v/>
      </c>
      <c r="F953" s="168" t="str">
        <f ca="1">IF(ISERROR($V953),"",OFFSET('Smelter Look-up'!$E$4,$V953-4,0))</f>
        <v/>
      </c>
      <c r="G953" s="168" t="str">
        <f ca="1">IF(C953=$X$4,IF(ISERROR($V953),"Enter smelter details","RMI"),IF(ISERROR($V953),"",OFFSET('Smelter Look-up'!$F$4,$V953-4,0)))</f>
        <v/>
      </c>
      <c r="H953" s="171" t="str">
        <f ca="1">IF(ISERROR($V953),"",OFFSET('Smelter Look-up'!$G$4,$V953-4,0))</f>
        <v/>
      </c>
      <c r="I953" s="172" t="str">
        <f ca="1">IF(ISERROR($V953),"",OFFSET('Smelter Look-up'!$H$4,$V953-4,0))</f>
        <v/>
      </c>
      <c r="J953" s="172" t="str">
        <f ca="1">IF(ISERROR($V953),"",OFFSET('Smelter Look-up'!$I$4,$V953-4,0))</f>
        <v/>
      </c>
      <c r="K953" s="173"/>
      <c r="L953" s="173"/>
      <c r="M953" s="173"/>
      <c r="N953" s="173"/>
      <c r="O953" s="173"/>
      <c r="P953" s="174"/>
      <c r="Q953" s="175"/>
      <c r="R953" s="168" t="str">
        <f ca="1">IF(ISERROR($V953),"",OFFSET('Smelter Look-up'!$C$4,$V953-4,0)&amp;"")</f>
        <v/>
      </c>
      <c r="S953" s="167" t="str">
        <f t="shared" ca="1" si="96"/>
        <v/>
      </c>
      <c r="T953" s="167" t="str">
        <f ca="1">IF(B953="","",IF(ISERROR(MATCH($J953,SorP!$B$1:$B$6230,0)),"",INDIRECT("'SorP'!$A$"&amp;MATCH($J953,SorP!$B$1:$B$6230,0))))</f>
        <v/>
      </c>
      <c r="U953" s="176"/>
      <c r="V953" s="177" t="e">
        <f>IF(C953="",NA(),IF(OR(C953="Smelter not listed",C953="Smelter not yet identified"),MATCH($B953&amp;$D953,'Smelter Look-up'!$J:$J,0),MATCH($B953&amp;$C953,'Smelter Look-up'!$J:$J,0)))</f>
        <v>#N/A</v>
      </c>
      <c r="X953" s="140">
        <f t="shared" ca="1" si="97"/>
        <v>0</v>
      </c>
      <c r="AB953" s="178" t="str">
        <f t="shared" si="98"/>
        <v/>
      </c>
    </row>
    <row r="954" spans="1:28" s="140" customFormat="1" ht="20.25">
      <c r="A954" s="167"/>
      <c r="B954" s="168" t="str">
        <f>IF(LEN(A954)=0,"",INDEX('Smelter Look-up'!$A:$A,MATCH($A954,'Smelter Look-up'!$E:$E,0)))</f>
        <v/>
      </c>
      <c r="C954" s="169" t="str">
        <f>IF(LEN(A954)=0,"",INDEX('Smelter Look-up'!$C:$C,MATCH($A954,'Smelter Look-up'!$E:$E,0)))</f>
        <v/>
      </c>
      <c r="D954" s="170"/>
      <c r="E954" s="168" t="str">
        <f ca="1">IF(ISERROR($V954),"",OFFSET('Smelter Look-up'!$D$4,$V954-4,0)&amp;"")</f>
        <v/>
      </c>
      <c r="F954" s="168" t="str">
        <f ca="1">IF(ISERROR($V954),"",OFFSET('Smelter Look-up'!$E$4,$V954-4,0))</f>
        <v/>
      </c>
      <c r="G954" s="168" t="str">
        <f ca="1">IF(C954=$X$4,IF(ISERROR($V954),"Enter smelter details","RMI"),IF(ISERROR($V954),"",OFFSET('Smelter Look-up'!$F$4,$V954-4,0)))</f>
        <v/>
      </c>
      <c r="H954" s="171" t="str">
        <f ca="1">IF(ISERROR($V954),"",OFFSET('Smelter Look-up'!$G$4,$V954-4,0))</f>
        <v/>
      </c>
      <c r="I954" s="172" t="str">
        <f ca="1">IF(ISERROR($V954),"",OFFSET('Smelter Look-up'!$H$4,$V954-4,0))</f>
        <v/>
      </c>
      <c r="J954" s="172" t="str">
        <f ca="1">IF(ISERROR($V954),"",OFFSET('Smelter Look-up'!$I$4,$V954-4,0))</f>
        <v/>
      </c>
      <c r="K954" s="173"/>
      <c r="L954" s="173"/>
      <c r="M954" s="173"/>
      <c r="N954" s="173"/>
      <c r="O954" s="173"/>
      <c r="P954" s="174"/>
      <c r="Q954" s="175"/>
      <c r="R954" s="168" t="str">
        <f ca="1">IF(ISERROR($V954),"",OFFSET('Smelter Look-up'!$C$4,$V954-4,0)&amp;"")</f>
        <v/>
      </c>
      <c r="S954" s="167" t="str">
        <f t="shared" ca="1" si="96"/>
        <v/>
      </c>
      <c r="T954" s="167" t="str">
        <f ca="1">IF(B954="","",IF(ISERROR(MATCH($J954,SorP!$B$1:$B$6230,0)),"",INDIRECT("'SorP'!$A$"&amp;MATCH($J954,SorP!$B$1:$B$6230,0))))</f>
        <v/>
      </c>
      <c r="U954" s="176"/>
      <c r="V954" s="177" t="e">
        <f>IF(C954="",NA(),IF(OR(C954="Smelter not listed",C954="Smelter not yet identified"),MATCH($B954&amp;$D954,'Smelter Look-up'!$J:$J,0),MATCH($B954&amp;$C954,'Smelter Look-up'!$J:$J,0)))</f>
        <v>#N/A</v>
      </c>
      <c r="X954" s="140">
        <f t="shared" ca="1" si="97"/>
        <v>0</v>
      </c>
      <c r="AB954" s="178" t="str">
        <f t="shared" si="98"/>
        <v/>
      </c>
    </row>
    <row r="955" spans="1:28" s="140" customFormat="1" ht="20.25">
      <c r="A955" s="167"/>
      <c r="B955" s="168" t="str">
        <f>IF(LEN(A955)=0,"",INDEX('Smelter Look-up'!$A:$A,MATCH($A955,'Smelter Look-up'!$E:$E,0)))</f>
        <v/>
      </c>
      <c r="C955" s="169" t="str">
        <f>IF(LEN(A955)=0,"",INDEX('Smelter Look-up'!$C:$C,MATCH($A955,'Smelter Look-up'!$E:$E,0)))</f>
        <v/>
      </c>
      <c r="D955" s="170"/>
      <c r="E955" s="168" t="str">
        <f ca="1">IF(ISERROR($V955),"",OFFSET('Smelter Look-up'!$D$4,$V955-4,0)&amp;"")</f>
        <v/>
      </c>
      <c r="F955" s="168" t="str">
        <f ca="1">IF(ISERROR($V955),"",OFFSET('Smelter Look-up'!$E$4,$V955-4,0))</f>
        <v/>
      </c>
      <c r="G955" s="168" t="str">
        <f ca="1">IF(C955=$X$4,IF(ISERROR($V955),"Enter smelter details","RMI"),IF(ISERROR($V955),"",OFFSET('Smelter Look-up'!$F$4,$V955-4,0)))</f>
        <v/>
      </c>
      <c r="H955" s="171" t="str">
        <f ca="1">IF(ISERROR($V955),"",OFFSET('Smelter Look-up'!$G$4,$V955-4,0))</f>
        <v/>
      </c>
      <c r="I955" s="172" t="str">
        <f ca="1">IF(ISERROR($V955),"",OFFSET('Smelter Look-up'!$H$4,$V955-4,0))</f>
        <v/>
      </c>
      <c r="J955" s="172" t="str">
        <f ca="1">IF(ISERROR($V955),"",OFFSET('Smelter Look-up'!$I$4,$V955-4,0))</f>
        <v/>
      </c>
      <c r="K955" s="173"/>
      <c r="L955" s="173"/>
      <c r="M955" s="173"/>
      <c r="N955" s="173"/>
      <c r="O955" s="173"/>
      <c r="P955" s="174"/>
      <c r="Q955" s="175"/>
      <c r="R955" s="168" t="str">
        <f ca="1">IF(ISERROR($V955),"",OFFSET('Smelter Look-up'!$C$4,$V955-4,0)&amp;"")</f>
        <v/>
      </c>
      <c r="S955" s="167" t="str">
        <f t="shared" ca="1" si="96"/>
        <v/>
      </c>
      <c r="T955" s="167" t="str">
        <f ca="1">IF(B955="","",IF(ISERROR(MATCH($J955,SorP!$B$1:$B$6230,0)),"",INDIRECT("'SorP'!$A$"&amp;MATCH($J955,SorP!$B$1:$B$6230,0))))</f>
        <v/>
      </c>
      <c r="U955" s="176"/>
      <c r="V955" s="177" t="e">
        <f>IF(C955="",NA(),IF(OR(C955="Smelter not listed",C955="Smelter not yet identified"),MATCH($B955&amp;$D955,'Smelter Look-up'!$J:$J,0),MATCH($B955&amp;$C955,'Smelter Look-up'!$J:$J,0)))</f>
        <v>#N/A</v>
      </c>
      <c r="X955" s="140">
        <f t="shared" ca="1" si="97"/>
        <v>0</v>
      </c>
      <c r="AB955" s="178" t="str">
        <f t="shared" si="98"/>
        <v/>
      </c>
    </row>
    <row r="956" spans="1:28" s="140" customFormat="1" ht="20.25">
      <c r="A956" s="167"/>
      <c r="B956" s="168" t="str">
        <f>IF(LEN(A956)=0,"",INDEX('Smelter Look-up'!$A:$A,MATCH($A956,'Smelter Look-up'!$E:$E,0)))</f>
        <v/>
      </c>
      <c r="C956" s="169" t="str">
        <f>IF(LEN(A956)=0,"",INDEX('Smelter Look-up'!$C:$C,MATCH($A956,'Smelter Look-up'!$E:$E,0)))</f>
        <v/>
      </c>
      <c r="D956" s="170"/>
      <c r="E956" s="168" t="str">
        <f ca="1">IF(ISERROR($V956),"",OFFSET('Smelter Look-up'!$D$4,$V956-4,0)&amp;"")</f>
        <v/>
      </c>
      <c r="F956" s="168" t="str">
        <f ca="1">IF(ISERROR($V956),"",OFFSET('Smelter Look-up'!$E$4,$V956-4,0))</f>
        <v/>
      </c>
      <c r="G956" s="168" t="str">
        <f ca="1">IF(C956=$X$4,IF(ISERROR($V956),"Enter smelter details","RMI"),IF(ISERROR($V956),"",OFFSET('Smelter Look-up'!$F$4,$V956-4,0)))</f>
        <v/>
      </c>
      <c r="H956" s="171" t="str">
        <f ca="1">IF(ISERROR($V956),"",OFFSET('Smelter Look-up'!$G$4,$V956-4,0))</f>
        <v/>
      </c>
      <c r="I956" s="172" t="str">
        <f ca="1">IF(ISERROR($V956),"",OFFSET('Smelter Look-up'!$H$4,$V956-4,0))</f>
        <v/>
      </c>
      <c r="J956" s="172" t="str">
        <f ca="1">IF(ISERROR($V956),"",OFFSET('Smelter Look-up'!$I$4,$V956-4,0))</f>
        <v/>
      </c>
      <c r="K956" s="173"/>
      <c r="L956" s="173"/>
      <c r="M956" s="173"/>
      <c r="N956" s="173"/>
      <c r="O956" s="173"/>
      <c r="P956" s="174"/>
      <c r="Q956" s="175"/>
      <c r="R956" s="168" t="str">
        <f ca="1">IF(ISERROR($V956),"",OFFSET('Smelter Look-up'!$C$4,$V956-4,0)&amp;"")</f>
        <v/>
      </c>
      <c r="S956" s="167" t="str">
        <f t="shared" ca="1" si="96"/>
        <v/>
      </c>
      <c r="T956" s="167" t="str">
        <f ca="1">IF(B956="","",IF(ISERROR(MATCH($J956,SorP!$B$1:$B$6230,0)),"",INDIRECT("'SorP'!$A$"&amp;MATCH($J956,SorP!$B$1:$B$6230,0))))</f>
        <v/>
      </c>
      <c r="U956" s="176"/>
      <c r="V956" s="177" t="e">
        <f>IF(C956="",NA(),IF(OR(C956="Smelter not listed",C956="Smelter not yet identified"),MATCH($B956&amp;$D956,'Smelter Look-up'!$J:$J,0),MATCH($B956&amp;$C956,'Smelter Look-up'!$J:$J,0)))</f>
        <v>#N/A</v>
      </c>
      <c r="X956" s="140">
        <f t="shared" ca="1" si="97"/>
        <v>0</v>
      </c>
      <c r="AB956" s="178" t="str">
        <f t="shared" si="98"/>
        <v/>
      </c>
    </row>
    <row r="957" spans="1:28" s="140" customFormat="1" ht="20.25">
      <c r="A957" s="167"/>
      <c r="B957" s="168" t="str">
        <f>IF(LEN(A957)=0,"",INDEX('Smelter Look-up'!$A:$A,MATCH($A957,'Smelter Look-up'!$E:$E,0)))</f>
        <v/>
      </c>
      <c r="C957" s="169" t="str">
        <f>IF(LEN(A957)=0,"",INDEX('Smelter Look-up'!$C:$C,MATCH($A957,'Smelter Look-up'!$E:$E,0)))</f>
        <v/>
      </c>
      <c r="D957" s="170"/>
      <c r="E957" s="168" t="str">
        <f ca="1">IF(ISERROR($V957),"",OFFSET('Smelter Look-up'!$D$4,$V957-4,0)&amp;"")</f>
        <v/>
      </c>
      <c r="F957" s="168" t="str">
        <f ca="1">IF(ISERROR($V957),"",OFFSET('Smelter Look-up'!$E$4,$V957-4,0))</f>
        <v/>
      </c>
      <c r="G957" s="168" t="str">
        <f ca="1">IF(C957=$X$4,IF(ISERROR($V957),"Enter smelter details","RMI"),IF(ISERROR($V957),"",OFFSET('Smelter Look-up'!$F$4,$V957-4,0)))</f>
        <v/>
      </c>
      <c r="H957" s="171" t="str">
        <f ca="1">IF(ISERROR($V957),"",OFFSET('Smelter Look-up'!$G$4,$V957-4,0))</f>
        <v/>
      </c>
      <c r="I957" s="172" t="str">
        <f ca="1">IF(ISERROR($V957),"",OFFSET('Smelter Look-up'!$H$4,$V957-4,0))</f>
        <v/>
      </c>
      <c r="J957" s="172" t="str">
        <f ca="1">IF(ISERROR($V957),"",OFFSET('Smelter Look-up'!$I$4,$V957-4,0))</f>
        <v/>
      </c>
      <c r="K957" s="173"/>
      <c r="L957" s="173"/>
      <c r="M957" s="173"/>
      <c r="N957" s="173"/>
      <c r="O957" s="173"/>
      <c r="P957" s="174"/>
      <c r="Q957" s="175"/>
      <c r="R957" s="168" t="str">
        <f ca="1">IF(ISERROR($V957),"",OFFSET('Smelter Look-up'!$C$4,$V957-4,0)&amp;"")</f>
        <v/>
      </c>
      <c r="S957" s="167" t="str">
        <f t="shared" ca="1" si="96"/>
        <v/>
      </c>
      <c r="T957" s="167" t="str">
        <f ca="1">IF(B957="","",IF(ISERROR(MATCH($J957,SorP!$B$1:$B$6230,0)),"",INDIRECT("'SorP'!$A$"&amp;MATCH($J957,SorP!$B$1:$B$6230,0))))</f>
        <v/>
      </c>
      <c r="U957" s="176"/>
      <c r="V957" s="177" t="e">
        <f>IF(C957="",NA(),IF(OR(C957="Smelter not listed",C957="Smelter not yet identified"),MATCH($B957&amp;$D957,'Smelter Look-up'!$J:$J,0),MATCH($B957&amp;$C957,'Smelter Look-up'!$J:$J,0)))</f>
        <v>#N/A</v>
      </c>
      <c r="X957" s="140">
        <f t="shared" ca="1" si="97"/>
        <v>0</v>
      </c>
      <c r="AB957" s="178" t="str">
        <f t="shared" si="98"/>
        <v/>
      </c>
    </row>
    <row r="958" spans="1:28" s="140" customFormat="1" ht="20.25">
      <c r="A958" s="167"/>
      <c r="B958" s="168" t="str">
        <f>IF(LEN(A958)=0,"",INDEX('Smelter Look-up'!$A:$A,MATCH($A958,'Smelter Look-up'!$E:$E,0)))</f>
        <v/>
      </c>
      <c r="C958" s="169" t="str">
        <f>IF(LEN(A958)=0,"",INDEX('Smelter Look-up'!$C:$C,MATCH($A958,'Smelter Look-up'!$E:$E,0)))</f>
        <v/>
      </c>
      <c r="D958" s="170"/>
      <c r="E958" s="168" t="str">
        <f ca="1">IF(ISERROR($V958),"",OFFSET('Smelter Look-up'!$D$4,$V958-4,0)&amp;"")</f>
        <v/>
      </c>
      <c r="F958" s="168" t="str">
        <f ca="1">IF(ISERROR($V958),"",OFFSET('Smelter Look-up'!$E$4,$V958-4,0))</f>
        <v/>
      </c>
      <c r="G958" s="168" t="str">
        <f ca="1">IF(C958=$X$4,IF(ISERROR($V958),"Enter smelter details","RMI"),IF(ISERROR($V958),"",OFFSET('Smelter Look-up'!$F$4,$V958-4,0)))</f>
        <v/>
      </c>
      <c r="H958" s="171" t="str">
        <f ca="1">IF(ISERROR($V958),"",OFFSET('Smelter Look-up'!$G$4,$V958-4,0))</f>
        <v/>
      </c>
      <c r="I958" s="172" t="str">
        <f ca="1">IF(ISERROR($V958),"",OFFSET('Smelter Look-up'!$H$4,$V958-4,0))</f>
        <v/>
      </c>
      <c r="J958" s="172" t="str">
        <f ca="1">IF(ISERROR($V958),"",OFFSET('Smelter Look-up'!$I$4,$V958-4,0))</f>
        <v/>
      </c>
      <c r="K958" s="173"/>
      <c r="L958" s="173"/>
      <c r="M958" s="173"/>
      <c r="N958" s="173"/>
      <c r="O958" s="173"/>
      <c r="P958" s="174"/>
      <c r="Q958" s="175"/>
      <c r="R958" s="168" t="str">
        <f ca="1">IF(ISERROR($V958),"",OFFSET('Smelter Look-up'!$C$4,$V958-4,0)&amp;"")</f>
        <v/>
      </c>
      <c r="S958" s="167" t="str">
        <f t="shared" ca="1" si="96"/>
        <v/>
      </c>
      <c r="T958" s="167" t="str">
        <f ca="1">IF(B958="","",IF(ISERROR(MATCH($J958,SorP!$B$1:$B$6230,0)),"",INDIRECT("'SorP'!$A$"&amp;MATCH($J958,SorP!$B$1:$B$6230,0))))</f>
        <v/>
      </c>
      <c r="U958" s="176"/>
      <c r="V958" s="177" t="e">
        <f>IF(C958="",NA(),IF(OR(C958="Smelter not listed",C958="Smelter not yet identified"),MATCH($B958&amp;$D958,'Smelter Look-up'!$J:$J,0),MATCH($B958&amp;$C958,'Smelter Look-up'!$J:$J,0)))</f>
        <v>#N/A</v>
      </c>
      <c r="X958" s="140">
        <f t="shared" ca="1" si="97"/>
        <v>0</v>
      </c>
      <c r="AB958" s="178" t="str">
        <f t="shared" si="98"/>
        <v/>
      </c>
    </row>
    <row r="959" spans="1:28" s="140" customFormat="1" ht="20.25">
      <c r="A959" s="167"/>
      <c r="B959" s="168" t="str">
        <f>IF(LEN(A959)=0,"",INDEX('Smelter Look-up'!$A:$A,MATCH($A959,'Smelter Look-up'!$E:$E,0)))</f>
        <v/>
      </c>
      <c r="C959" s="169" t="str">
        <f>IF(LEN(A959)=0,"",INDEX('Smelter Look-up'!$C:$C,MATCH($A959,'Smelter Look-up'!$E:$E,0)))</f>
        <v/>
      </c>
      <c r="D959" s="170"/>
      <c r="E959" s="168" t="str">
        <f ca="1">IF(ISERROR($V959),"",OFFSET('Smelter Look-up'!$D$4,$V959-4,0)&amp;"")</f>
        <v/>
      </c>
      <c r="F959" s="168" t="str">
        <f ca="1">IF(ISERROR($V959),"",OFFSET('Smelter Look-up'!$E$4,$V959-4,0))</f>
        <v/>
      </c>
      <c r="G959" s="168" t="str">
        <f ca="1">IF(C959=$X$4,IF(ISERROR($V959),"Enter smelter details","RMI"),IF(ISERROR($V959),"",OFFSET('Smelter Look-up'!$F$4,$V959-4,0)))</f>
        <v/>
      </c>
      <c r="H959" s="171" t="str">
        <f ca="1">IF(ISERROR($V959),"",OFFSET('Smelter Look-up'!$G$4,$V959-4,0))</f>
        <v/>
      </c>
      <c r="I959" s="172" t="str">
        <f ca="1">IF(ISERROR($V959),"",OFFSET('Smelter Look-up'!$H$4,$V959-4,0))</f>
        <v/>
      </c>
      <c r="J959" s="172" t="str">
        <f ca="1">IF(ISERROR($V959),"",OFFSET('Smelter Look-up'!$I$4,$V959-4,0))</f>
        <v/>
      </c>
      <c r="K959" s="173"/>
      <c r="L959" s="173"/>
      <c r="M959" s="173"/>
      <c r="N959" s="173"/>
      <c r="O959" s="173"/>
      <c r="P959" s="174"/>
      <c r="Q959" s="175"/>
      <c r="R959" s="168" t="str">
        <f ca="1">IF(ISERROR($V959),"",OFFSET('Smelter Look-up'!$C$4,$V959-4,0)&amp;"")</f>
        <v/>
      </c>
      <c r="S959" s="167" t="str">
        <f t="shared" ca="1" si="96"/>
        <v/>
      </c>
      <c r="T959" s="167" t="str">
        <f ca="1">IF(B959="","",IF(ISERROR(MATCH($J959,SorP!$B$1:$B$6230,0)),"",INDIRECT("'SorP'!$A$"&amp;MATCH($J959,SorP!$B$1:$B$6230,0))))</f>
        <v/>
      </c>
      <c r="U959" s="176"/>
      <c r="V959" s="177" t="e">
        <f>IF(C959="",NA(),IF(OR(C959="Smelter not listed",C959="Smelter not yet identified"),MATCH($B959&amp;$D959,'Smelter Look-up'!$J:$J,0),MATCH($B959&amp;$C959,'Smelter Look-up'!$J:$J,0)))</f>
        <v>#N/A</v>
      </c>
      <c r="X959" s="140">
        <f t="shared" ca="1" si="97"/>
        <v>0</v>
      </c>
      <c r="AB959" s="178" t="str">
        <f t="shared" si="98"/>
        <v/>
      </c>
    </row>
    <row r="960" spans="1:28" s="140" customFormat="1" ht="20.25">
      <c r="A960" s="167"/>
      <c r="B960" s="168" t="str">
        <f>IF(LEN(A960)=0,"",INDEX('Smelter Look-up'!$A:$A,MATCH($A960,'Smelter Look-up'!$E:$E,0)))</f>
        <v/>
      </c>
      <c r="C960" s="169" t="str">
        <f>IF(LEN(A960)=0,"",INDEX('Smelter Look-up'!$C:$C,MATCH($A960,'Smelter Look-up'!$E:$E,0)))</f>
        <v/>
      </c>
      <c r="D960" s="170"/>
      <c r="E960" s="168" t="str">
        <f ca="1">IF(ISERROR($V960),"",OFFSET('Smelter Look-up'!$D$4,$V960-4,0)&amp;"")</f>
        <v/>
      </c>
      <c r="F960" s="168" t="str">
        <f ca="1">IF(ISERROR($V960),"",OFFSET('Smelter Look-up'!$E$4,$V960-4,0))</f>
        <v/>
      </c>
      <c r="G960" s="168" t="str">
        <f ca="1">IF(C960=$X$4,IF(ISERROR($V960),"Enter smelter details","RMI"),IF(ISERROR($V960),"",OFFSET('Smelter Look-up'!$F$4,$V960-4,0)))</f>
        <v/>
      </c>
      <c r="H960" s="171" t="str">
        <f ca="1">IF(ISERROR($V960),"",OFFSET('Smelter Look-up'!$G$4,$V960-4,0))</f>
        <v/>
      </c>
      <c r="I960" s="172" t="str">
        <f ca="1">IF(ISERROR($V960),"",OFFSET('Smelter Look-up'!$H$4,$V960-4,0))</f>
        <v/>
      </c>
      <c r="J960" s="172" t="str">
        <f ca="1">IF(ISERROR($V960),"",OFFSET('Smelter Look-up'!$I$4,$V960-4,0))</f>
        <v/>
      </c>
      <c r="K960" s="173"/>
      <c r="L960" s="173"/>
      <c r="M960" s="173"/>
      <c r="N960" s="173"/>
      <c r="O960" s="173"/>
      <c r="P960" s="174"/>
      <c r="Q960" s="175"/>
      <c r="R960" s="168" t="str">
        <f ca="1">IF(ISERROR($V960),"",OFFSET('Smelter Look-up'!$C$4,$V960-4,0)&amp;"")</f>
        <v/>
      </c>
      <c r="S960" s="167" t="str">
        <f t="shared" ca="1" si="96"/>
        <v/>
      </c>
      <c r="T960" s="167" t="str">
        <f ca="1">IF(B960="","",IF(ISERROR(MATCH($J960,SorP!$B$1:$B$6230,0)),"",INDIRECT("'SorP'!$A$"&amp;MATCH($J960,SorP!$B$1:$B$6230,0))))</f>
        <v/>
      </c>
      <c r="U960" s="176"/>
      <c r="V960" s="177" t="e">
        <f>IF(C960="",NA(),IF(OR(C960="Smelter not listed",C960="Smelter not yet identified"),MATCH($B960&amp;$D960,'Smelter Look-up'!$J:$J,0),MATCH($B960&amp;$C960,'Smelter Look-up'!$J:$J,0)))</f>
        <v>#N/A</v>
      </c>
      <c r="X960" s="140">
        <f t="shared" ca="1" si="97"/>
        <v>0</v>
      </c>
      <c r="AB960" s="178" t="str">
        <f t="shared" si="98"/>
        <v/>
      </c>
    </row>
    <row r="961" spans="1:28" s="140" customFormat="1" ht="20.25">
      <c r="A961" s="167"/>
      <c r="B961" s="168" t="str">
        <f>IF(LEN(A961)=0,"",INDEX('Smelter Look-up'!$A:$A,MATCH($A961,'Smelter Look-up'!$E:$E,0)))</f>
        <v/>
      </c>
      <c r="C961" s="169" t="str">
        <f>IF(LEN(A961)=0,"",INDEX('Smelter Look-up'!$C:$C,MATCH($A961,'Smelter Look-up'!$E:$E,0)))</f>
        <v/>
      </c>
      <c r="D961" s="170"/>
      <c r="E961" s="168" t="str">
        <f ca="1">IF(ISERROR($V961),"",OFFSET('Smelter Look-up'!$D$4,$V961-4,0)&amp;"")</f>
        <v/>
      </c>
      <c r="F961" s="168" t="str">
        <f ca="1">IF(ISERROR($V961),"",OFFSET('Smelter Look-up'!$E$4,$V961-4,0))</f>
        <v/>
      </c>
      <c r="G961" s="168" t="str">
        <f ca="1">IF(C961=$X$4,IF(ISERROR($V961),"Enter smelter details","RMI"),IF(ISERROR($V961),"",OFFSET('Smelter Look-up'!$F$4,$V961-4,0)))</f>
        <v/>
      </c>
      <c r="H961" s="171" t="str">
        <f ca="1">IF(ISERROR($V961),"",OFFSET('Smelter Look-up'!$G$4,$V961-4,0))</f>
        <v/>
      </c>
      <c r="I961" s="172" t="str">
        <f ca="1">IF(ISERROR($V961),"",OFFSET('Smelter Look-up'!$H$4,$V961-4,0))</f>
        <v/>
      </c>
      <c r="J961" s="172" t="str">
        <f ca="1">IF(ISERROR($V961),"",OFFSET('Smelter Look-up'!$I$4,$V961-4,0))</f>
        <v/>
      </c>
      <c r="K961" s="173"/>
      <c r="L961" s="173"/>
      <c r="M961" s="173"/>
      <c r="N961" s="173"/>
      <c r="O961" s="173"/>
      <c r="P961" s="174"/>
      <c r="Q961" s="175"/>
      <c r="R961" s="168" t="str">
        <f ca="1">IF(ISERROR($V961),"",OFFSET('Smelter Look-up'!$C$4,$V961-4,0)&amp;"")</f>
        <v/>
      </c>
      <c r="S961" s="167" t="str">
        <f t="shared" ca="1" si="96"/>
        <v/>
      </c>
      <c r="T961" s="167" t="str">
        <f ca="1">IF(B961="","",IF(ISERROR(MATCH($J961,SorP!$B$1:$B$6230,0)),"",INDIRECT("'SorP'!$A$"&amp;MATCH($J961,SorP!$B$1:$B$6230,0))))</f>
        <v/>
      </c>
      <c r="U961" s="176"/>
      <c r="V961" s="177" t="e">
        <f>IF(C961="",NA(),IF(OR(C961="Smelter not listed",C961="Smelter not yet identified"),MATCH($B961&amp;$D961,'Smelter Look-up'!$J:$J,0),MATCH($B961&amp;$C961,'Smelter Look-up'!$J:$J,0)))</f>
        <v>#N/A</v>
      </c>
      <c r="X961" s="140">
        <f t="shared" ca="1" si="97"/>
        <v>0</v>
      </c>
      <c r="AB961" s="178" t="str">
        <f t="shared" si="98"/>
        <v/>
      </c>
    </row>
    <row r="962" spans="1:28" s="140" customFormat="1" ht="20.25">
      <c r="A962" s="167"/>
      <c r="B962" s="168" t="str">
        <f>IF(LEN(A962)=0,"",INDEX('Smelter Look-up'!$A:$A,MATCH($A962,'Smelter Look-up'!$E:$E,0)))</f>
        <v/>
      </c>
      <c r="C962" s="169" t="str">
        <f>IF(LEN(A962)=0,"",INDEX('Smelter Look-up'!$C:$C,MATCH($A962,'Smelter Look-up'!$E:$E,0)))</f>
        <v/>
      </c>
      <c r="D962" s="170"/>
      <c r="E962" s="168" t="str">
        <f ca="1">IF(ISERROR($V962),"",OFFSET('Smelter Look-up'!$D$4,$V962-4,0)&amp;"")</f>
        <v/>
      </c>
      <c r="F962" s="168" t="str">
        <f ca="1">IF(ISERROR($V962),"",OFFSET('Smelter Look-up'!$E$4,$V962-4,0))</f>
        <v/>
      </c>
      <c r="G962" s="168" t="str">
        <f ca="1">IF(C962=$X$4,IF(ISERROR($V962),"Enter smelter details","RMI"),IF(ISERROR($V962),"",OFFSET('Smelter Look-up'!$F$4,$V962-4,0)))</f>
        <v/>
      </c>
      <c r="H962" s="171" t="str">
        <f ca="1">IF(ISERROR($V962),"",OFFSET('Smelter Look-up'!$G$4,$V962-4,0))</f>
        <v/>
      </c>
      <c r="I962" s="172" t="str">
        <f ca="1">IF(ISERROR($V962),"",OFFSET('Smelter Look-up'!$H$4,$V962-4,0))</f>
        <v/>
      </c>
      <c r="J962" s="172" t="str">
        <f ca="1">IF(ISERROR($V962),"",OFFSET('Smelter Look-up'!$I$4,$V962-4,0))</f>
        <v/>
      </c>
      <c r="K962" s="173"/>
      <c r="L962" s="173"/>
      <c r="M962" s="173"/>
      <c r="N962" s="173"/>
      <c r="O962" s="173"/>
      <c r="P962" s="174"/>
      <c r="Q962" s="175"/>
      <c r="R962" s="168" t="str">
        <f ca="1">IF(ISERROR($V962),"",OFFSET('Smelter Look-up'!$C$4,$V962-4,0)&amp;"")</f>
        <v/>
      </c>
      <c r="S962" s="167" t="str">
        <f t="shared" ca="1" si="96"/>
        <v/>
      </c>
      <c r="T962" s="167" t="str">
        <f ca="1">IF(B962="","",IF(ISERROR(MATCH($J962,SorP!$B$1:$B$6230,0)),"",INDIRECT("'SorP'!$A$"&amp;MATCH($J962,SorP!$B$1:$B$6230,0))))</f>
        <v/>
      </c>
      <c r="U962" s="176"/>
      <c r="V962" s="177" t="e">
        <f>IF(C962="",NA(),IF(OR(C962="Smelter not listed",C962="Smelter not yet identified"),MATCH($B962&amp;$D962,'Smelter Look-up'!$J:$J,0),MATCH($B962&amp;$C962,'Smelter Look-up'!$J:$J,0)))</f>
        <v>#N/A</v>
      </c>
      <c r="X962" s="140">
        <f t="shared" ca="1" si="97"/>
        <v>0</v>
      </c>
      <c r="AB962" s="178" t="str">
        <f t="shared" si="98"/>
        <v/>
      </c>
    </row>
    <row r="963" spans="1:28" s="140" customFormat="1" ht="20.25">
      <c r="A963" s="167"/>
      <c r="B963" s="168" t="str">
        <f>IF(LEN(A963)=0,"",INDEX('Smelter Look-up'!$A:$A,MATCH($A963,'Smelter Look-up'!$E:$E,0)))</f>
        <v/>
      </c>
      <c r="C963" s="169" t="str">
        <f>IF(LEN(A963)=0,"",INDEX('Smelter Look-up'!$C:$C,MATCH($A963,'Smelter Look-up'!$E:$E,0)))</f>
        <v/>
      </c>
      <c r="D963" s="170"/>
      <c r="E963" s="168" t="str">
        <f ca="1">IF(ISERROR($V963),"",OFFSET('Smelter Look-up'!$D$4,$V963-4,0)&amp;"")</f>
        <v/>
      </c>
      <c r="F963" s="168" t="str">
        <f ca="1">IF(ISERROR($V963),"",OFFSET('Smelter Look-up'!$E$4,$V963-4,0))</f>
        <v/>
      </c>
      <c r="G963" s="168" t="str">
        <f ca="1">IF(C963=$X$4,IF(ISERROR($V963),"Enter smelter details","RMI"),IF(ISERROR($V963),"",OFFSET('Smelter Look-up'!$F$4,$V963-4,0)))</f>
        <v/>
      </c>
      <c r="H963" s="171" t="str">
        <f ca="1">IF(ISERROR($V963),"",OFFSET('Smelter Look-up'!$G$4,$V963-4,0))</f>
        <v/>
      </c>
      <c r="I963" s="172" t="str">
        <f ca="1">IF(ISERROR($V963),"",OFFSET('Smelter Look-up'!$H$4,$V963-4,0))</f>
        <v/>
      </c>
      <c r="J963" s="172" t="str">
        <f ca="1">IF(ISERROR($V963),"",OFFSET('Smelter Look-up'!$I$4,$V963-4,0))</f>
        <v/>
      </c>
      <c r="K963" s="173"/>
      <c r="L963" s="173"/>
      <c r="M963" s="173"/>
      <c r="N963" s="173"/>
      <c r="O963" s="173"/>
      <c r="P963" s="174"/>
      <c r="Q963" s="175"/>
      <c r="R963" s="168" t="str">
        <f ca="1">IF(ISERROR($V963),"",OFFSET('Smelter Look-up'!$C$4,$V963-4,0)&amp;"")</f>
        <v/>
      </c>
      <c r="S963" s="167" t="str">
        <f t="shared" ca="1" si="96"/>
        <v/>
      </c>
      <c r="T963" s="167" t="str">
        <f ca="1">IF(B963="","",IF(ISERROR(MATCH($J963,SorP!$B$1:$B$6230,0)),"",INDIRECT("'SorP'!$A$"&amp;MATCH($J963,SorP!$B$1:$B$6230,0))))</f>
        <v/>
      </c>
      <c r="U963" s="176"/>
      <c r="V963" s="177" t="e">
        <f>IF(C963="",NA(),IF(OR(C963="Smelter not listed",C963="Smelter not yet identified"),MATCH($B963&amp;$D963,'Smelter Look-up'!$J:$J,0),MATCH($B963&amp;$C963,'Smelter Look-up'!$J:$J,0)))</f>
        <v>#N/A</v>
      </c>
      <c r="X963" s="140">
        <f t="shared" ca="1" si="97"/>
        <v>0</v>
      </c>
      <c r="AB963" s="178" t="str">
        <f t="shared" si="98"/>
        <v/>
      </c>
    </row>
    <row r="964" spans="1:28" s="140" customFormat="1" ht="20.25">
      <c r="A964" s="167"/>
      <c r="B964" s="168" t="str">
        <f>IF(LEN(A964)=0,"",INDEX('Smelter Look-up'!$A:$A,MATCH($A964,'Smelter Look-up'!$E:$E,0)))</f>
        <v/>
      </c>
      <c r="C964" s="169" t="str">
        <f>IF(LEN(A964)=0,"",INDEX('Smelter Look-up'!$C:$C,MATCH($A964,'Smelter Look-up'!$E:$E,0)))</f>
        <v/>
      </c>
      <c r="D964" s="170"/>
      <c r="E964" s="168" t="str">
        <f ca="1">IF(ISERROR($V964),"",OFFSET('Smelter Look-up'!$D$4,$V964-4,0)&amp;"")</f>
        <v/>
      </c>
      <c r="F964" s="168" t="str">
        <f ca="1">IF(ISERROR($V964),"",OFFSET('Smelter Look-up'!$E$4,$V964-4,0))</f>
        <v/>
      </c>
      <c r="G964" s="168" t="str">
        <f ca="1">IF(C964=$X$4,IF(ISERROR($V964),"Enter smelter details","RMI"),IF(ISERROR($V964),"",OFFSET('Smelter Look-up'!$F$4,$V964-4,0)))</f>
        <v/>
      </c>
      <c r="H964" s="171" t="str">
        <f ca="1">IF(ISERROR($V964),"",OFFSET('Smelter Look-up'!$G$4,$V964-4,0))</f>
        <v/>
      </c>
      <c r="I964" s="172" t="str">
        <f ca="1">IF(ISERROR($V964),"",OFFSET('Smelter Look-up'!$H$4,$V964-4,0))</f>
        <v/>
      </c>
      <c r="J964" s="172" t="str">
        <f ca="1">IF(ISERROR($V964),"",OFFSET('Smelter Look-up'!$I$4,$V964-4,0))</f>
        <v/>
      </c>
      <c r="K964" s="173"/>
      <c r="L964" s="173"/>
      <c r="M964" s="173"/>
      <c r="N964" s="173"/>
      <c r="O964" s="173"/>
      <c r="P964" s="174"/>
      <c r="Q964" s="175"/>
      <c r="R964" s="168" t="str">
        <f ca="1">IF(ISERROR($V964),"",OFFSET('Smelter Look-up'!$C$4,$V964-4,0)&amp;"")</f>
        <v/>
      </c>
      <c r="S964" s="167" t="str">
        <f t="shared" ca="1" si="96"/>
        <v/>
      </c>
      <c r="T964" s="167" t="str">
        <f ca="1">IF(B964="","",IF(ISERROR(MATCH($J964,SorP!$B$1:$B$6230,0)),"",INDIRECT("'SorP'!$A$"&amp;MATCH($J964,SorP!$B$1:$B$6230,0))))</f>
        <v/>
      </c>
      <c r="U964" s="176"/>
      <c r="V964" s="177" t="e">
        <f>IF(C964="",NA(),IF(OR(C964="Smelter not listed",C964="Smelter not yet identified"),MATCH($B964&amp;$D964,'Smelter Look-up'!$J:$J,0),MATCH($B964&amp;$C964,'Smelter Look-up'!$J:$J,0)))</f>
        <v>#N/A</v>
      </c>
      <c r="X964" s="140">
        <f t="shared" ca="1" si="97"/>
        <v>0</v>
      </c>
      <c r="AB964" s="178" t="str">
        <f t="shared" si="98"/>
        <v/>
      </c>
    </row>
    <row r="965" spans="1:28" s="140" customFormat="1" ht="20.25">
      <c r="A965" s="167"/>
      <c r="B965" s="168" t="str">
        <f>IF(LEN(A965)=0,"",INDEX('Smelter Look-up'!$A:$A,MATCH($A965,'Smelter Look-up'!$E:$E,0)))</f>
        <v/>
      </c>
      <c r="C965" s="169" t="str">
        <f>IF(LEN(A965)=0,"",INDEX('Smelter Look-up'!$C:$C,MATCH($A965,'Smelter Look-up'!$E:$E,0)))</f>
        <v/>
      </c>
      <c r="D965" s="170"/>
      <c r="E965" s="168" t="str">
        <f ca="1">IF(ISERROR($V965),"",OFFSET('Smelter Look-up'!$D$4,$V965-4,0)&amp;"")</f>
        <v/>
      </c>
      <c r="F965" s="168" t="str">
        <f ca="1">IF(ISERROR($V965),"",OFFSET('Smelter Look-up'!$E$4,$V965-4,0))</f>
        <v/>
      </c>
      <c r="G965" s="168" t="str">
        <f ca="1">IF(C965=$X$4,IF(ISERROR($V965),"Enter smelter details","RMI"),IF(ISERROR($V965),"",OFFSET('Smelter Look-up'!$F$4,$V965-4,0)))</f>
        <v/>
      </c>
      <c r="H965" s="171" t="str">
        <f ca="1">IF(ISERROR($V965),"",OFFSET('Smelter Look-up'!$G$4,$V965-4,0))</f>
        <v/>
      </c>
      <c r="I965" s="172" t="str">
        <f ca="1">IF(ISERROR($V965),"",OFFSET('Smelter Look-up'!$H$4,$V965-4,0))</f>
        <v/>
      </c>
      <c r="J965" s="172" t="str">
        <f ca="1">IF(ISERROR($V965),"",OFFSET('Smelter Look-up'!$I$4,$V965-4,0))</f>
        <v/>
      </c>
      <c r="K965" s="173"/>
      <c r="L965" s="173"/>
      <c r="M965" s="173"/>
      <c r="N965" s="173"/>
      <c r="O965" s="173"/>
      <c r="P965" s="174"/>
      <c r="Q965" s="175"/>
      <c r="R965" s="168" t="str">
        <f ca="1">IF(ISERROR($V965),"",OFFSET('Smelter Look-up'!$C$4,$V965-4,0)&amp;"")</f>
        <v/>
      </c>
      <c r="S965" s="167" t="str">
        <f t="shared" ca="1" si="96"/>
        <v/>
      </c>
      <c r="T965" s="167" t="str">
        <f ca="1">IF(B965="","",IF(ISERROR(MATCH($J965,SorP!$B$1:$B$6230,0)),"",INDIRECT("'SorP'!$A$"&amp;MATCH($J965,SorP!$B$1:$B$6230,0))))</f>
        <v/>
      </c>
      <c r="U965" s="176"/>
      <c r="V965" s="177" t="e">
        <f>IF(C965="",NA(),IF(OR(C965="Smelter not listed",C965="Smelter not yet identified"),MATCH($B965&amp;$D965,'Smelter Look-up'!$J:$J,0),MATCH($B965&amp;$C965,'Smelter Look-up'!$J:$J,0)))</f>
        <v>#N/A</v>
      </c>
      <c r="X965" s="140">
        <f t="shared" ca="1" si="97"/>
        <v>0</v>
      </c>
      <c r="AB965" s="178" t="str">
        <f t="shared" si="98"/>
        <v/>
      </c>
    </row>
    <row r="966" spans="1:28" s="140" customFormat="1" ht="20.25">
      <c r="A966" s="167"/>
      <c r="B966" s="168" t="str">
        <f>IF(LEN(A966)=0,"",INDEX('Smelter Look-up'!$A:$A,MATCH($A966,'Smelter Look-up'!$E:$E,0)))</f>
        <v/>
      </c>
      <c r="C966" s="169" t="str">
        <f>IF(LEN(A966)=0,"",INDEX('Smelter Look-up'!$C:$C,MATCH($A966,'Smelter Look-up'!$E:$E,0)))</f>
        <v/>
      </c>
      <c r="D966" s="170"/>
      <c r="E966" s="168" t="str">
        <f ca="1">IF(ISERROR($V966),"",OFFSET('Smelter Look-up'!$D$4,$V966-4,0)&amp;"")</f>
        <v/>
      </c>
      <c r="F966" s="168" t="str">
        <f ca="1">IF(ISERROR($V966),"",OFFSET('Smelter Look-up'!$E$4,$V966-4,0))</f>
        <v/>
      </c>
      <c r="G966" s="168" t="str">
        <f ca="1">IF(C966=$X$4,IF(ISERROR($V966),"Enter smelter details","RMI"),IF(ISERROR($V966),"",OFFSET('Smelter Look-up'!$F$4,$V966-4,0)))</f>
        <v/>
      </c>
      <c r="H966" s="171" t="str">
        <f ca="1">IF(ISERROR($V966),"",OFFSET('Smelter Look-up'!$G$4,$V966-4,0))</f>
        <v/>
      </c>
      <c r="I966" s="172" t="str">
        <f ca="1">IF(ISERROR($V966),"",OFFSET('Smelter Look-up'!$H$4,$V966-4,0))</f>
        <v/>
      </c>
      <c r="J966" s="172" t="str">
        <f ca="1">IF(ISERROR($V966),"",OFFSET('Smelter Look-up'!$I$4,$V966-4,0))</f>
        <v/>
      </c>
      <c r="K966" s="173"/>
      <c r="L966" s="173"/>
      <c r="M966" s="173"/>
      <c r="N966" s="173"/>
      <c r="O966" s="173"/>
      <c r="P966" s="174"/>
      <c r="Q966" s="175"/>
      <c r="R966" s="168" t="str">
        <f ca="1">IF(ISERROR($V966),"",OFFSET('Smelter Look-up'!$C$4,$V966-4,0)&amp;"")</f>
        <v/>
      </c>
      <c r="S966" s="167" t="str">
        <f t="shared" ca="1" si="96"/>
        <v/>
      </c>
      <c r="T966" s="167" t="str">
        <f ca="1">IF(B966="","",IF(ISERROR(MATCH($J966,SorP!$B$1:$B$6230,0)),"",INDIRECT("'SorP'!$A$"&amp;MATCH($J966,SorP!$B$1:$B$6230,0))))</f>
        <v/>
      </c>
      <c r="U966" s="176"/>
      <c r="V966" s="177" t="e">
        <f>IF(C966="",NA(),IF(OR(C966="Smelter not listed",C966="Smelter not yet identified"),MATCH($B966&amp;$D966,'Smelter Look-up'!$J:$J,0),MATCH($B966&amp;$C966,'Smelter Look-up'!$J:$J,0)))</f>
        <v>#N/A</v>
      </c>
      <c r="X966" s="140">
        <f t="shared" ca="1" si="97"/>
        <v>0</v>
      </c>
      <c r="AB966" s="178" t="str">
        <f t="shared" si="98"/>
        <v/>
      </c>
    </row>
    <row r="967" spans="1:28" s="140" customFormat="1" ht="20.25">
      <c r="A967" s="167"/>
      <c r="B967" s="168" t="str">
        <f>IF(LEN(A967)=0,"",INDEX('Smelter Look-up'!$A:$A,MATCH($A967,'Smelter Look-up'!$E:$E,0)))</f>
        <v/>
      </c>
      <c r="C967" s="169" t="str">
        <f>IF(LEN(A967)=0,"",INDEX('Smelter Look-up'!$C:$C,MATCH($A967,'Smelter Look-up'!$E:$E,0)))</f>
        <v/>
      </c>
      <c r="D967" s="170"/>
      <c r="E967" s="168" t="str">
        <f ca="1">IF(ISERROR($V967),"",OFFSET('Smelter Look-up'!$D$4,$V967-4,0)&amp;"")</f>
        <v/>
      </c>
      <c r="F967" s="168" t="str">
        <f ca="1">IF(ISERROR($V967),"",OFFSET('Smelter Look-up'!$E$4,$V967-4,0))</f>
        <v/>
      </c>
      <c r="G967" s="168" t="str">
        <f ca="1">IF(C967=$X$4,IF(ISERROR($V967),"Enter smelter details","RMI"),IF(ISERROR($V967),"",OFFSET('Smelter Look-up'!$F$4,$V967-4,0)))</f>
        <v/>
      </c>
      <c r="H967" s="171" t="str">
        <f ca="1">IF(ISERROR($V967),"",OFFSET('Smelter Look-up'!$G$4,$V967-4,0))</f>
        <v/>
      </c>
      <c r="I967" s="172" t="str">
        <f ca="1">IF(ISERROR($V967),"",OFFSET('Smelter Look-up'!$H$4,$V967-4,0))</f>
        <v/>
      </c>
      <c r="J967" s="172" t="str">
        <f ca="1">IF(ISERROR($V967),"",OFFSET('Smelter Look-up'!$I$4,$V967-4,0))</f>
        <v/>
      </c>
      <c r="K967" s="173"/>
      <c r="L967" s="173"/>
      <c r="M967" s="173"/>
      <c r="N967" s="173"/>
      <c r="O967" s="173"/>
      <c r="P967" s="174"/>
      <c r="Q967" s="175"/>
      <c r="R967" s="168" t="str">
        <f ca="1">IF(ISERROR($V967),"",OFFSET('Smelter Look-up'!$C$4,$V967-4,0)&amp;"")</f>
        <v/>
      </c>
      <c r="S967" s="167" t="str">
        <f t="shared" ca="1" si="96"/>
        <v/>
      </c>
      <c r="T967" s="167" t="str">
        <f ca="1">IF(B967="","",IF(ISERROR(MATCH($J967,SorP!$B$1:$B$6230,0)),"",INDIRECT("'SorP'!$A$"&amp;MATCH($J967,SorP!$B$1:$B$6230,0))))</f>
        <v/>
      </c>
      <c r="U967" s="176"/>
      <c r="V967" s="177" t="e">
        <f>IF(C967="",NA(),IF(OR(C967="Smelter not listed",C967="Smelter not yet identified"),MATCH($B967&amp;$D967,'Smelter Look-up'!$J:$J,0),MATCH($B967&amp;$C967,'Smelter Look-up'!$J:$J,0)))</f>
        <v>#N/A</v>
      </c>
      <c r="X967" s="140">
        <f t="shared" ca="1" si="97"/>
        <v>0</v>
      </c>
      <c r="AB967" s="178" t="str">
        <f t="shared" si="98"/>
        <v/>
      </c>
    </row>
    <row r="968" spans="1:28" s="140" customFormat="1" ht="20.25">
      <c r="A968" s="167"/>
      <c r="B968" s="168" t="str">
        <f>IF(LEN(A968)=0,"",INDEX('Smelter Look-up'!$A:$A,MATCH($A968,'Smelter Look-up'!$E:$E,0)))</f>
        <v/>
      </c>
      <c r="C968" s="169" t="str">
        <f>IF(LEN(A968)=0,"",INDEX('Smelter Look-up'!$C:$C,MATCH($A968,'Smelter Look-up'!$E:$E,0)))</f>
        <v/>
      </c>
      <c r="D968" s="170"/>
      <c r="E968" s="168" t="str">
        <f ca="1">IF(ISERROR($V968),"",OFFSET('Smelter Look-up'!$D$4,$V968-4,0)&amp;"")</f>
        <v/>
      </c>
      <c r="F968" s="168" t="str">
        <f ca="1">IF(ISERROR($V968),"",OFFSET('Smelter Look-up'!$E$4,$V968-4,0))</f>
        <v/>
      </c>
      <c r="G968" s="168" t="str">
        <f ca="1">IF(C968=$X$4,IF(ISERROR($V968),"Enter smelter details","RMI"),IF(ISERROR($V968),"",OFFSET('Smelter Look-up'!$F$4,$V968-4,0)))</f>
        <v/>
      </c>
      <c r="H968" s="171" t="str">
        <f ca="1">IF(ISERROR($V968),"",OFFSET('Smelter Look-up'!$G$4,$V968-4,0))</f>
        <v/>
      </c>
      <c r="I968" s="172" t="str">
        <f ca="1">IF(ISERROR($V968),"",OFFSET('Smelter Look-up'!$H$4,$V968-4,0))</f>
        <v/>
      </c>
      <c r="J968" s="172" t="str">
        <f ca="1">IF(ISERROR($V968),"",OFFSET('Smelter Look-up'!$I$4,$V968-4,0))</f>
        <v/>
      </c>
      <c r="K968" s="173"/>
      <c r="L968" s="173"/>
      <c r="M968" s="173"/>
      <c r="N968" s="173"/>
      <c r="O968" s="173"/>
      <c r="P968" s="174"/>
      <c r="Q968" s="175"/>
      <c r="R968" s="168" t="str">
        <f ca="1">IF(ISERROR($V968),"",OFFSET('Smelter Look-up'!$C$4,$V968-4,0)&amp;"")</f>
        <v/>
      </c>
      <c r="S968" s="167" t="str">
        <f t="shared" ca="1" si="96"/>
        <v/>
      </c>
      <c r="T968" s="167" t="str">
        <f ca="1">IF(B968="","",IF(ISERROR(MATCH($J968,SorP!$B$1:$B$6230,0)),"",INDIRECT("'SorP'!$A$"&amp;MATCH($J968,SorP!$B$1:$B$6230,0))))</f>
        <v/>
      </c>
      <c r="U968" s="176"/>
      <c r="V968" s="177" t="e">
        <f>IF(C968="",NA(),IF(OR(C968="Smelter not listed",C968="Smelter not yet identified"),MATCH($B968&amp;$D968,'Smelter Look-up'!$J:$J,0),MATCH($B968&amp;$C968,'Smelter Look-up'!$J:$J,0)))</f>
        <v>#N/A</v>
      </c>
      <c r="X968" s="140">
        <f t="shared" ca="1" si="97"/>
        <v>0</v>
      </c>
      <c r="AB968" s="178" t="str">
        <f t="shared" si="98"/>
        <v/>
      </c>
    </row>
    <row r="969" spans="1:28" s="140" customFormat="1" ht="20.25">
      <c r="A969" s="167"/>
      <c r="B969" s="168" t="str">
        <f>IF(LEN(A969)=0,"",INDEX('Smelter Look-up'!$A:$A,MATCH($A969,'Smelter Look-up'!$E:$E,0)))</f>
        <v/>
      </c>
      <c r="C969" s="169" t="str">
        <f>IF(LEN(A969)=0,"",INDEX('Smelter Look-up'!$C:$C,MATCH($A969,'Smelter Look-up'!$E:$E,0)))</f>
        <v/>
      </c>
      <c r="D969" s="170"/>
      <c r="E969" s="168" t="str">
        <f ca="1">IF(ISERROR($V969),"",OFFSET('Smelter Look-up'!$D$4,$V969-4,0)&amp;"")</f>
        <v/>
      </c>
      <c r="F969" s="168" t="str">
        <f ca="1">IF(ISERROR($V969),"",OFFSET('Smelter Look-up'!$E$4,$V969-4,0))</f>
        <v/>
      </c>
      <c r="G969" s="168" t="str">
        <f ca="1">IF(C969=$X$4,IF(ISERROR($V969),"Enter smelter details","RMI"),IF(ISERROR($V969),"",OFFSET('Smelter Look-up'!$F$4,$V969-4,0)))</f>
        <v/>
      </c>
      <c r="H969" s="171" t="str">
        <f ca="1">IF(ISERROR($V969),"",OFFSET('Smelter Look-up'!$G$4,$V969-4,0))</f>
        <v/>
      </c>
      <c r="I969" s="172" t="str">
        <f ca="1">IF(ISERROR($V969),"",OFFSET('Smelter Look-up'!$H$4,$V969-4,0))</f>
        <v/>
      </c>
      <c r="J969" s="172" t="str">
        <f ca="1">IF(ISERROR($V969),"",OFFSET('Smelter Look-up'!$I$4,$V969-4,0))</f>
        <v/>
      </c>
      <c r="K969" s="173"/>
      <c r="L969" s="173"/>
      <c r="M969" s="173"/>
      <c r="N969" s="173"/>
      <c r="O969" s="173"/>
      <c r="P969" s="174"/>
      <c r="Q969" s="175"/>
      <c r="R969" s="168" t="str">
        <f ca="1">IF(ISERROR($V969),"",OFFSET('Smelter Look-up'!$C$4,$V969-4,0)&amp;"")</f>
        <v/>
      </c>
      <c r="S969" s="167" t="str">
        <f t="shared" ca="1" si="96"/>
        <v/>
      </c>
      <c r="T969" s="167" t="str">
        <f ca="1">IF(B969="","",IF(ISERROR(MATCH($J969,SorP!$B$1:$B$6230,0)),"",INDIRECT("'SorP'!$A$"&amp;MATCH($J969,SorP!$B$1:$B$6230,0))))</f>
        <v/>
      </c>
      <c r="U969" s="176"/>
      <c r="V969" s="177" t="e">
        <f>IF(C969="",NA(),IF(OR(C969="Smelter not listed",C969="Smelter not yet identified"),MATCH($B969&amp;$D969,'Smelter Look-up'!$J:$J,0),MATCH($B969&amp;$C969,'Smelter Look-up'!$J:$J,0)))</f>
        <v>#N/A</v>
      </c>
      <c r="X969" s="140">
        <f t="shared" ca="1" si="97"/>
        <v>0</v>
      </c>
      <c r="AB969" s="178" t="str">
        <f t="shared" si="98"/>
        <v/>
      </c>
    </row>
    <row r="970" spans="1:28" s="140" customFormat="1" ht="20.25">
      <c r="A970" s="167"/>
      <c r="B970" s="168" t="str">
        <f>IF(LEN(A970)=0,"",INDEX('Smelter Look-up'!$A:$A,MATCH($A970,'Smelter Look-up'!$E:$E,0)))</f>
        <v/>
      </c>
      <c r="C970" s="169" t="str">
        <f>IF(LEN(A970)=0,"",INDEX('Smelter Look-up'!$C:$C,MATCH($A970,'Smelter Look-up'!$E:$E,0)))</f>
        <v/>
      </c>
      <c r="D970" s="170"/>
      <c r="E970" s="168" t="str">
        <f ca="1">IF(ISERROR($V970),"",OFFSET('Smelter Look-up'!$D$4,$V970-4,0)&amp;"")</f>
        <v/>
      </c>
      <c r="F970" s="168" t="str">
        <f ca="1">IF(ISERROR($V970),"",OFFSET('Smelter Look-up'!$E$4,$V970-4,0))</f>
        <v/>
      </c>
      <c r="G970" s="168" t="str">
        <f ca="1">IF(C970=$X$4,IF(ISERROR($V970),"Enter smelter details","RMI"),IF(ISERROR($V970),"",OFFSET('Smelter Look-up'!$F$4,$V970-4,0)))</f>
        <v/>
      </c>
      <c r="H970" s="171" t="str">
        <f ca="1">IF(ISERROR($V970),"",OFFSET('Smelter Look-up'!$G$4,$V970-4,0))</f>
        <v/>
      </c>
      <c r="I970" s="172" t="str">
        <f ca="1">IF(ISERROR($V970),"",OFFSET('Smelter Look-up'!$H$4,$V970-4,0))</f>
        <v/>
      </c>
      <c r="J970" s="172" t="str">
        <f ca="1">IF(ISERROR($V970),"",OFFSET('Smelter Look-up'!$I$4,$V970-4,0))</f>
        <v/>
      </c>
      <c r="K970" s="173"/>
      <c r="L970" s="173"/>
      <c r="M970" s="173"/>
      <c r="N970" s="173"/>
      <c r="O970" s="173"/>
      <c r="P970" s="174"/>
      <c r="Q970" s="175"/>
      <c r="R970" s="168" t="str">
        <f ca="1">IF(ISERROR($V970),"",OFFSET('Smelter Look-up'!$C$4,$V970-4,0)&amp;"")</f>
        <v/>
      </c>
      <c r="S970" s="167" t="str">
        <f t="shared" ca="1" si="96"/>
        <v/>
      </c>
      <c r="T970" s="167" t="str">
        <f ca="1">IF(B970="","",IF(ISERROR(MATCH($J970,SorP!$B$1:$B$6230,0)),"",INDIRECT("'SorP'!$A$"&amp;MATCH($J970,SorP!$B$1:$B$6230,0))))</f>
        <v/>
      </c>
      <c r="U970" s="176"/>
      <c r="V970" s="177" t="e">
        <f>IF(C970="",NA(),IF(OR(C970="Smelter not listed",C970="Smelter not yet identified"),MATCH($B970&amp;$D970,'Smelter Look-up'!$J:$J,0),MATCH($B970&amp;$C970,'Smelter Look-up'!$J:$J,0)))</f>
        <v>#N/A</v>
      </c>
      <c r="X970" s="140">
        <f t="shared" ca="1" si="97"/>
        <v>0</v>
      </c>
      <c r="AB970" s="178" t="str">
        <f t="shared" si="98"/>
        <v/>
      </c>
    </row>
    <row r="971" spans="1:28" s="140" customFormat="1" ht="20.25">
      <c r="A971" s="167"/>
      <c r="B971" s="168" t="str">
        <f>IF(LEN(A971)=0,"",INDEX('Smelter Look-up'!$A:$A,MATCH($A971,'Smelter Look-up'!$E:$E,0)))</f>
        <v/>
      </c>
      <c r="C971" s="169" t="str">
        <f>IF(LEN(A971)=0,"",INDEX('Smelter Look-up'!$C:$C,MATCH($A971,'Smelter Look-up'!$E:$E,0)))</f>
        <v/>
      </c>
      <c r="D971" s="170"/>
      <c r="E971" s="168" t="str">
        <f ca="1">IF(ISERROR($V971),"",OFFSET('Smelter Look-up'!$D$4,$V971-4,0)&amp;"")</f>
        <v/>
      </c>
      <c r="F971" s="168" t="str">
        <f ca="1">IF(ISERROR($V971),"",OFFSET('Smelter Look-up'!$E$4,$V971-4,0))</f>
        <v/>
      </c>
      <c r="G971" s="168" t="str">
        <f ca="1">IF(C971=$X$4,IF(ISERROR($V971),"Enter smelter details","RMI"),IF(ISERROR($V971),"",OFFSET('Smelter Look-up'!$F$4,$V971-4,0)))</f>
        <v/>
      </c>
      <c r="H971" s="171" t="str">
        <f ca="1">IF(ISERROR($V971),"",OFFSET('Smelter Look-up'!$G$4,$V971-4,0))</f>
        <v/>
      </c>
      <c r="I971" s="172" t="str">
        <f ca="1">IF(ISERROR($V971),"",OFFSET('Smelter Look-up'!$H$4,$V971-4,0))</f>
        <v/>
      </c>
      <c r="J971" s="172" t="str">
        <f ca="1">IF(ISERROR($V971),"",OFFSET('Smelter Look-up'!$I$4,$V971-4,0))</f>
        <v/>
      </c>
      <c r="K971" s="173"/>
      <c r="L971" s="173"/>
      <c r="M971" s="173"/>
      <c r="N971" s="173"/>
      <c r="O971" s="173"/>
      <c r="P971" s="174"/>
      <c r="Q971" s="175"/>
      <c r="R971" s="168" t="str">
        <f ca="1">IF(ISERROR($V971),"",OFFSET('Smelter Look-up'!$C$4,$V971-4,0)&amp;"")</f>
        <v/>
      </c>
      <c r="S971" s="167" t="str">
        <f t="shared" ca="1" si="96"/>
        <v/>
      </c>
      <c r="T971" s="167" t="str">
        <f ca="1">IF(B971="","",IF(ISERROR(MATCH($J971,SorP!$B$1:$B$6230,0)),"",INDIRECT("'SorP'!$A$"&amp;MATCH($J971,SorP!$B$1:$B$6230,0))))</f>
        <v/>
      </c>
      <c r="U971" s="176"/>
      <c r="V971" s="177" t="e">
        <f>IF(C971="",NA(),IF(OR(C971="Smelter not listed",C971="Smelter not yet identified"),MATCH($B971&amp;$D971,'Smelter Look-up'!$J:$J,0),MATCH($B971&amp;$C971,'Smelter Look-up'!$J:$J,0)))</f>
        <v>#N/A</v>
      </c>
      <c r="X971" s="140">
        <f t="shared" ca="1" si="97"/>
        <v>0</v>
      </c>
      <c r="AB971" s="178" t="str">
        <f t="shared" si="98"/>
        <v/>
      </c>
    </row>
    <row r="972" spans="1:28" s="140" customFormat="1" ht="20.25">
      <c r="A972" s="167"/>
      <c r="B972" s="168" t="str">
        <f>IF(LEN(A972)=0,"",INDEX('Smelter Look-up'!$A:$A,MATCH($A972,'Smelter Look-up'!$E:$E,0)))</f>
        <v/>
      </c>
      <c r="C972" s="169" t="str">
        <f>IF(LEN(A972)=0,"",INDEX('Smelter Look-up'!$C:$C,MATCH($A972,'Smelter Look-up'!$E:$E,0)))</f>
        <v/>
      </c>
      <c r="D972" s="170"/>
      <c r="E972" s="168" t="str">
        <f ca="1">IF(ISERROR($V972),"",OFFSET('Smelter Look-up'!$D$4,$V972-4,0)&amp;"")</f>
        <v/>
      </c>
      <c r="F972" s="168" t="str">
        <f ca="1">IF(ISERROR($V972),"",OFFSET('Smelter Look-up'!$E$4,$V972-4,0))</f>
        <v/>
      </c>
      <c r="G972" s="168" t="str">
        <f ca="1">IF(C972=$X$4,IF(ISERROR($V972),"Enter smelter details","RMI"),IF(ISERROR($V972),"",OFFSET('Smelter Look-up'!$F$4,$V972-4,0)))</f>
        <v/>
      </c>
      <c r="H972" s="171" t="str">
        <f ca="1">IF(ISERROR($V972),"",OFFSET('Smelter Look-up'!$G$4,$V972-4,0))</f>
        <v/>
      </c>
      <c r="I972" s="172" t="str">
        <f ca="1">IF(ISERROR($V972),"",OFFSET('Smelter Look-up'!$H$4,$V972-4,0))</f>
        <v/>
      </c>
      <c r="J972" s="172" t="str">
        <f ca="1">IF(ISERROR($V972),"",OFFSET('Smelter Look-up'!$I$4,$V972-4,0))</f>
        <v/>
      </c>
      <c r="K972" s="173"/>
      <c r="L972" s="173"/>
      <c r="M972" s="173"/>
      <c r="N972" s="173"/>
      <c r="O972" s="173"/>
      <c r="P972" s="174"/>
      <c r="Q972" s="175"/>
      <c r="R972" s="168" t="str">
        <f ca="1">IF(ISERROR($V972),"",OFFSET('Smelter Look-up'!$C$4,$V972-4,0)&amp;"")</f>
        <v/>
      </c>
      <c r="S972" s="167" t="str">
        <f t="shared" ca="1" si="96"/>
        <v/>
      </c>
      <c r="T972" s="167" t="str">
        <f ca="1">IF(B972="","",IF(ISERROR(MATCH($J972,SorP!$B$1:$B$6230,0)),"",INDIRECT("'SorP'!$A$"&amp;MATCH($J972,SorP!$B$1:$B$6230,0))))</f>
        <v/>
      </c>
      <c r="U972" s="176"/>
      <c r="V972" s="177" t="e">
        <f>IF(C972="",NA(),IF(OR(C972="Smelter not listed",C972="Smelter not yet identified"),MATCH($B972&amp;$D972,'Smelter Look-up'!$J:$J,0),MATCH($B972&amp;$C972,'Smelter Look-up'!$J:$J,0)))</f>
        <v>#N/A</v>
      </c>
      <c r="X972" s="140">
        <f t="shared" ca="1" si="97"/>
        <v>0</v>
      </c>
      <c r="AB972" s="178" t="str">
        <f t="shared" si="98"/>
        <v/>
      </c>
    </row>
    <row r="973" spans="1:28" s="140" customFormat="1" ht="20.25">
      <c r="A973" s="167"/>
      <c r="B973" s="168" t="str">
        <f>IF(LEN(A973)=0,"",INDEX('Smelter Look-up'!$A:$A,MATCH($A973,'Smelter Look-up'!$E:$E,0)))</f>
        <v/>
      </c>
      <c r="C973" s="169" t="str">
        <f>IF(LEN(A973)=0,"",INDEX('Smelter Look-up'!$C:$C,MATCH($A973,'Smelter Look-up'!$E:$E,0)))</f>
        <v/>
      </c>
      <c r="D973" s="170"/>
      <c r="E973" s="168" t="str">
        <f ca="1">IF(ISERROR($V973),"",OFFSET('Smelter Look-up'!$D$4,$V973-4,0)&amp;"")</f>
        <v/>
      </c>
      <c r="F973" s="168" t="str">
        <f ca="1">IF(ISERROR($V973),"",OFFSET('Smelter Look-up'!$E$4,$V973-4,0))</f>
        <v/>
      </c>
      <c r="G973" s="168" t="str">
        <f ca="1">IF(C973=$X$4,IF(ISERROR($V973),"Enter smelter details","RMI"),IF(ISERROR($V973),"",OFFSET('Smelter Look-up'!$F$4,$V973-4,0)))</f>
        <v/>
      </c>
      <c r="H973" s="171" t="str">
        <f ca="1">IF(ISERROR($V973),"",OFFSET('Smelter Look-up'!$G$4,$V973-4,0))</f>
        <v/>
      </c>
      <c r="I973" s="172" t="str">
        <f ca="1">IF(ISERROR($V973),"",OFFSET('Smelter Look-up'!$H$4,$V973-4,0))</f>
        <v/>
      </c>
      <c r="J973" s="172" t="str">
        <f ca="1">IF(ISERROR($V973),"",OFFSET('Smelter Look-up'!$I$4,$V973-4,0))</f>
        <v/>
      </c>
      <c r="K973" s="173"/>
      <c r="L973" s="173"/>
      <c r="M973" s="173"/>
      <c r="N973" s="173"/>
      <c r="O973" s="173"/>
      <c r="P973" s="174"/>
      <c r="Q973" s="175"/>
      <c r="R973" s="168" t="str">
        <f ca="1">IF(ISERROR($V973),"",OFFSET('Smelter Look-up'!$C$4,$V973-4,0)&amp;"")</f>
        <v/>
      </c>
      <c r="S973" s="167" t="str">
        <f t="shared" ca="1" si="96"/>
        <v/>
      </c>
      <c r="T973" s="167" t="str">
        <f ca="1">IF(B973="","",IF(ISERROR(MATCH($J973,SorP!$B$1:$B$6230,0)),"",INDIRECT("'SorP'!$A$"&amp;MATCH($J973,SorP!$B$1:$B$6230,0))))</f>
        <v/>
      </c>
      <c r="U973" s="176"/>
      <c r="V973" s="177" t="e">
        <f>IF(C973="",NA(),IF(OR(C973="Smelter not listed",C973="Smelter not yet identified"),MATCH($B973&amp;$D973,'Smelter Look-up'!$J:$J,0),MATCH($B973&amp;$C973,'Smelter Look-up'!$J:$J,0)))</f>
        <v>#N/A</v>
      </c>
      <c r="X973" s="140">
        <f t="shared" ca="1" si="97"/>
        <v>0</v>
      </c>
      <c r="AB973" s="178" t="str">
        <f t="shared" si="98"/>
        <v/>
      </c>
    </row>
    <row r="974" spans="1:28" s="140" customFormat="1" ht="20.25">
      <c r="A974" s="167"/>
      <c r="B974" s="168" t="str">
        <f>IF(LEN(A974)=0,"",INDEX('Smelter Look-up'!$A:$A,MATCH($A974,'Smelter Look-up'!$E:$E,0)))</f>
        <v/>
      </c>
      <c r="C974" s="169" t="str">
        <f>IF(LEN(A974)=0,"",INDEX('Smelter Look-up'!$C:$C,MATCH($A974,'Smelter Look-up'!$E:$E,0)))</f>
        <v/>
      </c>
      <c r="D974" s="170"/>
      <c r="E974" s="168" t="str">
        <f ca="1">IF(ISERROR($V974),"",OFFSET('Smelter Look-up'!$D$4,$V974-4,0)&amp;"")</f>
        <v/>
      </c>
      <c r="F974" s="168" t="str">
        <f ca="1">IF(ISERROR($V974),"",OFFSET('Smelter Look-up'!$E$4,$V974-4,0))</f>
        <v/>
      </c>
      <c r="G974" s="168" t="str">
        <f ca="1">IF(C974=$X$4,IF(ISERROR($V974),"Enter smelter details","RMI"),IF(ISERROR($V974),"",OFFSET('Smelter Look-up'!$F$4,$V974-4,0)))</f>
        <v/>
      </c>
      <c r="H974" s="171" t="str">
        <f ca="1">IF(ISERROR($V974),"",OFFSET('Smelter Look-up'!$G$4,$V974-4,0))</f>
        <v/>
      </c>
      <c r="I974" s="172" t="str">
        <f ca="1">IF(ISERROR($V974),"",OFFSET('Smelter Look-up'!$H$4,$V974-4,0))</f>
        <v/>
      </c>
      <c r="J974" s="172" t="str">
        <f ca="1">IF(ISERROR($V974),"",OFFSET('Smelter Look-up'!$I$4,$V974-4,0))</f>
        <v/>
      </c>
      <c r="K974" s="173"/>
      <c r="L974" s="173"/>
      <c r="M974" s="173"/>
      <c r="N974" s="173"/>
      <c r="O974" s="173"/>
      <c r="P974" s="174"/>
      <c r="Q974" s="175"/>
      <c r="R974" s="168" t="str">
        <f ca="1">IF(ISERROR($V974),"",OFFSET('Smelter Look-up'!$C$4,$V974-4,0)&amp;"")</f>
        <v/>
      </c>
      <c r="S974" s="167" t="str">
        <f t="shared" ca="1" si="96"/>
        <v/>
      </c>
      <c r="T974" s="167" t="str">
        <f ca="1">IF(B974="","",IF(ISERROR(MATCH($J974,SorP!$B$1:$B$6230,0)),"",INDIRECT("'SorP'!$A$"&amp;MATCH($J974,SorP!$B$1:$B$6230,0))))</f>
        <v/>
      </c>
      <c r="U974" s="176"/>
      <c r="V974" s="177" t="e">
        <f>IF(C974="",NA(),IF(OR(C974="Smelter not listed",C974="Smelter not yet identified"),MATCH($B974&amp;$D974,'Smelter Look-up'!$J:$J,0),MATCH($B974&amp;$C974,'Smelter Look-up'!$J:$J,0)))</f>
        <v>#N/A</v>
      </c>
      <c r="X974" s="140">
        <f t="shared" ca="1" si="97"/>
        <v>0</v>
      </c>
      <c r="AB974" s="178" t="str">
        <f t="shared" si="98"/>
        <v/>
      </c>
    </row>
    <row r="975" spans="1:28" s="140" customFormat="1" ht="20.25">
      <c r="A975" s="167"/>
      <c r="B975" s="168" t="str">
        <f>IF(LEN(A975)=0,"",INDEX('Smelter Look-up'!$A:$A,MATCH($A975,'Smelter Look-up'!$E:$E,0)))</f>
        <v/>
      </c>
      <c r="C975" s="169" t="str">
        <f>IF(LEN(A975)=0,"",INDEX('Smelter Look-up'!$C:$C,MATCH($A975,'Smelter Look-up'!$E:$E,0)))</f>
        <v/>
      </c>
      <c r="D975" s="170"/>
      <c r="E975" s="168" t="str">
        <f ca="1">IF(ISERROR($V975),"",OFFSET('Smelter Look-up'!$D$4,$V975-4,0)&amp;"")</f>
        <v/>
      </c>
      <c r="F975" s="168" t="str">
        <f ca="1">IF(ISERROR($V975),"",OFFSET('Smelter Look-up'!$E$4,$V975-4,0))</f>
        <v/>
      </c>
      <c r="G975" s="168" t="str">
        <f ca="1">IF(C975=$X$4,IF(ISERROR($V975),"Enter smelter details","RMI"),IF(ISERROR($V975),"",OFFSET('Smelter Look-up'!$F$4,$V975-4,0)))</f>
        <v/>
      </c>
      <c r="H975" s="171" t="str">
        <f ca="1">IF(ISERROR($V975),"",OFFSET('Smelter Look-up'!$G$4,$V975-4,0))</f>
        <v/>
      </c>
      <c r="I975" s="172" t="str">
        <f ca="1">IF(ISERROR($V975),"",OFFSET('Smelter Look-up'!$H$4,$V975-4,0))</f>
        <v/>
      </c>
      <c r="J975" s="172" t="str">
        <f ca="1">IF(ISERROR($V975),"",OFFSET('Smelter Look-up'!$I$4,$V975-4,0))</f>
        <v/>
      </c>
      <c r="K975" s="173"/>
      <c r="L975" s="173"/>
      <c r="M975" s="173"/>
      <c r="N975" s="173"/>
      <c r="O975" s="173"/>
      <c r="P975" s="174"/>
      <c r="Q975" s="175"/>
      <c r="R975" s="168" t="str">
        <f ca="1">IF(ISERROR($V975),"",OFFSET('Smelter Look-up'!$C$4,$V975-4,0)&amp;"")</f>
        <v/>
      </c>
      <c r="S975" s="167" t="str">
        <f t="shared" ca="1" si="96"/>
        <v/>
      </c>
      <c r="T975" s="167" t="str">
        <f ca="1">IF(B975="","",IF(ISERROR(MATCH($J975,SorP!$B$1:$B$6230,0)),"",INDIRECT("'SorP'!$A$"&amp;MATCH($J975,SorP!$B$1:$B$6230,0))))</f>
        <v/>
      </c>
      <c r="U975" s="176"/>
      <c r="V975" s="177" t="e">
        <f>IF(C975="",NA(),IF(OR(C975="Smelter not listed",C975="Smelter not yet identified"),MATCH($B975&amp;$D975,'Smelter Look-up'!$J:$J,0),MATCH($B975&amp;$C975,'Smelter Look-up'!$J:$J,0)))</f>
        <v>#N/A</v>
      </c>
      <c r="X975" s="140">
        <f t="shared" ca="1" si="97"/>
        <v>0</v>
      </c>
      <c r="AB975" s="178" t="str">
        <f t="shared" si="98"/>
        <v/>
      </c>
    </row>
    <row r="976" spans="1:28" s="140" customFormat="1" ht="20.25">
      <c r="A976" s="167"/>
      <c r="B976" s="168" t="str">
        <f>IF(LEN(A976)=0,"",INDEX('Smelter Look-up'!$A:$A,MATCH($A976,'Smelter Look-up'!$E:$E,0)))</f>
        <v/>
      </c>
      <c r="C976" s="169" t="str">
        <f>IF(LEN(A976)=0,"",INDEX('Smelter Look-up'!$C:$C,MATCH($A976,'Smelter Look-up'!$E:$E,0)))</f>
        <v/>
      </c>
      <c r="D976" s="170"/>
      <c r="E976" s="168" t="str">
        <f ca="1">IF(ISERROR($V976),"",OFFSET('Smelter Look-up'!$D$4,$V976-4,0)&amp;"")</f>
        <v/>
      </c>
      <c r="F976" s="168" t="str">
        <f ca="1">IF(ISERROR($V976),"",OFFSET('Smelter Look-up'!$E$4,$V976-4,0))</f>
        <v/>
      </c>
      <c r="G976" s="168" t="str">
        <f ca="1">IF(C976=$X$4,IF(ISERROR($V976),"Enter smelter details","RMI"),IF(ISERROR($V976),"",OFFSET('Smelter Look-up'!$F$4,$V976-4,0)))</f>
        <v/>
      </c>
      <c r="H976" s="171" t="str">
        <f ca="1">IF(ISERROR($V976),"",OFFSET('Smelter Look-up'!$G$4,$V976-4,0))</f>
        <v/>
      </c>
      <c r="I976" s="172" t="str">
        <f ca="1">IF(ISERROR($V976),"",OFFSET('Smelter Look-up'!$H$4,$V976-4,0))</f>
        <v/>
      </c>
      <c r="J976" s="172" t="str">
        <f ca="1">IF(ISERROR($V976),"",OFFSET('Smelter Look-up'!$I$4,$V976-4,0))</f>
        <v/>
      </c>
      <c r="K976" s="173"/>
      <c r="L976" s="173"/>
      <c r="M976" s="173"/>
      <c r="N976" s="173"/>
      <c r="O976" s="173"/>
      <c r="P976" s="174"/>
      <c r="Q976" s="175"/>
      <c r="R976" s="168" t="str">
        <f ca="1">IF(ISERROR($V976),"",OFFSET('Smelter Look-up'!$C$4,$V976-4,0)&amp;"")</f>
        <v/>
      </c>
      <c r="S976" s="167" t="str">
        <f t="shared" ca="1" si="96"/>
        <v/>
      </c>
      <c r="T976" s="167" t="str">
        <f ca="1">IF(B976="","",IF(ISERROR(MATCH($J976,SorP!$B$1:$B$6230,0)),"",INDIRECT("'SorP'!$A$"&amp;MATCH($J976,SorP!$B$1:$B$6230,0))))</f>
        <v/>
      </c>
      <c r="U976" s="176"/>
      <c r="V976" s="177" t="e">
        <f>IF(C976="",NA(),IF(OR(C976="Smelter not listed",C976="Smelter not yet identified"),MATCH($B976&amp;$D976,'Smelter Look-up'!$J:$J,0),MATCH($B976&amp;$C976,'Smelter Look-up'!$J:$J,0)))</f>
        <v>#N/A</v>
      </c>
      <c r="X976" s="140">
        <f t="shared" ca="1" si="97"/>
        <v>0</v>
      </c>
      <c r="AB976" s="178" t="str">
        <f t="shared" si="98"/>
        <v/>
      </c>
    </row>
    <row r="977" spans="1:28" s="140" customFormat="1" ht="20.25">
      <c r="A977" s="167"/>
      <c r="B977" s="168" t="str">
        <f>IF(LEN(A977)=0,"",INDEX('Smelter Look-up'!$A:$A,MATCH($A977,'Smelter Look-up'!$E:$E,0)))</f>
        <v/>
      </c>
      <c r="C977" s="169" t="str">
        <f>IF(LEN(A977)=0,"",INDEX('Smelter Look-up'!$C:$C,MATCH($A977,'Smelter Look-up'!$E:$E,0)))</f>
        <v/>
      </c>
      <c r="D977" s="170"/>
      <c r="E977" s="168" t="str">
        <f ca="1">IF(ISERROR($V977),"",OFFSET('Smelter Look-up'!$D$4,$V977-4,0)&amp;"")</f>
        <v/>
      </c>
      <c r="F977" s="168" t="str">
        <f ca="1">IF(ISERROR($V977),"",OFFSET('Smelter Look-up'!$E$4,$V977-4,0))</f>
        <v/>
      </c>
      <c r="G977" s="168" t="str">
        <f ca="1">IF(C977=$X$4,IF(ISERROR($V977),"Enter smelter details","RMI"),IF(ISERROR($V977),"",OFFSET('Smelter Look-up'!$F$4,$V977-4,0)))</f>
        <v/>
      </c>
      <c r="H977" s="171" t="str">
        <f ca="1">IF(ISERROR($V977),"",OFFSET('Smelter Look-up'!$G$4,$V977-4,0))</f>
        <v/>
      </c>
      <c r="I977" s="172" t="str">
        <f ca="1">IF(ISERROR($V977),"",OFFSET('Smelter Look-up'!$H$4,$V977-4,0))</f>
        <v/>
      </c>
      <c r="J977" s="172" t="str">
        <f ca="1">IF(ISERROR($V977),"",OFFSET('Smelter Look-up'!$I$4,$V977-4,0))</f>
        <v/>
      </c>
      <c r="K977" s="173"/>
      <c r="L977" s="173"/>
      <c r="M977" s="173"/>
      <c r="N977" s="173"/>
      <c r="O977" s="173"/>
      <c r="P977" s="174"/>
      <c r="Q977" s="175"/>
      <c r="R977" s="168" t="str">
        <f ca="1">IF(ISERROR($V977),"",OFFSET('Smelter Look-up'!$C$4,$V977-4,0)&amp;"")</f>
        <v/>
      </c>
      <c r="S977" s="167" t="str">
        <f t="shared" ca="1" si="96"/>
        <v/>
      </c>
      <c r="T977" s="167" t="str">
        <f ca="1">IF(B977="","",IF(ISERROR(MATCH($J977,SorP!$B$1:$B$6230,0)),"",INDIRECT("'SorP'!$A$"&amp;MATCH($J977,SorP!$B$1:$B$6230,0))))</f>
        <v/>
      </c>
      <c r="U977" s="176"/>
      <c r="V977" s="177" t="e">
        <f>IF(C977="",NA(),IF(OR(C977="Smelter not listed",C977="Smelter not yet identified"),MATCH($B977&amp;$D977,'Smelter Look-up'!$J:$J,0),MATCH($B977&amp;$C977,'Smelter Look-up'!$J:$J,0)))</f>
        <v>#N/A</v>
      </c>
      <c r="X977" s="140">
        <f t="shared" ca="1" si="97"/>
        <v>0</v>
      </c>
      <c r="AB977" s="178" t="str">
        <f t="shared" si="98"/>
        <v/>
      </c>
    </row>
    <row r="978" spans="1:28" s="140" customFormat="1" ht="20.25">
      <c r="A978" s="167"/>
      <c r="B978" s="168" t="str">
        <f>IF(LEN(A978)=0,"",INDEX('Smelter Look-up'!$A:$A,MATCH($A978,'Smelter Look-up'!$E:$E,0)))</f>
        <v/>
      </c>
      <c r="C978" s="169" t="str">
        <f>IF(LEN(A978)=0,"",INDEX('Smelter Look-up'!$C:$C,MATCH($A978,'Smelter Look-up'!$E:$E,0)))</f>
        <v/>
      </c>
      <c r="D978" s="170"/>
      <c r="E978" s="168" t="str">
        <f ca="1">IF(ISERROR($V978),"",OFFSET('Smelter Look-up'!$D$4,$V978-4,0)&amp;"")</f>
        <v/>
      </c>
      <c r="F978" s="168" t="str">
        <f ca="1">IF(ISERROR($V978),"",OFFSET('Smelter Look-up'!$E$4,$V978-4,0))</f>
        <v/>
      </c>
      <c r="G978" s="168" t="str">
        <f ca="1">IF(C978=$X$4,IF(ISERROR($V978),"Enter smelter details","RMI"),IF(ISERROR($V978),"",OFFSET('Smelter Look-up'!$F$4,$V978-4,0)))</f>
        <v/>
      </c>
      <c r="H978" s="171" t="str">
        <f ca="1">IF(ISERROR($V978),"",OFFSET('Smelter Look-up'!$G$4,$V978-4,0))</f>
        <v/>
      </c>
      <c r="I978" s="172" t="str">
        <f ca="1">IF(ISERROR($V978),"",OFFSET('Smelter Look-up'!$H$4,$V978-4,0))</f>
        <v/>
      </c>
      <c r="J978" s="172" t="str">
        <f ca="1">IF(ISERROR($V978),"",OFFSET('Smelter Look-up'!$I$4,$V978-4,0))</f>
        <v/>
      </c>
      <c r="K978" s="173"/>
      <c r="L978" s="173"/>
      <c r="M978" s="173"/>
      <c r="N978" s="173"/>
      <c r="O978" s="173"/>
      <c r="P978" s="174"/>
      <c r="Q978" s="175"/>
      <c r="R978" s="168" t="str">
        <f ca="1">IF(ISERROR($V978),"",OFFSET('Smelter Look-up'!$C$4,$V978-4,0)&amp;"")</f>
        <v/>
      </c>
      <c r="S978" s="167" t="str">
        <f t="shared" ca="1" si="96"/>
        <v/>
      </c>
      <c r="T978" s="167" t="str">
        <f ca="1">IF(B978="","",IF(ISERROR(MATCH($J978,SorP!$B$1:$B$6230,0)),"",INDIRECT("'SorP'!$A$"&amp;MATCH($J978,SorP!$B$1:$B$6230,0))))</f>
        <v/>
      </c>
      <c r="U978" s="176"/>
      <c r="V978" s="177" t="e">
        <f>IF(C978="",NA(),IF(OR(C978="Smelter not listed",C978="Smelter not yet identified"),MATCH($B978&amp;$D978,'Smelter Look-up'!$J:$J,0),MATCH($B978&amp;$C978,'Smelter Look-up'!$J:$J,0)))</f>
        <v>#N/A</v>
      </c>
      <c r="X978" s="140">
        <f t="shared" ca="1" si="97"/>
        <v>0</v>
      </c>
      <c r="AB978" s="178" t="str">
        <f t="shared" si="98"/>
        <v/>
      </c>
    </row>
    <row r="979" spans="1:28" s="140" customFormat="1" ht="20.25">
      <c r="A979" s="167"/>
      <c r="B979" s="168" t="str">
        <f>IF(LEN(A979)=0,"",INDEX('Smelter Look-up'!$A:$A,MATCH($A979,'Smelter Look-up'!$E:$E,0)))</f>
        <v/>
      </c>
      <c r="C979" s="169" t="str">
        <f>IF(LEN(A979)=0,"",INDEX('Smelter Look-up'!$C:$C,MATCH($A979,'Smelter Look-up'!$E:$E,0)))</f>
        <v/>
      </c>
      <c r="D979" s="170"/>
      <c r="E979" s="168" t="str">
        <f ca="1">IF(ISERROR($V979),"",OFFSET('Smelter Look-up'!$D$4,$V979-4,0)&amp;"")</f>
        <v/>
      </c>
      <c r="F979" s="168" t="str">
        <f ca="1">IF(ISERROR($V979),"",OFFSET('Smelter Look-up'!$E$4,$V979-4,0))</f>
        <v/>
      </c>
      <c r="G979" s="168" t="str">
        <f ca="1">IF(C979=$X$4,IF(ISERROR($V979),"Enter smelter details","RMI"),IF(ISERROR($V979),"",OFFSET('Smelter Look-up'!$F$4,$V979-4,0)))</f>
        <v/>
      </c>
      <c r="H979" s="171" t="str">
        <f ca="1">IF(ISERROR($V979),"",OFFSET('Smelter Look-up'!$G$4,$V979-4,0))</f>
        <v/>
      </c>
      <c r="I979" s="172" t="str">
        <f ca="1">IF(ISERROR($V979),"",OFFSET('Smelter Look-up'!$H$4,$V979-4,0))</f>
        <v/>
      </c>
      <c r="J979" s="172" t="str">
        <f ca="1">IF(ISERROR($V979),"",OFFSET('Smelter Look-up'!$I$4,$V979-4,0))</f>
        <v/>
      </c>
      <c r="K979" s="173"/>
      <c r="L979" s="173"/>
      <c r="M979" s="173"/>
      <c r="N979" s="173"/>
      <c r="O979" s="173"/>
      <c r="P979" s="174"/>
      <c r="Q979" s="175"/>
      <c r="R979" s="168" t="str">
        <f ca="1">IF(ISERROR($V979),"",OFFSET('Smelter Look-up'!$C$4,$V979-4,0)&amp;"")</f>
        <v/>
      </c>
      <c r="S979" s="167" t="str">
        <f t="shared" ca="1" si="96"/>
        <v/>
      </c>
      <c r="T979" s="167" t="str">
        <f ca="1">IF(B979="","",IF(ISERROR(MATCH($J979,SorP!$B$1:$B$6230,0)),"",INDIRECT("'SorP'!$A$"&amp;MATCH($J979,SorP!$B$1:$B$6230,0))))</f>
        <v/>
      </c>
      <c r="U979" s="176"/>
      <c r="V979" s="177" t="e">
        <f>IF(C979="",NA(),IF(OR(C979="Smelter not listed",C979="Smelter not yet identified"),MATCH($B979&amp;$D979,'Smelter Look-up'!$J:$J,0),MATCH($B979&amp;$C979,'Smelter Look-up'!$J:$J,0)))</f>
        <v>#N/A</v>
      </c>
      <c r="X979" s="140">
        <f t="shared" ca="1" si="97"/>
        <v>0</v>
      </c>
      <c r="AB979" s="178" t="str">
        <f t="shared" si="98"/>
        <v/>
      </c>
    </row>
    <row r="980" spans="1:28" s="140" customFormat="1" ht="20.25">
      <c r="A980" s="167"/>
      <c r="B980" s="168" t="str">
        <f>IF(LEN(A980)=0,"",INDEX('Smelter Look-up'!$A:$A,MATCH($A980,'Smelter Look-up'!$E:$E,0)))</f>
        <v/>
      </c>
      <c r="C980" s="169" t="str">
        <f>IF(LEN(A980)=0,"",INDEX('Smelter Look-up'!$C:$C,MATCH($A980,'Smelter Look-up'!$E:$E,0)))</f>
        <v/>
      </c>
      <c r="D980" s="170"/>
      <c r="E980" s="168" t="str">
        <f ca="1">IF(ISERROR($V980),"",OFFSET('Smelter Look-up'!$D$4,$V980-4,0)&amp;"")</f>
        <v/>
      </c>
      <c r="F980" s="168" t="str">
        <f ca="1">IF(ISERROR($V980),"",OFFSET('Smelter Look-up'!$E$4,$V980-4,0))</f>
        <v/>
      </c>
      <c r="G980" s="168" t="str">
        <f ca="1">IF(C980=$X$4,IF(ISERROR($V980),"Enter smelter details","RMI"),IF(ISERROR($V980),"",OFFSET('Smelter Look-up'!$F$4,$V980-4,0)))</f>
        <v/>
      </c>
      <c r="H980" s="171" t="str">
        <f ca="1">IF(ISERROR($V980),"",OFFSET('Smelter Look-up'!$G$4,$V980-4,0))</f>
        <v/>
      </c>
      <c r="I980" s="172" t="str">
        <f ca="1">IF(ISERROR($V980),"",OFFSET('Smelter Look-up'!$H$4,$V980-4,0))</f>
        <v/>
      </c>
      <c r="J980" s="172" t="str">
        <f ca="1">IF(ISERROR($V980),"",OFFSET('Smelter Look-up'!$I$4,$V980-4,0))</f>
        <v/>
      </c>
      <c r="K980" s="173"/>
      <c r="L980" s="173"/>
      <c r="M980" s="173"/>
      <c r="N980" s="173"/>
      <c r="O980" s="173"/>
      <c r="P980" s="174"/>
      <c r="Q980" s="175"/>
      <c r="R980" s="168" t="str">
        <f ca="1">IF(ISERROR($V980),"",OFFSET('Smelter Look-up'!$C$4,$V980-4,0)&amp;"")</f>
        <v/>
      </c>
      <c r="S980" s="167" t="str">
        <f t="shared" ca="1" si="96"/>
        <v/>
      </c>
      <c r="T980" s="167" t="str">
        <f ca="1">IF(B980="","",IF(ISERROR(MATCH($J980,SorP!$B$1:$B$6230,0)),"",INDIRECT("'SorP'!$A$"&amp;MATCH($J980,SorP!$B$1:$B$6230,0))))</f>
        <v/>
      </c>
      <c r="U980" s="176"/>
      <c r="V980" s="177" t="e">
        <f>IF(C980="",NA(),IF(OR(C980="Smelter not listed",C980="Smelter not yet identified"),MATCH($B980&amp;$D980,'Smelter Look-up'!$J:$J,0),MATCH($B980&amp;$C980,'Smelter Look-up'!$J:$J,0)))</f>
        <v>#N/A</v>
      </c>
      <c r="X980" s="140">
        <f t="shared" ca="1" si="97"/>
        <v>0</v>
      </c>
      <c r="AB980" s="178" t="str">
        <f t="shared" si="98"/>
        <v/>
      </c>
    </row>
    <row r="981" spans="1:28" s="140" customFormat="1" ht="20.25">
      <c r="A981" s="167"/>
      <c r="B981" s="168" t="str">
        <f>IF(LEN(A981)=0,"",INDEX('Smelter Look-up'!$A:$A,MATCH($A981,'Smelter Look-up'!$E:$E,0)))</f>
        <v/>
      </c>
      <c r="C981" s="169" t="str">
        <f>IF(LEN(A981)=0,"",INDEX('Smelter Look-up'!$C:$C,MATCH($A981,'Smelter Look-up'!$E:$E,0)))</f>
        <v/>
      </c>
      <c r="D981" s="170"/>
      <c r="E981" s="168" t="str">
        <f ca="1">IF(ISERROR($V981),"",OFFSET('Smelter Look-up'!$D$4,$V981-4,0)&amp;"")</f>
        <v/>
      </c>
      <c r="F981" s="168" t="str">
        <f ca="1">IF(ISERROR($V981),"",OFFSET('Smelter Look-up'!$E$4,$V981-4,0))</f>
        <v/>
      </c>
      <c r="G981" s="168" t="str">
        <f ca="1">IF(C981=$X$4,IF(ISERROR($V981),"Enter smelter details","RMI"),IF(ISERROR($V981),"",OFFSET('Smelter Look-up'!$F$4,$V981-4,0)))</f>
        <v/>
      </c>
      <c r="H981" s="171" t="str">
        <f ca="1">IF(ISERROR($V981),"",OFFSET('Smelter Look-up'!$G$4,$V981-4,0))</f>
        <v/>
      </c>
      <c r="I981" s="172" t="str">
        <f ca="1">IF(ISERROR($V981),"",OFFSET('Smelter Look-up'!$H$4,$V981-4,0))</f>
        <v/>
      </c>
      <c r="J981" s="172" t="str">
        <f ca="1">IF(ISERROR($V981),"",OFFSET('Smelter Look-up'!$I$4,$V981-4,0))</f>
        <v/>
      </c>
      <c r="K981" s="173"/>
      <c r="L981" s="173"/>
      <c r="M981" s="173"/>
      <c r="N981" s="173"/>
      <c r="O981" s="173"/>
      <c r="P981" s="174"/>
      <c r="Q981" s="175"/>
      <c r="R981" s="168" t="str">
        <f ca="1">IF(ISERROR($V981),"",OFFSET('Smelter Look-up'!$C$4,$V981-4,0)&amp;"")</f>
        <v/>
      </c>
      <c r="S981" s="167" t="str">
        <f t="shared" ca="1" si="96"/>
        <v/>
      </c>
      <c r="T981" s="167" t="str">
        <f ca="1">IF(B981="","",IF(ISERROR(MATCH($J981,SorP!$B$1:$B$6230,0)),"",INDIRECT("'SorP'!$A$"&amp;MATCH($J981,SorP!$B$1:$B$6230,0))))</f>
        <v/>
      </c>
      <c r="U981" s="176"/>
      <c r="V981" s="177" t="e">
        <f>IF(C981="",NA(),IF(OR(C981="Smelter not listed",C981="Smelter not yet identified"),MATCH($B981&amp;$D981,'Smelter Look-up'!$J:$J,0),MATCH($B981&amp;$C981,'Smelter Look-up'!$J:$J,0)))</f>
        <v>#N/A</v>
      </c>
      <c r="X981" s="140">
        <f t="shared" ca="1" si="97"/>
        <v>0</v>
      </c>
      <c r="AB981" s="178" t="str">
        <f t="shared" si="98"/>
        <v/>
      </c>
    </row>
    <row r="982" spans="1:28" s="140" customFormat="1" ht="20.25">
      <c r="A982" s="167"/>
      <c r="B982" s="168" t="str">
        <f>IF(LEN(A982)=0,"",INDEX('Smelter Look-up'!$A:$A,MATCH($A982,'Smelter Look-up'!$E:$E,0)))</f>
        <v/>
      </c>
      <c r="C982" s="169" t="str">
        <f>IF(LEN(A982)=0,"",INDEX('Smelter Look-up'!$C:$C,MATCH($A982,'Smelter Look-up'!$E:$E,0)))</f>
        <v/>
      </c>
      <c r="D982" s="170"/>
      <c r="E982" s="168" t="str">
        <f ca="1">IF(ISERROR($V982),"",OFFSET('Smelter Look-up'!$D$4,$V982-4,0)&amp;"")</f>
        <v/>
      </c>
      <c r="F982" s="168" t="str">
        <f ca="1">IF(ISERROR($V982),"",OFFSET('Smelter Look-up'!$E$4,$V982-4,0))</f>
        <v/>
      </c>
      <c r="G982" s="168" t="str">
        <f ca="1">IF(C982=$X$4,IF(ISERROR($V982),"Enter smelter details","RMI"),IF(ISERROR($V982),"",OFFSET('Smelter Look-up'!$F$4,$V982-4,0)))</f>
        <v/>
      </c>
      <c r="H982" s="171" t="str">
        <f ca="1">IF(ISERROR($V982),"",OFFSET('Smelter Look-up'!$G$4,$V982-4,0))</f>
        <v/>
      </c>
      <c r="I982" s="172" t="str">
        <f ca="1">IF(ISERROR($V982),"",OFFSET('Smelter Look-up'!$H$4,$V982-4,0))</f>
        <v/>
      </c>
      <c r="J982" s="172" t="str">
        <f ca="1">IF(ISERROR($V982),"",OFFSET('Smelter Look-up'!$I$4,$V982-4,0))</f>
        <v/>
      </c>
      <c r="K982" s="173"/>
      <c r="L982" s="173"/>
      <c r="M982" s="173"/>
      <c r="N982" s="173"/>
      <c r="O982" s="173"/>
      <c r="P982" s="174"/>
      <c r="Q982" s="175"/>
      <c r="R982" s="168" t="str">
        <f ca="1">IF(ISERROR($V982),"",OFFSET('Smelter Look-up'!$C$4,$V982-4,0)&amp;"")</f>
        <v/>
      </c>
      <c r="S982" s="167" t="str">
        <f t="shared" ca="1" si="96"/>
        <v/>
      </c>
      <c r="T982" s="167" t="str">
        <f ca="1">IF(B982="","",IF(ISERROR(MATCH($J982,SorP!$B$1:$B$6230,0)),"",INDIRECT("'SorP'!$A$"&amp;MATCH($J982,SorP!$B$1:$B$6230,0))))</f>
        <v/>
      </c>
      <c r="U982" s="176"/>
      <c r="V982" s="177" t="e">
        <f>IF(C982="",NA(),IF(OR(C982="Smelter not listed",C982="Smelter not yet identified"),MATCH($B982&amp;$D982,'Smelter Look-up'!$J:$J,0),MATCH($B982&amp;$C982,'Smelter Look-up'!$J:$J,0)))</f>
        <v>#N/A</v>
      </c>
      <c r="X982" s="140">
        <f t="shared" ca="1" si="97"/>
        <v>0</v>
      </c>
      <c r="AB982" s="178" t="str">
        <f t="shared" si="98"/>
        <v/>
      </c>
    </row>
    <row r="983" spans="1:28" s="140" customFormat="1" ht="20.25">
      <c r="A983" s="167"/>
      <c r="B983" s="168" t="str">
        <f>IF(LEN(A983)=0,"",INDEX('Smelter Look-up'!$A:$A,MATCH($A983,'Smelter Look-up'!$E:$E,0)))</f>
        <v/>
      </c>
      <c r="C983" s="169" t="str">
        <f>IF(LEN(A983)=0,"",INDEX('Smelter Look-up'!$C:$C,MATCH($A983,'Smelter Look-up'!$E:$E,0)))</f>
        <v/>
      </c>
      <c r="D983" s="170"/>
      <c r="E983" s="168" t="str">
        <f ca="1">IF(ISERROR($V983),"",OFFSET('Smelter Look-up'!$D$4,$V983-4,0)&amp;"")</f>
        <v/>
      </c>
      <c r="F983" s="168" t="str">
        <f ca="1">IF(ISERROR($V983),"",OFFSET('Smelter Look-up'!$E$4,$V983-4,0))</f>
        <v/>
      </c>
      <c r="G983" s="168" t="str">
        <f ca="1">IF(C983=$X$4,IF(ISERROR($V983),"Enter smelter details","RMI"),IF(ISERROR($V983),"",OFFSET('Smelter Look-up'!$F$4,$V983-4,0)))</f>
        <v/>
      </c>
      <c r="H983" s="171" t="str">
        <f ca="1">IF(ISERROR($V983),"",OFFSET('Smelter Look-up'!$G$4,$V983-4,0))</f>
        <v/>
      </c>
      <c r="I983" s="172" t="str">
        <f ca="1">IF(ISERROR($V983),"",OFFSET('Smelter Look-up'!$H$4,$V983-4,0))</f>
        <v/>
      </c>
      <c r="J983" s="172" t="str">
        <f ca="1">IF(ISERROR($V983),"",OFFSET('Smelter Look-up'!$I$4,$V983-4,0))</f>
        <v/>
      </c>
      <c r="K983" s="173"/>
      <c r="L983" s="173"/>
      <c r="M983" s="173"/>
      <c r="N983" s="173"/>
      <c r="O983" s="173"/>
      <c r="P983" s="174"/>
      <c r="Q983" s="175"/>
      <c r="R983" s="168" t="str">
        <f ca="1">IF(ISERROR($V983),"",OFFSET('Smelter Look-up'!$C$4,$V983-4,0)&amp;"")</f>
        <v/>
      </c>
      <c r="S983" s="167" t="str">
        <f t="shared" ca="1" si="96"/>
        <v/>
      </c>
      <c r="T983" s="167" t="str">
        <f ca="1">IF(B983="","",IF(ISERROR(MATCH($J983,SorP!$B$1:$B$6230,0)),"",INDIRECT("'SorP'!$A$"&amp;MATCH($J983,SorP!$B$1:$B$6230,0))))</f>
        <v/>
      </c>
      <c r="U983" s="176"/>
      <c r="V983" s="177" t="e">
        <f>IF(C983="",NA(),IF(OR(C983="Smelter not listed",C983="Smelter not yet identified"),MATCH($B983&amp;$D983,'Smelter Look-up'!$J:$J,0),MATCH($B983&amp;$C983,'Smelter Look-up'!$J:$J,0)))</f>
        <v>#N/A</v>
      </c>
      <c r="X983" s="140">
        <f t="shared" ca="1" si="97"/>
        <v>0</v>
      </c>
      <c r="AB983" s="178" t="str">
        <f t="shared" si="98"/>
        <v/>
      </c>
    </row>
    <row r="984" spans="1:28" s="140" customFormat="1" ht="20.25">
      <c r="A984" s="167"/>
      <c r="B984" s="168" t="str">
        <f>IF(LEN(A984)=0,"",INDEX('Smelter Look-up'!$A:$A,MATCH($A984,'Smelter Look-up'!$E:$E,0)))</f>
        <v/>
      </c>
      <c r="C984" s="169" t="str">
        <f>IF(LEN(A984)=0,"",INDEX('Smelter Look-up'!$C:$C,MATCH($A984,'Smelter Look-up'!$E:$E,0)))</f>
        <v/>
      </c>
      <c r="D984" s="170"/>
      <c r="E984" s="168" t="str">
        <f ca="1">IF(ISERROR($V984),"",OFFSET('Smelter Look-up'!$D$4,$V984-4,0)&amp;"")</f>
        <v/>
      </c>
      <c r="F984" s="168" t="str">
        <f ca="1">IF(ISERROR($V984),"",OFFSET('Smelter Look-up'!$E$4,$V984-4,0))</f>
        <v/>
      </c>
      <c r="G984" s="168" t="str">
        <f ca="1">IF(C984=$X$4,IF(ISERROR($V984),"Enter smelter details","RMI"),IF(ISERROR($V984),"",OFFSET('Smelter Look-up'!$F$4,$V984-4,0)))</f>
        <v/>
      </c>
      <c r="H984" s="171" t="str">
        <f ca="1">IF(ISERROR($V984),"",OFFSET('Smelter Look-up'!$G$4,$V984-4,0))</f>
        <v/>
      </c>
      <c r="I984" s="172" t="str">
        <f ca="1">IF(ISERROR($V984),"",OFFSET('Smelter Look-up'!$H$4,$V984-4,0))</f>
        <v/>
      </c>
      <c r="J984" s="172" t="str">
        <f ca="1">IF(ISERROR($V984),"",OFFSET('Smelter Look-up'!$I$4,$V984-4,0))</f>
        <v/>
      </c>
      <c r="K984" s="173"/>
      <c r="L984" s="173"/>
      <c r="M984" s="173"/>
      <c r="N984" s="173"/>
      <c r="O984" s="173"/>
      <c r="P984" s="174"/>
      <c r="Q984" s="175"/>
      <c r="R984" s="168" t="str">
        <f ca="1">IF(ISERROR($V984),"",OFFSET('Smelter Look-up'!$C$4,$V984-4,0)&amp;"")</f>
        <v/>
      </c>
      <c r="S984" s="167" t="str">
        <f t="shared" ca="1" si="96"/>
        <v/>
      </c>
      <c r="T984" s="167" t="str">
        <f ca="1">IF(B984="","",IF(ISERROR(MATCH($J984,SorP!$B$1:$B$6230,0)),"",INDIRECT("'SorP'!$A$"&amp;MATCH($J984,SorP!$B$1:$B$6230,0))))</f>
        <v/>
      </c>
      <c r="U984" s="176"/>
      <c r="V984" s="177" t="e">
        <f>IF(C984="",NA(),IF(OR(C984="Smelter not listed",C984="Smelter not yet identified"),MATCH($B984&amp;$D984,'Smelter Look-up'!$J:$J,0),MATCH($B984&amp;$C984,'Smelter Look-up'!$J:$J,0)))</f>
        <v>#N/A</v>
      </c>
      <c r="X984" s="140">
        <f t="shared" ca="1" si="97"/>
        <v>0</v>
      </c>
      <c r="AB984" s="178" t="str">
        <f t="shared" si="98"/>
        <v/>
      </c>
    </row>
    <row r="985" spans="1:28" s="140" customFormat="1" ht="20.25">
      <c r="A985" s="167"/>
      <c r="B985" s="168" t="str">
        <f>IF(LEN(A985)=0,"",INDEX('Smelter Look-up'!$A:$A,MATCH($A985,'Smelter Look-up'!$E:$E,0)))</f>
        <v/>
      </c>
      <c r="C985" s="169" t="str">
        <f>IF(LEN(A985)=0,"",INDEX('Smelter Look-up'!$C:$C,MATCH($A985,'Smelter Look-up'!$E:$E,0)))</f>
        <v/>
      </c>
      <c r="D985" s="170"/>
      <c r="E985" s="168" t="str">
        <f ca="1">IF(ISERROR($V985),"",OFFSET('Smelter Look-up'!$D$4,$V985-4,0)&amp;"")</f>
        <v/>
      </c>
      <c r="F985" s="168" t="str">
        <f ca="1">IF(ISERROR($V985),"",OFFSET('Smelter Look-up'!$E$4,$V985-4,0))</f>
        <v/>
      </c>
      <c r="G985" s="168" t="str">
        <f ca="1">IF(C985=$X$4,IF(ISERROR($V985),"Enter smelter details","RMI"),IF(ISERROR($V985),"",OFFSET('Smelter Look-up'!$F$4,$V985-4,0)))</f>
        <v/>
      </c>
      <c r="H985" s="171" t="str">
        <f ca="1">IF(ISERROR($V985),"",OFFSET('Smelter Look-up'!$G$4,$V985-4,0))</f>
        <v/>
      </c>
      <c r="I985" s="172" t="str">
        <f ca="1">IF(ISERROR($V985),"",OFFSET('Smelter Look-up'!$H$4,$V985-4,0))</f>
        <v/>
      </c>
      <c r="J985" s="172" t="str">
        <f ca="1">IF(ISERROR($V985),"",OFFSET('Smelter Look-up'!$I$4,$V985-4,0))</f>
        <v/>
      </c>
      <c r="K985" s="173"/>
      <c r="L985" s="173"/>
      <c r="M985" s="173"/>
      <c r="N985" s="173"/>
      <c r="O985" s="173"/>
      <c r="P985" s="174"/>
      <c r="Q985" s="175"/>
      <c r="R985" s="168" t="str">
        <f ca="1">IF(ISERROR($V985),"",OFFSET('Smelter Look-up'!$C$4,$V985-4,0)&amp;"")</f>
        <v/>
      </c>
      <c r="S985" s="167" t="str">
        <f t="shared" ca="1" si="96"/>
        <v/>
      </c>
      <c r="T985" s="167" t="str">
        <f ca="1">IF(B985="","",IF(ISERROR(MATCH($J985,SorP!$B$1:$B$6230,0)),"",INDIRECT("'SorP'!$A$"&amp;MATCH($J985,SorP!$B$1:$B$6230,0))))</f>
        <v/>
      </c>
      <c r="U985" s="176"/>
      <c r="V985" s="177" t="e">
        <f>IF(C985="",NA(),IF(OR(C985="Smelter not listed",C985="Smelter not yet identified"),MATCH($B985&amp;$D985,'Smelter Look-up'!$J:$J,0),MATCH($B985&amp;$C985,'Smelter Look-up'!$J:$J,0)))</f>
        <v>#N/A</v>
      </c>
      <c r="X985" s="140">
        <f t="shared" ca="1" si="97"/>
        <v>0</v>
      </c>
      <c r="AB985" s="178" t="str">
        <f t="shared" si="98"/>
        <v/>
      </c>
    </row>
    <row r="986" spans="1:28" s="140" customFormat="1" ht="20.25">
      <c r="A986" s="167"/>
      <c r="B986" s="168" t="str">
        <f>IF(LEN(A986)=0,"",INDEX('Smelter Look-up'!$A:$A,MATCH($A986,'Smelter Look-up'!$E:$E,0)))</f>
        <v/>
      </c>
      <c r="C986" s="169" t="str">
        <f>IF(LEN(A986)=0,"",INDEX('Smelter Look-up'!$C:$C,MATCH($A986,'Smelter Look-up'!$E:$E,0)))</f>
        <v/>
      </c>
      <c r="D986" s="170"/>
      <c r="E986" s="168" t="str">
        <f ca="1">IF(ISERROR($V986),"",OFFSET('Smelter Look-up'!$D$4,$V986-4,0)&amp;"")</f>
        <v/>
      </c>
      <c r="F986" s="168" t="str">
        <f ca="1">IF(ISERROR($V986),"",OFFSET('Smelter Look-up'!$E$4,$V986-4,0))</f>
        <v/>
      </c>
      <c r="G986" s="168" t="str">
        <f ca="1">IF(C986=$X$4,IF(ISERROR($V986),"Enter smelter details","RMI"),IF(ISERROR($V986),"",OFFSET('Smelter Look-up'!$F$4,$V986-4,0)))</f>
        <v/>
      </c>
      <c r="H986" s="171" t="str">
        <f ca="1">IF(ISERROR($V986),"",OFFSET('Smelter Look-up'!$G$4,$V986-4,0))</f>
        <v/>
      </c>
      <c r="I986" s="172" t="str">
        <f ca="1">IF(ISERROR($V986),"",OFFSET('Smelter Look-up'!$H$4,$V986-4,0))</f>
        <v/>
      </c>
      <c r="J986" s="172" t="str">
        <f ca="1">IF(ISERROR($V986),"",OFFSET('Smelter Look-up'!$I$4,$V986-4,0))</f>
        <v/>
      </c>
      <c r="K986" s="173"/>
      <c r="L986" s="173"/>
      <c r="M986" s="173"/>
      <c r="N986" s="173"/>
      <c r="O986" s="173"/>
      <c r="P986" s="174"/>
      <c r="Q986" s="175"/>
      <c r="R986" s="168" t="str">
        <f ca="1">IF(ISERROR($V986),"",OFFSET('Smelter Look-up'!$C$4,$V986-4,0)&amp;"")</f>
        <v/>
      </c>
      <c r="S986" s="167" t="str">
        <f t="shared" ca="1" si="96"/>
        <v/>
      </c>
      <c r="T986" s="167" t="str">
        <f ca="1">IF(B986="","",IF(ISERROR(MATCH($J986,SorP!$B$1:$B$6230,0)),"",INDIRECT("'SorP'!$A$"&amp;MATCH($J986,SorP!$B$1:$B$6230,0))))</f>
        <v/>
      </c>
      <c r="U986" s="176"/>
      <c r="V986" s="177" t="e">
        <f>IF(C986="",NA(),IF(OR(C986="Smelter not listed",C986="Smelter not yet identified"),MATCH($B986&amp;$D986,'Smelter Look-up'!$J:$J,0),MATCH($B986&amp;$C986,'Smelter Look-up'!$J:$J,0)))</f>
        <v>#N/A</v>
      </c>
      <c r="X986" s="140">
        <f t="shared" ca="1" si="97"/>
        <v>0</v>
      </c>
      <c r="AB986" s="178" t="str">
        <f t="shared" si="98"/>
        <v/>
      </c>
    </row>
    <row r="987" spans="1:28" s="140" customFormat="1" ht="20.25">
      <c r="A987" s="167"/>
      <c r="B987" s="168" t="str">
        <f>IF(LEN(A987)=0,"",INDEX('Smelter Look-up'!$A:$A,MATCH($A987,'Smelter Look-up'!$E:$E,0)))</f>
        <v/>
      </c>
      <c r="C987" s="169" t="str">
        <f>IF(LEN(A987)=0,"",INDEX('Smelter Look-up'!$C:$C,MATCH($A987,'Smelter Look-up'!$E:$E,0)))</f>
        <v/>
      </c>
      <c r="D987" s="170"/>
      <c r="E987" s="168" t="str">
        <f ca="1">IF(ISERROR($V987),"",OFFSET('Smelter Look-up'!$D$4,$V987-4,0)&amp;"")</f>
        <v/>
      </c>
      <c r="F987" s="168" t="str">
        <f ca="1">IF(ISERROR($V987),"",OFFSET('Smelter Look-up'!$E$4,$V987-4,0))</f>
        <v/>
      </c>
      <c r="G987" s="168" t="str">
        <f ca="1">IF(C987=$X$4,IF(ISERROR($V987),"Enter smelter details","RMI"),IF(ISERROR($V987),"",OFFSET('Smelter Look-up'!$F$4,$V987-4,0)))</f>
        <v/>
      </c>
      <c r="H987" s="171" t="str">
        <f ca="1">IF(ISERROR($V987),"",OFFSET('Smelter Look-up'!$G$4,$V987-4,0))</f>
        <v/>
      </c>
      <c r="I987" s="172" t="str">
        <f ca="1">IF(ISERROR($V987),"",OFFSET('Smelter Look-up'!$H$4,$V987-4,0))</f>
        <v/>
      </c>
      <c r="J987" s="172" t="str">
        <f ca="1">IF(ISERROR($V987),"",OFFSET('Smelter Look-up'!$I$4,$V987-4,0))</f>
        <v/>
      </c>
      <c r="K987" s="173"/>
      <c r="L987" s="173"/>
      <c r="M987" s="173"/>
      <c r="N987" s="173"/>
      <c r="O987" s="173"/>
      <c r="P987" s="174"/>
      <c r="Q987" s="175"/>
      <c r="R987" s="168" t="str">
        <f ca="1">IF(ISERROR($V987),"",OFFSET('Smelter Look-up'!$C$4,$V987-4,0)&amp;"")</f>
        <v/>
      </c>
      <c r="S987" s="167" t="str">
        <f t="shared" ca="1" si="96"/>
        <v/>
      </c>
      <c r="T987" s="167" t="str">
        <f ca="1">IF(B987="","",IF(ISERROR(MATCH($J987,SorP!$B$1:$B$6230,0)),"",INDIRECT("'SorP'!$A$"&amp;MATCH($J987,SorP!$B$1:$B$6230,0))))</f>
        <v/>
      </c>
      <c r="U987" s="176"/>
      <c r="V987" s="177" t="e">
        <f>IF(C987="",NA(),IF(OR(C987="Smelter not listed",C987="Smelter not yet identified"),MATCH($B987&amp;$D987,'Smelter Look-up'!$J:$J,0),MATCH($B987&amp;$C987,'Smelter Look-up'!$J:$J,0)))</f>
        <v>#N/A</v>
      </c>
      <c r="X987" s="140">
        <f t="shared" ca="1" si="97"/>
        <v>0</v>
      </c>
      <c r="AB987" s="178" t="str">
        <f t="shared" si="98"/>
        <v/>
      </c>
    </row>
    <row r="988" spans="1:28" s="140" customFormat="1" ht="20.25">
      <c r="A988" s="167"/>
      <c r="B988" s="168" t="str">
        <f>IF(LEN(A988)=0,"",INDEX('Smelter Look-up'!$A:$A,MATCH($A988,'Smelter Look-up'!$E:$E,0)))</f>
        <v/>
      </c>
      <c r="C988" s="169" t="str">
        <f>IF(LEN(A988)=0,"",INDEX('Smelter Look-up'!$C:$C,MATCH($A988,'Smelter Look-up'!$E:$E,0)))</f>
        <v/>
      </c>
      <c r="D988" s="170"/>
      <c r="E988" s="168" t="str">
        <f ca="1">IF(ISERROR($V988),"",OFFSET('Smelter Look-up'!$D$4,$V988-4,0)&amp;"")</f>
        <v/>
      </c>
      <c r="F988" s="168" t="str">
        <f ca="1">IF(ISERROR($V988),"",OFFSET('Smelter Look-up'!$E$4,$V988-4,0))</f>
        <v/>
      </c>
      <c r="G988" s="168" t="str">
        <f ca="1">IF(C988=$X$4,IF(ISERROR($V988),"Enter smelter details","RMI"),IF(ISERROR($V988),"",OFFSET('Smelter Look-up'!$F$4,$V988-4,0)))</f>
        <v/>
      </c>
      <c r="H988" s="171" t="str">
        <f ca="1">IF(ISERROR($V988),"",OFFSET('Smelter Look-up'!$G$4,$V988-4,0))</f>
        <v/>
      </c>
      <c r="I988" s="172" t="str">
        <f ca="1">IF(ISERROR($V988),"",OFFSET('Smelter Look-up'!$H$4,$V988-4,0))</f>
        <v/>
      </c>
      <c r="J988" s="172" t="str">
        <f ca="1">IF(ISERROR($V988),"",OFFSET('Smelter Look-up'!$I$4,$V988-4,0))</f>
        <v/>
      </c>
      <c r="K988" s="173"/>
      <c r="L988" s="173"/>
      <c r="M988" s="173"/>
      <c r="N988" s="173"/>
      <c r="O988" s="173"/>
      <c r="P988" s="174"/>
      <c r="Q988" s="175"/>
      <c r="R988" s="168" t="str">
        <f ca="1">IF(ISERROR($V988),"",OFFSET('Smelter Look-up'!$C$4,$V988-4,0)&amp;"")</f>
        <v/>
      </c>
      <c r="S988" s="167" t="str">
        <f t="shared" ca="1" si="96"/>
        <v/>
      </c>
      <c r="T988" s="167" t="str">
        <f ca="1">IF(B988="","",IF(ISERROR(MATCH($J988,SorP!$B$1:$B$6230,0)),"",INDIRECT("'SorP'!$A$"&amp;MATCH($J988,SorP!$B$1:$B$6230,0))))</f>
        <v/>
      </c>
      <c r="U988" s="176"/>
      <c r="V988" s="177" t="e">
        <f>IF(C988="",NA(),IF(OR(C988="Smelter not listed",C988="Smelter not yet identified"),MATCH($B988&amp;$D988,'Smelter Look-up'!$J:$J,0),MATCH($B988&amp;$C988,'Smelter Look-up'!$J:$J,0)))</f>
        <v>#N/A</v>
      </c>
      <c r="X988" s="140">
        <f t="shared" ca="1" si="97"/>
        <v>0</v>
      </c>
      <c r="AB988" s="178" t="str">
        <f t="shared" si="98"/>
        <v/>
      </c>
    </row>
    <row r="989" spans="1:28" s="140" customFormat="1" ht="20.25">
      <c r="A989" s="167"/>
      <c r="B989" s="168" t="str">
        <f>IF(LEN(A989)=0,"",INDEX('Smelter Look-up'!$A:$A,MATCH($A989,'Smelter Look-up'!$E:$E,0)))</f>
        <v/>
      </c>
      <c r="C989" s="169" t="str">
        <f>IF(LEN(A989)=0,"",INDEX('Smelter Look-up'!$C:$C,MATCH($A989,'Smelter Look-up'!$E:$E,0)))</f>
        <v/>
      </c>
      <c r="D989" s="170"/>
      <c r="E989" s="168" t="str">
        <f ca="1">IF(ISERROR($V989),"",OFFSET('Smelter Look-up'!$D$4,$V989-4,0)&amp;"")</f>
        <v/>
      </c>
      <c r="F989" s="168" t="str">
        <f ca="1">IF(ISERROR($V989),"",OFFSET('Smelter Look-up'!$E$4,$V989-4,0))</f>
        <v/>
      </c>
      <c r="G989" s="168" t="str">
        <f ca="1">IF(C989=$X$4,IF(ISERROR($V989),"Enter smelter details","RMI"),IF(ISERROR($V989),"",OFFSET('Smelter Look-up'!$F$4,$V989-4,0)))</f>
        <v/>
      </c>
      <c r="H989" s="171" t="str">
        <f ca="1">IF(ISERROR($V989),"",OFFSET('Smelter Look-up'!$G$4,$V989-4,0))</f>
        <v/>
      </c>
      <c r="I989" s="172" t="str">
        <f ca="1">IF(ISERROR($V989),"",OFFSET('Smelter Look-up'!$H$4,$V989-4,0))</f>
        <v/>
      </c>
      <c r="J989" s="172" t="str">
        <f ca="1">IF(ISERROR($V989),"",OFFSET('Smelter Look-up'!$I$4,$V989-4,0))</f>
        <v/>
      </c>
      <c r="K989" s="173"/>
      <c r="L989" s="173"/>
      <c r="M989" s="173"/>
      <c r="N989" s="173"/>
      <c r="O989" s="173"/>
      <c r="P989" s="174"/>
      <c r="Q989" s="175"/>
      <c r="R989" s="168" t="str">
        <f ca="1">IF(ISERROR($V989),"",OFFSET('Smelter Look-up'!$C$4,$V989-4,0)&amp;"")</f>
        <v/>
      </c>
      <c r="S989" s="167" t="str">
        <f t="shared" ca="1" si="96"/>
        <v/>
      </c>
      <c r="T989" s="167" t="str">
        <f ca="1">IF(B989="","",IF(ISERROR(MATCH($J989,SorP!$B$1:$B$6230,0)),"",INDIRECT("'SorP'!$A$"&amp;MATCH($J989,SorP!$B$1:$B$6230,0))))</f>
        <v/>
      </c>
      <c r="U989" s="176"/>
      <c r="V989" s="177" t="e">
        <f>IF(C989="",NA(),IF(OR(C989="Smelter not listed",C989="Smelter not yet identified"),MATCH($B989&amp;$D989,'Smelter Look-up'!$J:$J,0),MATCH($B989&amp;$C989,'Smelter Look-up'!$J:$J,0)))</f>
        <v>#N/A</v>
      </c>
      <c r="X989" s="140">
        <f t="shared" ca="1" si="97"/>
        <v>0</v>
      </c>
      <c r="AB989" s="178" t="str">
        <f t="shared" si="98"/>
        <v/>
      </c>
    </row>
    <row r="990" spans="1:28" s="140" customFormat="1" ht="20.25">
      <c r="A990" s="167"/>
      <c r="B990" s="168" t="str">
        <f>IF(LEN(A990)=0,"",INDEX('Smelter Look-up'!$A:$A,MATCH($A990,'Smelter Look-up'!$E:$E,0)))</f>
        <v/>
      </c>
      <c r="C990" s="169" t="str">
        <f>IF(LEN(A990)=0,"",INDEX('Smelter Look-up'!$C:$C,MATCH($A990,'Smelter Look-up'!$E:$E,0)))</f>
        <v/>
      </c>
      <c r="D990" s="170"/>
      <c r="E990" s="168" t="str">
        <f ca="1">IF(ISERROR($V990),"",OFFSET('Smelter Look-up'!$D$4,$V990-4,0)&amp;"")</f>
        <v/>
      </c>
      <c r="F990" s="168" t="str">
        <f ca="1">IF(ISERROR($V990),"",OFFSET('Smelter Look-up'!$E$4,$V990-4,0))</f>
        <v/>
      </c>
      <c r="G990" s="168" t="str">
        <f ca="1">IF(C990=$X$4,IF(ISERROR($V990),"Enter smelter details","RMI"),IF(ISERROR($V990),"",OFFSET('Smelter Look-up'!$F$4,$V990-4,0)))</f>
        <v/>
      </c>
      <c r="H990" s="171" t="str">
        <f ca="1">IF(ISERROR($V990),"",OFFSET('Smelter Look-up'!$G$4,$V990-4,0))</f>
        <v/>
      </c>
      <c r="I990" s="172" t="str">
        <f ca="1">IF(ISERROR($V990),"",OFFSET('Smelter Look-up'!$H$4,$V990-4,0))</f>
        <v/>
      </c>
      <c r="J990" s="172" t="str">
        <f ca="1">IF(ISERROR($V990),"",OFFSET('Smelter Look-up'!$I$4,$V990-4,0))</f>
        <v/>
      </c>
      <c r="K990" s="173"/>
      <c r="L990" s="173"/>
      <c r="M990" s="173"/>
      <c r="N990" s="173"/>
      <c r="O990" s="173"/>
      <c r="P990" s="174"/>
      <c r="Q990" s="175"/>
      <c r="R990" s="168" t="str">
        <f ca="1">IF(ISERROR($V990),"",OFFSET('Smelter Look-up'!$C$4,$V990-4,0)&amp;"")</f>
        <v/>
      </c>
      <c r="S990" s="167" t="str">
        <f t="shared" ca="1" si="96"/>
        <v/>
      </c>
      <c r="T990" s="167" t="str">
        <f ca="1">IF(B990="","",IF(ISERROR(MATCH($J990,SorP!$B$1:$B$6230,0)),"",INDIRECT("'SorP'!$A$"&amp;MATCH($J990,SorP!$B$1:$B$6230,0))))</f>
        <v/>
      </c>
      <c r="U990" s="176"/>
      <c r="V990" s="177" t="e">
        <f>IF(C990="",NA(),IF(OR(C990="Smelter not listed",C990="Smelter not yet identified"),MATCH($B990&amp;$D990,'Smelter Look-up'!$J:$J,0),MATCH($B990&amp;$C990,'Smelter Look-up'!$J:$J,0)))</f>
        <v>#N/A</v>
      </c>
      <c r="X990" s="140">
        <f t="shared" ca="1" si="97"/>
        <v>0</v>
      </c>
      <c r="AB990" s="178" t="str">
        <f t="shared" si="98"/>
        <v/>
      </c>
    </row>
    <row r="991" spans="1:28" s="140" customFormat="1" ht="20.25">
      <c r="A991" s="167"/>
      <c r="B991" s="168" t="str">
        <f>IF(LEN(A991)=0,"",INDEX('Smelter Look-up'!$A:$A,MATCH($A991,'Smelter Look-up'!$E:$E,0)))</f>
        <v/>
      </c>
      <c r="C991" s="169" t="str">
        <f>IF(LEN(A991)=0,"",INDEX('Smelter Look-up'!$C:$C,MATCH($A991,'Smelter Look-up'!$E:$E,0)))</f>
        <v/>
      </c>
      <c r="D991" s="170"/>
      <c r="E991" s="168" t="str">
        <f ca="1">IF(ISERROR($V991),"",OFFSET('Smelter Look-up'!$D$4,$V991-4,0)&amp;"")</f>
        <v/>
      </c>
      <c r="F991" s="168" t="str">
        <f ca="1">IF(ISERROR($V991),"",OFFSET('Smelter Look-up'!$E$4,$V991-4,0))</f>
        <v/>
      </c>
      <c r="G991" s="168" t="str">
        <f ca="1">IF(C991=$X$4,IF(ISERROR($V991),"Enter smelter details","RMI"),IF(ISERROR($V991),"",OFFSET('Smelter Look-up'!$F$4,$V991-4,0)))</f>
        <v/>
      </c>
      <c r="H991" s="171" t="str">
        <f ca="1">IF(ISERROR($V991),"",OFFSET('Smelter Look-up'!$G$4,$V991-4,0))</f>
        <v/>
      </c>
      <c r="I991" s="172" t="str">
        <f ca="1">IF(ISERROR($V991),"",OFFSET('Smelter Look-up'!$H$4,$V991-4,0))</f>
        <v/>
      </c>
      <c r="J991" s="172" t="str">
        <f ca="1">IF(ISERROR($V991),"",OFFSET('Smelter Look-up'!$I$4,$V991-4,0))</f>
        <v/>
      </c>
      <c r="K991" s="173"/>
      <c r="L991" s="173"/>
      <c r="M991" s="173"/>
      <c r="N991" s="173"/>
      <c r="O991" s="173"/>
      <c r="P991" s="174"/>
      <c r="Q991" s="175"/>
      <c r="R991" s="168" t="str">
        <f ca="1">IF(ISERROR($V991),"",OFFSET('Smelter Look-up'!$C$4,$V991-4,0)&amp;"")</f>
        <v/>
      </c>
      <c r="S991" s="167" t="str">
        <f t="shared" ca="1" si="96"/>
        <v/>
      </c>
      <c r="T991" s="167" t="str">
        <f ca="1">IF(B991="","",IF(ISERROR(MATCH($J991,SorP!$B$1:$B$6230,0)),"",INDIRECT("'SorP'!$A$"&amp;MATCH($J991,SorP!$B$1:$B$6230,0))))</f>
        <v/>
      </c>
      <c r="U991" s="176"/>
      <c r="V991" s="177" t="e">
        <f>IF(C991="",NA(),IF(OR(C991="Smelter not listed",C991="Smelter not yet identified"),MATCH($B991&amp;$D991,'Smelter Look-up'!$J:$J,0),MATCH($B991&amp;$C991,'Smelter Look-up'!$J:$J,0)))</f>
        <v>#N/A</v>
      </c>
      <c r="X991" s="140">
        <f t="shared" ca="1" si="97"/>
        <v>0</v>
      </c>
      <c r="AB991" s="178" t="str">
        <f t="shared" si="98"/>
        <v/>
      </c>
    </row>
    <row r="992" spans="1:28" s="140" customFormat="1" ht="20.25">
      <c r="A992" s="167"/>
      <c r="B992" s="168" t="str">
        <f>IF(LEN(A992)=0,"",INDEX('Smelter Look-up'!$A:$A,MATCH($A992,'Smelter Look-up'!$E:$E,0)))</f>
        <v/>
      </c>
      <c r="C992" s="169" t="str">
        <f>IF(LEN(A992)=0,"",INDEX('Smelter Look-up'!$C:$C,MATCH($A992,'Smelter Look-up'!$E:$E,0)))</f>
        <v/>
      </c>
      <c r="D992" s="170"/>
      <c r="E992" s="168" t="str">
        <f ca="1">IF(ISERROR($V992),"",OFFSET('Smelter Look-up'!$D$4,$V992-4,0)&amp;"")</f>
        <v/>
      </c>
      <c r="F992" s="168" t="str">
        <f ca="1">IF(ISERROR($V992),"",OFFSET('Smelter Look-up'!$E$4,$V992-4,0))</f>
        <v/>
      </c>
      <c r="G992" s="168" t="str">
        <f ca="1">IF(C992=$X$4,IF(ISERROR($V992),"Enter smelter details","RMI"),IF(ISERROR($V992),"",OFFSET('Smelter Look-up'!$F$4,$V992-4,0)))</f>
        <v/>
      </c>
      <c r="H992" s="171" t="str">
        <f ca="1">IF(ISERROR($V992),"",OFFSET('Smelter Look-up'!$G$4,$V992-4,0))</f>
        <v/>
      </c>
      <c r="I992" s="172" t="str">
        <f ca="1">IF(ISERROR($V992),"",OFFSET('Smelter Look-up'!$H$4,$V992-4,0))</f>
        <v/>
      </c>
      <c r="J992" s="172" t="str">
        <f ca="1">IF(ISERROR($V992),"",OFFSET('Smelter Look-up'!$I$4,$V992-4,0))</f>
        <v/>
      </c>
      <c r="K992" s="173"/>
      <c r="L992" s="173"/>
      <c r="M992" s="173"/>
      <c r="N992" s="173"/>
      <c r="O992" s="173"/>
      <c r="P992" s="174"/>
      <c r="Q992" s="175"/>
      <c r="R992" s="168" t="str">
        <f ca="1">IF(ISERROR($V992),"",OFFSET('Smelter Look-up'!$C$4,$V992-4,0)&amp;"")</f>
        <v/>
      </c>
      <c r="S992" s="167" t="str">
        <f t="shared" ca="1" si="96"/>
        <v/>
      </c>
      <c r="T992" s="167" t="str">
        <f ca="1">IF(B992="","",IF(ISERROR(MATCH($J992,SorP!$B$1:$B$6230,0)),"",INDIRECT("'SorP'!$A$"&amp;MATCH($J992,SorP!$B$1:$B$6230,0))))</f>
        <v/>
      </c>
      <c r="U992" s="176"/>
      <c r="V992" s="177" t="e">
        <f>IF(C992="",NA(),IF(OR(C992="Smelter not listed",C992="Smelter not yet identified"),MATCH($B992&amp;$D992,'Smelter Look-up'!$J:$J,0),MATCH($B992&amp;$C992,'Smelter Look-up'!$J:$J,0)))</f>
        <v>#N/A</v>
      </c>
      <c r="X992" s="140">
        <f t="shared" ca="1" si="97"/>
        <v>0</v>
      </c>
      <c r="AB992" s="178" t="str">
        <f t="shared" si="98"/>
        <v/>
      </c>
    </row>
    <row r="993" spans="1:28" s="140" customFormat="1" ht="20.25">
      <c r="A993" s="167"/>
      <c r="B993" s="168" t="str">
        <f>IF(LEN(A993)=0,"",INDEX('Smelter Look-up'!$A:$A,MATCH($A993,'Smelter Look-up'!$E:$E,0)))</f>
        <v/>
      </c>
      <c r="C993" s="169" t="str">
        <f>IF(LEN(A993)=0,"",INDEX('Smelter Look-up'!$C:$C,MATCH($A993,'Smelter Look-up'!$E:$E,0)))</f>
        <v/>
      </c>
      <c r="D993" s="170"/>
      <c r="E993" s="168" t="str">
        <f ca="1">IF(ISERROR($V993),"",OFFSET('Smelter Look-up'!$D$4,$V993-4,0)&amp;"")</f>
        <v/>
      </c>
      <c r="F993" s="168" t="str">
        <f ca="1">IF(ISERROR($V993),"",OFFSET('Smelter Look-up'!$E$4,$V993-4,0))</f>
        <v/>
      </c>
      <c r="G993" s="168" t="str">
        <f ca="1">IF(C993=$X$4,IF(ISERROR($V993),"Enter smelter details","RMI"),IF(ISERROR($V993),"",OFFSET('Smelter Look-up'!$F$4,$V993-4,0)))</f>
        <v/>
      </c>
      <c r="H993" s="171" t="str">
        <f ca="1">IF(ISERROR($V993),"",OFFSET('Smelter Look-up'!$G$4,$V993-4,0))</f>
        <v/>
      </c>
      <c r="I993" s="172" t="str">
        <f ca="1">IF(ISERROR($V993),"",OFFSET('Smelter Look-up'!$H$4,$V993-4,0))</f>
        <v/>
      </c>
      <c r="J993" s="172" t="str">
        <f ca="1">IF(ISERROR($V993),"",OFFSET('Smelter Look-up'!$I$4,$V993-4,0))</f>
        <v/>
      </c>
      <c r="K993" s="173"/>
      <c r="L993" s="173"/>
      <c r="M993" s="173"/>
      <c r="N993" s="173"/>
      <c r="O993" s="173"/>
      <c r="P993" s="174"/>
      <c r="Q993" s="175"/>
      <c r="R993" s="168" t="str">
        <f ca="1">IF(ISERROR($V993),"",OFFSET('Smelter Look-up'!$C$4,$V993-4,0)&amp;"")</f>
        <v/>
      </c>
      <c r="S993" s="167" t="str">
        <f t="shared" ca="1" si="96"/>
        <v/>
      </c>
      <c r="T993" s="167" t="str">
        <f ca="1">IF(B993="","",IF(ISERROR(MATCH($J993,SorP!$B$1:$B$6230,0)),"",INDIRECT("'SorP'!$A$"&amp;MATCH($J993,SorP!$B$1:$B$6230,0))))</f>
        <v/>
      </c>
      <c r="U993" s="176"/>
      <c r="V993" s="177" t="e">
        <f>IF(C993="",NA(),IF(OR(C993="Smelter not listed",C993="Smelter not yet identified"),MATCH($B993&amp;$D993,'Smelter Look-up'!$J:$J,0),MATCH($B993&amp;$C993,'Smelter Look-up'!$J:$J,0)))</f>
        <v>#N/A</v>
      </c>
      <c r="X993" s="140">
        <f t="shared" ca="1" si="97"/>
        <v>0</v>
      </c>
      <c r="AB993" s="178" t="str">
        <f t="shared" si="98"/>
        <v/>
      </c>
    </row>
    <row r="994" spans="1:28" s="140" customFormat="1" ht="20.25">
      <c r="A994" s="167"/>
      <c r="B994" s="168" t="str">
        <f>IF(LEN(A994)=0,"",INDEX('Smelter Look-up'!$A:$A,MATCH($A994,'Smelter Look-up'!$E:$E,0)))</f>
        <v/>
      </c>
      <c r="C994" s="169" t="str">
        <f>IF(LEN(A994)=0,"",INDEX('Smelter Look-up'!$C:$C,MATCH($A994,'Smelter Look-up'!$E:$E,0)))</f>
        <v/>
      </c>
      <c r="D994" s="170"/>
      <c r="E994" s="168" t="str">
        <f ca="1">IF(ISERROR($V994),"",OFFSET('Smelter Look-up'!$D$4,$V994-4,0)&amp;"")</f>
        <v/>
      </c>
      <c r="F994" s="168" t="str">
        <f ca="1">IF(ISERROR($V994),"",OFFSET('Smelter Look-up'!$E$4,$V994-4,0))</f>
        <v/>
      </c>
      <c r="G994" s="168" t="str">
        <f ca="1">IF(C994=$X$4,IF(ISERROR($V994),"Enter smelter details","RMI"),IF(ISERROR($V994),"",OFFSET('Smelter Look-up'!$F$4,$V994-4,0)))</f>
        <v/>
      </c>
      <c r="H994" s="171" t="str">
        <f ca="1">IF(ISERROR($V994),"",OFFSET('Smelter Look-up'!$G$4,$V994-4,0))</f>
        <v/>
      </c>
      <c r="I994" s="172" t="str">
        <f ca="1">IF(ISERROR($V994),"",OFFSET('Smelter Look-up'!$H$4,$V994-4,0))</f>
        <v/>
      </c>
      <c r="J994" s="172" t="str">
        <f ca="1">IF(ISERROR($V994),"",OFFSET('Smelter Look-up'!$I$4,$V994-4,0))</f>
        <v/>
      </c>
      <c r="K994" s="173"/>
      <c r="L994" s="173"/>
      <c r="M994" s="173"/>
      <c r="N994" s="173"/>
      <c r="O994" s="173"/>
      <c r="P994" s="174"/>
      <c r="Q994" s="175"/>
      <c r="R994" s="168" t="str">
        <f ca="1">IF(ISERROR($V994),"",OFFSET('Smelter Look-up'!$C$4,$V994-4,0)&amp;"")</f>
        <v/>
      </c>
      <c r="S994" s="167" t="str">
        <f t="shared" ca="1" si="96"/>
        <v/>
      </c>
      <c r="T994" s="167" t="str">
        <f ca="1">IF(B994="","",IF(ISERROR(MATCH($J994,SorP!$B$1:$B$6230,0)),"",INDIRECT("'SorP'!$A$"&amp;MATCH($J994,SorP!$B$1:$B$6230,0))))</f>
        <v/>
      </c>
      <c r="U994" s="176"/>
      <c r="V994" s="177" t="e">
        <f>IF(C994="",NA(),IF(OR(C994="Smelter not listed",C994="Smelter not yet identified"),MATCH($B994&amp;$D994,'Smelter Look-up'!$J:$J,0),MATCH($B994&amp;$C994,'Smelter Look-up'!$J:$J,0)))</f>
        <v>#N/A</v>
      </c>
      <c r="X994" s="140">
        <f t="shared" ca="1" si="97"/>
        <v>0</v>
      </c>
      <c r="AB994" s="178" t="str">
        <f t="shared" si="98"/>
        <v/>
      </c>
    </row>
    <row r="995" spans="1:28" s="140" customFormat="1" ht="20.25">
      <c r="A995" s="167"/>
      <c r="B995" s="168" t="str">
        <f>IF(LEN(A995)=0,"",INDEX('Smelter Look-up'!$A:$A,MATCH($A995,'Smelter Look-up'!$E:$E,0)))</f>
        <v/>
      </c>
      <c r="C995" s="169" t="str">
        <f>IF(LEN(A995)=0,"",INDEX('Smelter Look-up'!$C:$C,MATCH($A995,'Smelter Look-up'!$E:$E,0)))</f>
        <v/>
      </c>
      <c r="D995" s="170"/>
      <c r="E995" s="168" t="str">
        <f ca="1">IF(ISERROR($V995),"",OFFSET('Smelter Look-up'!$D$4,$V995-4,0)&amp;"")</f>
        <v/>
      </c>
      <c r="F995" s="168" t="str">
        <f ca="1">IF(ISERROR($V995),"",OFFSET('Smelter Look-up'!$E$4,$V995-4,0))</f>
        <v/>
      </c>
      <c r="G995" s="168" t="str">
        <f ca="1">IF(C995=$X$4,IF(ISERROR($V995),"Enter smelter details","RMI"),IF(ISERROR($V995),"",OFFSET('Smelter Look-up'!$F$4,$V995-4,0)))</f>
        <v/>
      </c>
      <c r="H995" s="171" t="str">
        <f ca="1">IF(ISERROR($V995),"",OFFSET('Smelter Look-up'!$G$4,$V995-4,0))</f>
        <v/>
      </c>
      <c r="I995" s="172" t="str">
        <f ca="1">IF(ISERROR($V995),"",OFFSET('Smelter Look-up'!$H$4,$V995-4,0))</f>
        <v/>
      </c>
      <c r="J995" s="172" t="str">
        <f ca="1">IF(ISERROR($V995),"",OFFSET('Smelter Look-up'!$I$4,$V995-4,0))</f>
        <v/>
      </c>
      <c r="K995" s="173"/>
      <c r="L995" s="173"/>
      <c r="M995" s="173"/>
      <c r="N995" s="173"/>
      <c r="O995" s="173"/>
      <c r="P995" s="174"/>
      <c r="Q995" s="175"/>
      <c r="R995" s="168" t="str">
        <f ca="1">IF(ISERROR($V995),"",OFFSET('Smelter Look-up'!$C$4,$V995-4,0)&amp;"")</f>
        <v/>
      </c>
      <c r="S995" s="167" t="str">
        <f t="shared" ca="1" si="96"/>
        <v/>
      </c>
      <c r="T995" s="167" t="str">
        <f ca="1">IF(B995="","",IF(ISERROR(MATCH($J995,SorP!$B$1:$B$6230,0)),"",INDIRECT("'SorP'!$A$"&amp;MATCH($J995,SorP!$B$1:$B$6230,0))))</f>
        <v/>
      </c>
      <c r="U995" s="176"/>
      <c r="V995" s="177" t="e">
        <f>IF(C995="",NA(),IF(OR(C995="Smelter not listed",C995="Smelter not yet identified"),MATCH($B995&amp;$D995,'Smelter Look-up'!$J:$J,0),MATCH($B995&amp;$C995,'Smelter Look-up'!$J:$J,0)))</f>
        <v>#N/A</v>
      </c>
      <c r="X995" s="140">
        <f t="shared" ca="1" si="97"/>
        <v>0</v>
      </c>
      <c r="AB995" s="178" t="str">
        <f t="shared" si="98"/>
        <v/>
      </c>
    </row>
    <row r="996" spans="1:28" s="140" customFormat="1" ht="20.25">
      <c r="A996" s="167"/>
      <c r="B996" s="168" t="str">
        <f>IF(LEN(A996)=0,"",INDEX('Smelter Look-up'!$A:$A,MATCH($A996,'Smelter Look-up'!$E:$E,0)))</f>
        <v/>
      </c>
      <c r="C996" s="169" t="str">
        <f>IF(LEN(A996)=0,"",INDEX('Smelter Look-up'!$C:$C,MATCH($A996,'Smelter Look-up'!$E:$E,0)))</f>
        <v/>
      </c>
      <c r="D996" s="170"/>
      <c r="E996" s="168" t="str">
        <f ca="1">IF(ISERROR($V996),"",OFFSET('Smelter Look-up'!$D$4,$V996-4,0)&amp;"")</f>
        <v/>
      </c>
      <c r="F996" s="168" t="str">
        <f ca="1">IF(ISERROR($V996),"",OFFSET('Smelter Look-up'!$E$4,$V996-4,0))</f>
        <v/>
      </c>
      <c r="G996" s="168" t="str">
        <f ca="1">IF(C996=$X$4,IF(ISERROR($V996),"Enter smelter details","RMI"),IF(ISERROR($V996),"",OFFSET('Smelter Look-up'!$F$4,$V996-4,0)))</f>
        <v/>
      </c>
      <c r="H996" s="171" t="str">
        <f ca="1">IF(ISERROR($V996),"",OFFSET('Smelter Look-up'!$G$4,$V996-4,0))</f>
        <v/>
      </c>
      <c r="I996" s="172" t="str">
        <f ca="1">IF(ISERROR($V996),"",OFFSET('Smelter Look-up'!$H$4,$V996-4,0))</f>
        <v/>
      </c>
      <c r="J996" s="172" t="str">
        <f ca="1">IF(ISERROR($V996),"",OFFSET('Smelter Look-up'!$I$4,$V996-4,0))</f>
        <v/>
      </c>
      <c r="K996" s="173"/>
      <c r="L996" s="173"/>
      <c r="M996" s="173"/>
      <c r="N996" s="173"/>
      <c r="O996" s="173"/>
      <c r="P996" s="174"/>
      <c r="Q996" s="175"/>
      <c r="R996" s="168" t="str">
        <f ca="1">IF(ISERROR($V996),"",OFFSET('Smelter Look-up'!$C$4,$V996-4,0)&amp;"")</f>
        <v/>
      </c>
      <c r="S996" s="167" t="str">
        <f t="shared" ca="1" si="96"/>
        <v/>
      </c>
      <c r="T996" s="167" t="str">
        <f ca="1">IF(B996="","",IF(ISERROR(MATCH($J996,SorP!$B$1:$B$6230,0)),"",INDIRECT("'SorP'!$A$"&amp;MATCH($J996,SorP!$B$1:$B$6230,0))))</f>
        <v/>
      </c>
      <c r="U996" s="176"/>
      <c r="V996" s="177" t="e">
        <f>IF(C996="",NA(),IF(OR(C996="Smelter not listed",C996="Smelter not yet identified"),MATCH($B996&amp;$D996,'Smelter Look-up'!$J:$J,0),MATCH($B996&amp;$C996,'Smelter Look-up'!$J:$J,0)))</f>
        <v>#N/A</v>
      </c>
      <c r="X996" s="140">
        <f t="shared" ca="1" si="97"/>
        <v>0</v>
      </c>
      <c r="AB996" s="178" t="str">
        <f t="shared" si="98"/>
        <v/>
      </c>
    </row>
    <row r="997" spans="1:28" s="140" customFormat="1" ht="20.25">
      <c r="A997" s="167"/>
      <c r="B997" s="168" t="str">
        <f>IF(LEN(A997)=0,"",INDEX('Smelter Look-up'!$A:$A,MATCH($A997,'Smelter Look-up'!$E:$E,0)))</f>
        <v/>
      </c>
      <c r="C997" s="169" t="str">
        <f>IF(LEN(A997)=0,"",INDEX('Smelter Look-up'!$C:$C,MATCH($A997,'Smelter Look-up'!$E:$E,0)))</f>
        <v/>
      </c>
      <c r="D997" s="170"/>
      <c r="E997" s="168" t="str">
        <f ca="1">IF(ISERROR($V997),"",OFFSET('Smelter Look-up'!$D$4,$V997-4,0)&amp;"")</f>
        <v/>
      </c>
      <c r="F997" s="168" t="str">
        <f ca="1">IF(ISERROR($V997),"",OFFSET('Smelter Look-up'!$E$4,$V997-4,0))</f>
        <v/>
      </c>
      <c r="G997" s="168" t="str">
        <f ca="1">IF(C997=$X$4,IF(ISERROR($V997),"Enter smelter details","RMI"),IF(ISERROR($V997),"",OFFSET('Smelter Look-up'!$F$4,$V997-4,0)))</f>
        <v/>
      </c>
      <c r="H997" s="171" t="str">
        <f ca="1">IF(ISERROR($V997),"",OFFSET('Smelter Look-up'!$G$4,$V997-4,0))</f>
        <v/>
      </c>
      <c r="I997" s="172" t="str">
        <f ca="1">IF(ISERROR($V997),"",OFFSET('Smelter Look-up'!$H$4,$V997-4,0))</f>
        <v/>
      </c>
      <c r="J997" s="172" t="str">
        <f ca="1">IF(ISERROR($V997),"",OFFSET('Smelter Look-up'!$I$4,$V997-4,0))</f>
        <v/>
      </c>
      <c r="K997" s="173"/>
      <c r="L997" s="173"/>
      <c r="M997" s="173"/>
      <c r="N997" s="173"/>
      <c r="O997" s="173"/>
      <c r="P997" s="174"/>
      <c r="Q997" s="175"/>
      <c r="R997" s="168" t="str">
        <f ca="1">IF(ISERROR($V997),"",OFFSET('Smelter Look-up'!$C$4,$V997-4,0)&amp;"")</f>
        <v/>
      </c>
      <c r="S997" s="167" t="str">
        <f t="shared" ref="S997:S1060" ca="1" si="99">IF(B997="","",IF(ISERROR(MATCH($E997,CL,0)),"Unknown",INDIRECT("'C'!$A$"&amp;MATCH($E997,CL,0)+1)))</f>
        <v/>
      </c>
      <c r="T997" s="167" t="str">
        <f ca="1">IF(B997="","",IF(ISERROR(MATCH($J997,SorP!$B$1:$B$6230,0)),"",INDIRECT("'SorP'!$A$"&amp;MATCH($J997,SorP!$B$1:$B$6230,0))))</f>
        <v/>
      </c>
      <c r="U997" s="176"/>
      <c r="V997" s="177" t="e">
        <f>IF(C997="",NA(),IF(OR(C997="Smelter not listed",C997="Smelter not yet identified"),MATCH($B997&amp;$D997,'Smelter Look-up'!$J:$J,0),MATCH($B997&amp;$C997,'Smelter Look-up'!$J:$J,0)))</f>
        <v>#N/A</v>
      </c>
      <c r="X997" s="140">
        <f t="shared" ref="X997:X1060" ca="1" si="100">IF(AND(C997="Smelter not listed",OR(LEN(D997)=0,LEN(E997)=0)),1,0)</f>
        <v>0</v>
      </c>
      <c r="AB997" s="178" t="str">
        <f t="shared" ref="AB997:AB1060" si="101">B997&amp;C997</f>
        <v/>
      </c>
    </row>
    <row r="998" spans="1:28" s="140" customFormat="1" ht="20.25">
      <c r="A998" s="167"/>
      <c r="B998" s="168" t="str">
        <f>IF(LEN(A998)=0,"",INDEX('Smelter Look-up'!$A:$A,MATCH($A998,'Smelter Look-up'!$E:$E,0)))</f>
        <v/>
      </c>
      <c r="C998" s="169" t="str">
        <f>IF(LEN(A998)=0,"",INDEX('Smelter Look-up'!$C:$C,MATCH($A998,'Smelter Look-up'!$E:$E,0)))</f>
        <v/>
      </c>
      <c r="D998" s="170"/>
      <c r="E998" s="168" t="str">
        <f ca="1">IF(ISERROR($V998),"",OFFSET('Smelter Look-up'!$D$4,$V998-4,0)&amp;"")</f>
        <v/>
      </c>
      <c r="F998" s="168" t="str">
        <f ca="1">IF(ISERROR($V998),"",OFFSET('Smelter Look-up'!$E$4,$V998-4,0))</f>
        <v/>
      </c>
      <c r="G998" s="168" t="str">
        <f ca="1">IF(C998=$X$4,IF(ISERROR($V998),"Enter smelter details","RMI"),IF(ISERROR($V998),"",OFFSET('Smelter Look-up'!$F$4,$V998-4,0)))</f>
        <v/>
      </c>
      <c r="H998" s="171" t="str">
        <f ca="1">IF(ISERROR($V998),"",OFFSET('Smelter Look-up'!$G$4,$V998-4,0))</f>
        <v/>
      </c>
      <c r="I998" s="172" t="str">
        <f ca="1">IF(ISERROR($V998),"",OFFSET('Smelter Look-up'!$H$4,$V998-4,0))</f>
        <v/>
      </c>
      <c r="J998" s="172" t="str">
        <f ca="1">IF(ISERROR($V998),"",OFFSET('Smelter Look-up'!$I$4,$V998-4,0))</f>
        <v/>
      </c>
      <c r="K998" s="173"/>
      <c r="L998" s="173"/>
      <c r="M998" s="173"/>
      <c r="N998" s="173"/>
      <c r="O998" s="173"/>
      <c r="P998" s="174"/>
      <c r="Q998" s="175"/>
      <c r="R998" s="168" t="str">
        <f ca="1">IF(ISERROR($V998),"",OFFSET('Smelter Look-up'!$C$4,$V998-4,0)&amp;"")</f>
        <v/>
      </c>
      <c r="S998" s="167" t="str">
        <f t="shared" ca="1" si="99"/>
        <v/>
      </c>
      <c r="T998" s="167" t="str">
        <f ca="1">IF(B998="","",IF(ISERROR(MATCH($J998,SorP!$B$1:$B$6230,0)),"",INDIRECT("'SorP'!$A$"&amp;MATCH($J998,SorP!$B$1:$B$6230,0))))</f>
        <v/>
      </c>
      <c r="U998" s="176"/>
      <c r="V998" s="177" t="e">
        <f>IF(C998="",NA(),IF(OR(C998="Smelter not listed",C998="Smelter not yet identified"),MATCH($B998&amp;$D998,'Smelter Look-up'!$J:$J,0),MATCH($B998&amp;$C998,'Smelter Look-up'!$J:$J,0)))</f>
        <v>#N/A</v>
      </c>
      <c r="X998" s="140">
        <f t="shared" ca="1" si="100"/>
        <v>0</v>
      </c>
      <c r="AB998" s="178" t="str">
        <f t="shared" si="101"/>
        <v/>
      </c>
    </row>
    <row r="999" spans="1:28" s="140" customFormat="1" ht="20.25">
      <c r="A999" s="167"/>
      <c r="B999" s="168" t="str">
        <f>IF(LEN(A999)=0,"",INDEX('Smelter Look-up'!$A:$A,MATCH($A999,'Smelter Look-up'!$E:$E,0)))</f>
        <v/>
      </c>
      <c r="C999" s="169" t="str">
        <f>IF(LEN(A999)=0,"",INDEX('Smelter Look-up'!$C:$C,MATCH($A999,'Smelter Look-up'!$E:$E,0)))</f>
        <v/>
      </c>
      <c r="D999" s="170"/>
      <c r="E999" s="168" t="str">
        <f ca="1">IF(ISERROR($V999),"",OFFSET('Smelter Look-up'!$D$4,$V999-4,0)&amp;"")</f>
        <v/>
      </c>
      <c r="F999" s="168" t="str">
        <f ca="1">IF(ISERROR($V999),"",OFFSET('Smelter Look-up'!$E$4,$V999-4,0))</f>
        <v/>
      </c>
      <c r="G999" s="168" t="str">
        <f ca="1">IF(C999=$X$4,IF(ISERROR($V999),"Enter smelter details","RMI"),IF(ISERROR($V999),"",OFFSET('Smelter Look-up'!$F$4,$V999-4,0)))</f>
        <v/>
      </c>
      <c r="H999" s="171" t="str">
        <f ca="1">IF(ISERROR($V999),"",OFFSET('Smelter Look-up'!$G$4,$V999-4,0))</f>
        <v/>
      </c>
      <c r="I999" s="172" t="str">
        <f ca="1">IF(ISERROR($V999),"",OFFSET('Smelter Look-up'!$H$4,$V999-4,0))</f>
        <v/>
      </c>
      <c r="J999" s="172" t="str">
        <f ca="1">IF(ISERROR($V999),"",OFFSET('Smelter Look-up'!$I$4,$V999-4,0))</f>
        <v/>
      </c>
      <c r="K999" s="173"/>
      <c r="L999" s="173"/>
      <c r="M999" s="173"/>
      <c r="N999" s="173"/>
      <c r="O999" s="173"/>
      <c r="P999" s="174"/>
      <c r="Q999" s="175"/>
      <c r="R999" s="168" t="str">
        <f ca="1">IF(ISERROR($V999),"",OFFSET('Smelter Look-up'!$C$4,$V999-4,0)&amp;"")</f>
        <v/>
      </c>
      <c r="S999" s="167" t="str">
        <f t="shared" ca="1" si="99"/>
        <v/>
      </c>
      <c r="T999" s="167" t="str">
        <f ca="1">IF(B999="","",IF(ISERROR(MATCH($J999,SorP!$B$1:$B$6230,0)),"",INDIRECT("'SorP'!$A$"&amp;MATCH($J999,SorP!$B$1:$B$6230,0))))</f>
        <v/>
      </c>
      <c r="U999" s="176"/>
      <c r="V999" s="177" t="e">
        <f>IF(C999="",NA(),IF(OR(C999="Smelter not listed",C999="Smelter not yet identified"),MATCH($B999&amp;$D999,'Smelter Look-up'!$J:$J,0),MATCH($B999&amp;$C999,'Smelter Look-up'!$J:$J,0)))</f>
        <v>#N/A</v>
      </c>
      <c r="X999" s="140">
        <f t="shared" ca="1" si="100"/>
        <v>0</v>
      </c>
      <c r="AB999" s="178" t="str">
        <f t="shared" si="101"/>
        <v/>
      </c>
    </row>
    <row r="1000" spans="1:28" s="140" customFormat="1" ht="20.25">
      <c r="A1000" s="167"/>
      <c r="B1000" s="168" t="str">
        <f>IF(LEN(A1000)=0,"",INDEX('Smelter Look-up'!$A:$A,MATCH($A1000,'Smelter Look-up'!$E:$E,0)))</f>
        <v/>
      </c>
      <c r="C1000" s="169" t="str">
        <f>IF(LEN(A1000)=0,"",INDEX('Smelter Look-up'!$C:$C,MATCH($A1000,'Smelter Look-up'!$E:$E,0)))</f>
        <v/>
      </c>
      <c r="D1000" s="170"/>
      <c r="E1000" s="168" t="str">
        <f ca="1">IF(ISERROR($V1000),"",OFFSET('Smelter Look-up'!$D$4,$V1000-4,0)&amp;"")</f>
        <v/>
      </c>
      <c r="F1000" s="168" t="str">
        <f ca="1">IF(ISERROR($V1000),"",OFFSET('Smelter Look-up'!$E$4,$V1000-4,0))</f>
        <v/>
      </c>
      <c r="G1000" s="168" t="str">
        <f ca="1">IF(C1000=$X$4,IF(ISERROR($V1000),"Enter smelter details","RMI"),IF(ISERROR($V1000),"",OFFSET('Smelter Look-up'!$F$4,$V1000-4,0)))</f>
        <v/>
      </c>
      <c r="H1000" s="171" t="str">
        <f ca="1">IF(ISERROR($V1000),"",OFFSET('Smelter Look-up'!$G$4,$V1000-4,0))</f>
        <v/>
      </c>
      <c r="I1000" s="172" t="str">
        <f ca="1">IF(ISERROR($V1000),"",OFFSET('Smelter Look-up'!$H$4,$V1000-4,0))</f>
        <v/>
      </c>
      <c r="J1000" s="172" t="str">
        <f ca="1">IF(ISERROR($V1000),"",OFFSET('Smelter Look-up'!$I$4,$V1000-4,0))</f>
        <v/>
      </c>
      <c r="K1000" s="173"/>
      <c r="L1000" s="173"/>
      <c r="M1000" s="173"/>
      <c r="N1000" s="173"/>
      <c r="O1000" s="173"/>
      <c r="P1000" s="174"/>
      <c r="Q1000" s="175"/>
      <c r="R1000" s="168" t="str">
        <f ca="1">IF(ISERROR($V1000),"",OFFSET('Smelter Look-up'!$C$4,$V1000-4,0)&amp;"")</f>
        <v/>
      </c>
      <c r="S1000" s="167" t="str">
        <f t="shared" ca="1" si="99"/>
        <v/>
      </c>
      <c r="T1000" s="167" t="str">
        <f ca="1">IF(B1000="","",IF(ISERROR(MATCH($J1000,SorP!$B$1:$B$6230,0)),"",INDIRECT("'SorP'!$A$"&amp;MATCH($J1000,SorP!$B$1:$B$6230,0))))</f>
        <v/>
      </c>
      <c r="U1000" s="176"/>
      <c r="V1000" s="177" t="e">
        <f>IF(C1000="",NA(),IF(OR(C1000="Smelter not listed",C1000="Smelter not yet identified"),MATCH($B1000&amp;$D1000,'Smelter Look-up'!$J:$J,0),MATCH($B1000&amp;$C1000,'Smelter Look-up'!$J:$J,0)))</f>
        <v>#N/A</v>
      </c>
      <c r="X1000" s="140">
        <f t="shared" ca="1" si="100"/>
        <v>0</v>
      </c>
      <c r="AB1000" s="178" t="str">
        <f t="shared" si="101"/>
        <v/>
      </c>
    </row>
    <row r="1001" spans="1:28" s="140" customFormat="1" ht="20.25">
      <c r="A1001" s="167"/>
      <c r="B1001" s="168" t="str">
        <f>IF(LEN(A1001)=0,"",INDEX('Smelter Look-up'!$A:$A,MATCH($A1001,'Smelter Look-up'!$E:$E,0)))</f>
        <v/>
      </c>
      <c r="C1001" s="169" t="str">
        <f>IF(LEN(A1001)=0,"",INDEX('Smelter Look-up'!$C:$C,MATCH($A1001,'Smelter Look-up'!$E:$E,0)))</f>
        <v/>
      </c>
      <c r="D1001" s="170"/>
      <c r="E1001" s="168" t="str">
        <f ca="1">IF(ISERROR($V1001),"",OFFSET('Smelter Look-up'!$D$4,$V1001-4,0)&amp;"")</f>
        <v/>
      </c>
      <c r="F1001" s="168" t="str">
        <f ca="1">IF(ISERROR($V1001),"",OFFSET('Smelter Look-up'!$E$4,$V1001-4,0))</f>
        <v/>
      </c>
      <c r="G1001" s="168" t="str">
        <f ca="1">IF(C1001=$X$4,IF(ISERROR($V1001),"Enter smelter details","RMI"),IF(ISERROR($V1001),"",OFFSET('Smelter Look-up'!$F$4,$V1001-4,0)))</f>
        <v/>
      </c>
      <c r="H1001" s="171" t="str">
        <f ca="1">IF(ISERROR($V1001),"",OFFSET('Smelter Look-up'!$G$4,$V1001-4,0))</f>
        <v/>
      </c>
      <c r="I1001" s="172" t="str">
        <f ca="1">IF(ISERROR($V1001),"",OFFSET('Smelter Look-up'!$H$4,$V1001-4,0))</f>
        <v/>
      </c>
      <c r="J1001" s="172" t="str">
        <f ca="1">IF(ISERROR($V1001),"",OFFSET('Smelter Look-up'!$I$4,$V1001-4,0))</f>
        <v/>
      </c>
      <c r="K1001" s="173"/>
      <c r="L1001" s="173"/>
      <c r="M1001" s="173"/>
      <c r="N1001" s="173"/>
      <c r="O1001" s="173"/>
      <c r="P1001" s="174"/>
      <c r="Q1001" s="175"/>
      <c r="R1001" s="168" t="str">
        <f ca="1">IF(ISERROR($V1001),"",OFFSET('Smelter Look-up'!$C$4,$V1001-4,0)&amp;"")</f>
        <v/>
      </c>
      <c r="S1001" s="167" t="str">
        <f t="shared" ca="1" si="99"/>
        <v/>
      </c>
      <c r="T1001" s="167" t="str">
        <f ca="1">IF(B1001="","",IF(ISERROR(MATCH($J1001,SorP!$B$1:$B$6230,0)),"",INDIRECT("'SorP'!$A$"&amp;MATCH($J1001,SorP!$B$1:$B$6230,0))))</f>
        <v/>
      </c>
      <c r="U1001" s="176"/>
      <c r="V1001" s="177" t="e">
        <f>IF(C1001="",NA(),IF(OR(C1001="Smelter not listed",C1001="Smelter not yet identified"),MATCH($B1001&amp;$D1001,'Smelter Look-up'!$J:$J,0),MATCH($B1001&amp;$C1001,'Smelter Look-up'!$J:$J,0)))</f>
        <v>#N/A</v>
      </c>
      <c r="X1001" s="140">
        <f t="shared" ca="1" si="100"/>
        <v>0</v>
      </c>
      <c r="AB1001" s="178" t="str">
        <f t="shared" si="101"/>
        <v/>
      </c>
    </row>
    <row r="1002" spans="1:28" s="140" customFormat="1" ht="20.25">
      <c r="A1002" s="167"/>
      <c r="B1002" s="168" t="str">
        <f>IF(LEN(A1002)=0,"",INDEX('Smelter Look-up'!$A:$A,MATCH($A1002,'Smelter Look-up'!$E:$E,0)))</f>
        <v/>
      </c>
      <c r="C1002" s="169" t="str">
        <f>IF(LEN(A1002)=0,"",INDEX('Smelter Look-up'!$C:$C,MATCH($A1002,'Smelter Look-up'!$E:$E,0)))</f>
        <v/>
      </c>
      <c r="D1002" s="170"/>
      <c r="E1002" s="168" t="str">
        <f ca="1">IF(ISERROR($V1002),"",OFFSET('Smelter Look-up'!$D$4,$V1002-4,0)&amp;"")</f>
        <v/>
      </c>
      <c r="F1002" s="168" t="str">
        <f ca="1">IF(ISERROR($V1002),"",OFFSET('Smelter Look-up'!$E$4,$V1002-4,0))</f>
        <v/>
      </c>
      <c r="G1002" s="168" t="str">
        <f ca="1">IF(C1002=$X$4,IF(ISERROR($V1002),"Enter smelter details","RMI"),IF(ISERROR($V1002),"",OFFSET('Smelter Look-up'!$F$4,$V1002-4,0)))</f>
        <v/>
      </c>
      <c r="H1002" s="171" t="str">
        <f ca="1">IF(ISERROR($V1002),"",OFFSET('Smelter Look-up'!$G$4,$V1002-4,0))</f>
        <v/>
      </c>
      <c r="I1002" s="172" t="str">
        <f ca="1">IF(ISERROR($V1002),"",OFFSET('Smelter Look-up'!$H$4,$V1002-4,0))</f>
        <v/>
      </c>
      <c r="J1002" s="172" t="str">
        <f ca="1">IF(ISERROR($V1002),"",OFFSET('Smelter Look-up'!$I$4,$V1002-4,0))</f>
        <v/>
      </c>
      <c r="K1002" s="173"/>
      <c r="L1002" s="173"/>
      <c r="M1002" s="173"/>
      <c r="N1002" s="173"/>
      <c r="O1002" s="173"/>
      <c r="P1002" s="174"/>
      <c r="Q1002" s="175"/>
      <c r="R1002" s="168" t="str">
        <f ca="1">IF(ISERROR($V1002),"",OFFSET('Smelter Look-up'!$C$4,$V1002-4,0)&amp;"")</f>
        <v/>
      </c>
      <c r="S1002" s="167" t="str">
        <f t="shared" ca="1" si="99"/>
        <v/>
      </c>
      <c r="T1002" s="167" t="str">
        <f ca="1">IF(B1002="","",IF(ISERROR(MATCH($J1002,SorP!$B$1:$B$6230,0)),"",INDIRECT("'SorP'!$A$"&amp;MATCH($J1002,SorP!$B$1:$B$6230,0))))</f>
        <v/>
      </c>
      <c r="U1002" s="176"/>
      <c r="V1002" s="177" t="e">
        <f>IF(C1002="",NA(),IF(OR(C1002="Smelter not listed",C1002="Smelter not yet identified"),MATCH($B1002&amp;$D1002,'Smelter Look-up'!$J:$J,0),MATCH($B1002&amp;$C1002,'Smelter Look-up'!$J:$J,0)))</f>
        <v>#N/A</v>
      </c>
      <c r="X1002" s="140">
        <f t="shared" ca="1" si="100"/>
        <v>0</v>
      </c>
      <c r="AB1002" s="178" t="str">
        <f t="shared" si="101"/>
        <v/>
      </c>
    </row>
    <row r="1003" spans="1:28" s="140" customFormat="1" ht="20.25">
      <c r="A1003" s="167"/>
      <c r="B1003" s="168" t="str">
        <f>IF(LEN(A1003)=0,"",INDEX('Smelter Look-up'!$A:$A,MATCH($A1003,'Smelter Look-up'!$E:$E,0)))</f>
        <v/>
      </c>
      <c r="C1003" s="169" t="str">
        <f>IF(LEN(A1003)=0,"",INDEX('Smelter Look-up'!$C:$C,MATCH($A1003,'Smelter Look-up'!$E:$E,0)))</f>
        <v/>
      </c>
      <c r="D1003" s="170"/>
      <c r="E1003" s="168" t="str">
        <f ca="1">IF(ISERROR($V1003),"",OFFSET('Smelter Look-up'!$D$4,$V1003-4,0)&amp;"")</f>
        <v/>
      </c>
      <c r="F1003" s="168" t="str">
        <f ca="1">IF(ISERROR($V1003),"",OFFSET('Smelter Look-up'!$E$4,$V1003-4,0))</f>
        <v/>
      </c>
      <c r="G1003" s="168" t="str">
        <f ca="1">IF(C1003=$X$4,IF(ISERROR($V1003),"Enter smelter details","RMI"),IF(ISERROR($V1003),"",OFFSET('Smelter Look-up'!$F$4,$V1003-4,0)))</f>
        <v/>
      </c>
      <c r="H1003" s="171" t="str">
        <f ca="1">IF(ISERROR($V1003),"",OFFSET('Smelter Look-up'!$G$4,$V1003-4,0))</f>
        <v/>
      </c>
      <c r="I1003" s="172" t="str">
        <f ca="1">IF(ISERROR($V1003),"",OFFSET('Smelter Look-up'!$H$4,$V1003-4,0))</f>
        <v/>
      </c>
      <c r="J1003" s="172" t="str">
        <f ca="1">IF(ISERROR($V1003),"",OFFSET('Smelter Look-up'!$I$4,$V1003-4,0))</f>
        <v/>
      </c>
      <c r="K1003" s="173"/>
      <c r="L1003" s="173"/>
      <c r="M1003" s="173"/>
      <c r="N1003" s="173"/>
      <c r="O1003" s="173"/>
      <c r="P1003" s="174"/>
      <c r="Q1003" s="175"/>
      <c r="R1003" s="168" t="str">
        <f ca="1">IF(ISERROR($V1003),"",OFFSET('Smelter Look-up'!$C$4,$V1003-4,0)&amp;"")</f>
        <v/>
      </c>
      <c r="S1003" s="167" t="str">
        <f t="shared" ca="1" si="99"/>
        <v/>
      </c>
      <c r="T1003" s="167" t="str">
        <f ca="1">IF(B1003="","",IF(ISERROR(MATCH($J1003,SorP!$B$1:$B$6230,0)),"",INDIRECT("'SorP'!$A$"&amp;MATCH($J1003,SorP!$B$1:$B$6230,0))))</f>
        <v/>
      </c>
      <c r="U1003" s="176"/>
      <c r="V1003" s="177" t="e">
        <f>IF(C1003="",NA(),IF(OR(C1003="Smelter not listed",C1003="Smelter not yet identified"),MATCH($B1003&amp;$D1003,'Smelter Look-up'!$J:$J,0),MATCH($B1003&amp;$C1003,'Smelter Look-up'!$J:$J,0)))</f>
        <v>#N/A</v>
      </c>
      <c r="X1003" s="140">
        <f t="shared" ca="1" si="100"/>
        <v>0</v>
      </c>
      <c r="AB1003" s="178" t="str">
        <f t="shared" si="101"/>
        <v/>
      </c>
    </row>
    <row r="1004" spans="1:28" s="140" customFormat="1" ht="20.25">
      <c r="A1004" s="167"/>
      <c r="B1004" s="168" t="str">
        <f>IF(LEN(A1004)=0,"",INDEX('Smelter Look-up'!$A:$A,MATCH($A1004,'Smelter Look-up'!$E:$E,0)))</f>
        <v/>
      </c>
      <c r="C1004" s="169" t="str">
        <f>IF(LEN(A1004)=0,"",INDEX('Smelter Look-up'!$C:$C,MATCH($A1004,'Smelter Look-up'!$E:$E,0)))</f>
        <v/>
      </c>
      <c r="D1004" s="170"/>
      <c r="E1004" s="168" t="str">
        <f ca="1">IF(ISERROR($V1004),"",OFFSET('Smelter Look-up'!$D$4,$V1004-4,0)&amp;"")</f>
        <v/>
      </c>
      <c r="F1004" s="168" t="str">
        <f ca="1">IF(ISERROR($V1004),"",OFFSET('Smelter Look-up'!$E$4,$V1004-4,0))</f>
        <v/>
      </c>
      <c r="G1004" s="168" t="str">
        <f ca="1">IF(C1004=$X$4,IF(ISERROR($V1004),"Enter smelter details","RMI"),IF(ISERROR($V1004),"",OFFSET('Smelter Look-up'!$F$4,$V1004-4,0)))</f>
        <v/>
      </c>
      <c r="H1004" s="171" t="str">
        <f ca="1">IF(ISERROR($V1004),"",OFFSET('Smelter Look-up'!$G$4,$V1004-4,0))</f>
        <v/>
      </c>
      <c r="I1004" s="172" t="str">
        <f ca="1">IF(ISERROR($V1004),"",OFFSET('Smelter Look-up'!$H$4,$V1004-4,0))</f>
        <v/>
      </c>
      <c r="J1004" s="172" t="str">
        <f ca="1">IF(ISERROR($V1004),"",OFFSET('Smelter Look-up'!$I$4,$V1004-4,0))</f>
        <v/>
      </c>
      <c r="K1004" s="173"/>
      <c r="L1004" s="173"/>
      <c r="M1004" s="173"/>
      <c r="N1004" s="173"/>
      <c r="O1004" s="173"/>
      <c r="P1004" s="174"/>
      <c r="Q1004" s="175"/>
      <c r="R1004" s="168" t="str">
        <f ca="1">IF(ISERROR($V1004),"",OFFSET('Smelter Look-up'!$C$4,$V1004-4,0)&amp;"")</f>
        <v/>
      </c>
      <c r="S1004" s="167" t="str">
        <f t="shared" ca="1" si="99"/>
        <v/>
      </c>
      <c r="T1004" s="167" t="str">
        <f ca="1">IF(B1004="","",IF(ISERROR(MATCH($J1004,SorP!$B$1:$B$6230,0)),"",INDIRECT("'SorP'!$A$"&amp;MATCH($J1004,SorP!$B$1:$B$6230,0))))</f>
        <v/>
      </c>
      <c r="U1004" s="176"/>
      <c r="V1004" s="177" t="e">
        <f>IF(C1004="",NA(),IF(OR(C1004="Smelter not listed",C1004="Smelter not yet identified"),MATCH($B1004&amp;$D1004,'Smelter Look-up'!$J:$J,0),MATCH($B1004&amp;$C1004,'Smelter Look-up'!$J:$J,0)))</f>
        <v>#N/A</v>
      </c>
      <c r="X1004" s="140">
        <f t="shared" ca="1" si="100"/>
        <v>0</v>
      </c>
      <c r="AB1004" s="178" t="str">
        <f t="shared" si="101"/>
        <v/>
      </c>
    </row>
    <row r="1005" spans="1:28" s="140" customFormat="1" ht="20.25">
      <c r="A1005" s="167"/>
      <c r="B1005" s="168" t="str">
        <f>IF(LEN(A1005)=0,"",INDEX('Smelter Look-up'!$A:$A,MATCH($A1005,'Smelter Look-up'!$E:$E,0)))</f>
        <v/>
      </c>
      <c r="C1005" s="169" t="str">
        <f>IF(LEN(A1005)=0,"",INDEX('Smelter Look-up'!$C:$C,MATCH($A1005,'Smelter Look-up'!$E:$E,0)))</f>
        <v/>
      </c>
      <c r="D1005" s="170"/>
      <c r="E1005" s="168" t="str">
        <f ca="1">IF(ISERROR($V1005),"",OFFSET('Smelter Look-up'!$D$4,$V1005-4,0)&amp;"")</f>
        <v/>
      </c>
      <c r="F1005" s="168" t="str">
        <f ca="1">IF(ISERROR($V1005),"",OFFSET('Smelter Look-up'!$E$4,$V1005-4,0))</f>
        <v/>
      </c>
      <c r="G1005" s="168" t="str">
        <f ca="1">IF(C1005=$X$4,IF(ISERROR($V1005),"Enter smelter details","RMI"),IF(ISERROR($V1005),"",OFFSET('Smelter Look-up'!$F$4,$V1005-4,0)))</f>
        <v/>
      </c>
      <c r="H1005" s="171" t="str">
        <f ca="1">IF(ISERROR($V1005),"",OFFSET('Smelter Look-up'!$G$4,$V1005-4,0))</f>
        <v/>
      </c>
      <c r="I1005" s="172" t="str">
        <f ca="1">IF(ISERROR($V1005),"",OFFSET('Smelter Look-up'!$H$4,$V1005-4,0))</f>
        <v/>
      </c>
      <c r="J1005" s="172" t="str">
        <f ca="1">IF(ISERROR($V1005),"",OFFSET('Smelter Look-up'!$I$4,$V1005-4,0))</f>
        <v/>
      </c>
      <c r="K1005" s="173"/>
      <c r="L1005" s="173"/>
      <c r="M1005" s="173"/>
      <c r="N1005" s="173"/>
      <c r="O1005" s="173"/>
      <c r="P1005" s="174"/>
      <c r="Q1005" s="175"/>
      <c r="R1005" s="168" t="str">
        <f ca="1">IF(ISERROR($V1005),"",OFFSET('Smelter Look-up'!$C$4,$V1005-4,0)&amp;"")</f>
        <v/>
      </c>
      <c r="S1005" s="167" t="str">
        <f t="shared" ca="1" si="99"/>
        <v/>
      </c>
      <c r="T1005" s="167" t="str">
        <f ca="1">IF(B1005="","",IF(ISERROR(MATCH($J1005,SorP!$B$1:$B$6230,0)),"",INDIRECT("'SorP'!$A$"&amp;MATCH($J1005,SorP!$B$1:$B$6230,0))))</f>
        <v/>
      </c>
      <c r="U1005" s="176"/>
      <c r="V1005" s="177" t="e">
        <f>IF(C1005="",NA(),IF(OR(C1005="Smelter not listed",C1005="Smelter not yet identified"),MATCH($B1005&amp;$D1005,'Smelter Look-up'!$J:$J,0),MATCH($B1005&amp;$C1005,'Smelter Look-up'!$J:$J,0)))</f>
        <v>#N/A</v>
      </c>
      <c r="X1005" s="140">
        <f t="shared" ca="1" si="100"/>
        <v>0</v>
      </c>
      <c r="AB1005" s="178" t="str">
        <f t="shared" si="101"/>
        <v/>
      </c>
    </row>
    <row r="1006" spans="1:28" s="140" customFormat="1" ht="20.25">
      <c r="A1006" s="167"/>
      <c r="B1006" s="168" t="str">
        <f>IF(LEN(A1006)=0,"",INDEX('Smelter Look-up'!$A:$A,MATCH($A1006,'Smelter Look-up'!$E:$E,0)))</f>
        <v/>
      </c>
      <c r="C1006" s="169" t="str">
        <f>IF(LEN(A1006)=0,"",INDEX('Smelter Look-up'!$C:$C,MATCH($A1006,'Smelter Look-up'!$E:$E,0)))</f>
        <v/>
      </c>
      <c r="D1006" s="170"/>
      <c r="E1006" s="168" t="str">
        <f ca="1">IF(ISERROR($V1006),"",OFFSET('Smelter Look-up'!$D$4,$V1006-4,0)&amp;"")</f>
        <v/>
      </c>
      <c r="F1006" s="168" t="str">
        <f ca="1">IF(ISERROR($V1006),"",OFFSET('Smelter Look-up'!$E$4,$V1006-4,0))</f>
        <v/>
      </c>
      <c r="G1006" s="168" t="str">
        <f ca="1">IF(C1006=$X$4,IF(ISERROR($V1006),"Enter smelter details","RMI"),IF(ISERROR($V1006),"",OFFSET('Smelter Look-up'!$F$4,$V1006-4,0)))</f>
        <v/>
      </c>
      <c r="H1006" s="171" t="str">
        <f ca="1">IF(ISERROR($V1006),"",OFFSET('Smelter Look-up'!$G$4,$V1006-4,0))</f>
        <v/>
      </c>
      <c r="I1006" s="172" t="str">
        <f ca="1">IF(ISERROR($V1006),"",OFFSET('Smelter Look-up'!$H$4,$V1006-4,0))</f>
        <v/>
      </c>
      <c r="J1006" s="172" t="str">
        <f ca="1">IF(ISERROR($V1006),"",OFFSET('Smelter Look-up'!$I$4,$V1006-4,0))</f>
        <v/>
      </c>
      <c r="K1006" s="173"/>
      <c r="L1006" s="173"/>
      <c r="M1006" s="173"/>
      <c r="N1006" s="173"/>
      <c r="O1006" s="173"/>
      <c r="P1006" s="174"/>
      <c r="Q1006" s="175"/>
      <c r="R1006" s="168" t="str">
        <f ca="1">IF(ISERROR($V1006),"",OFFSET('Smelter Look-up'!$C$4,$V1006-4,0)&amp;"")</f>
        <v/>
      </c>
      <c r="S1006" s="167" t="str">
        <f t="shared" ca="1" si="99"/>
        <v/>
      </c>
      <c r="T1006" s="167" t="str">
        <f ca="1">IF(B1006="","",IF(ISERROR(MATCH($J1006,SorP!$B$1:$B$6230,0)),"",INDIRECT("'SorP'!$A$"&amp;MATCH($J1006,SorP!$B$1:$B$6230,0))))</f>
        <v/>
      </c>
      <c r="U1006" s="176"/>
      <c r="V1006" s="177" t="e">
        <f>IF(C1006="",NA(),IF(OR(C1006="Smelter not listed",C1006="Smelter not yet identified"),MATCH($B1006&amp;$D1006,'Smelter Look-up'!$J:$J,0),MATCH($B1006&amp;$C1006,'Smelter Look-up'!$J:$J,0)))</f>
        <v>#N/A</v>
      </c>
      <c r="X1006" s="140">
        <f t="shared" ca="1" si="100"/>
        <v>0</v>
      </c>
      <c r="AB1006" s="178" t="str">
        <f t="shared" si="101"/>
        <v/>
      </c>
    </row>
    <row r="1007" spans="1:28" s="140" customFormat="1" ht="20.25">
      <c r="A1007" s="167"/>
      <c r="B1007" s="168" t="str">
        <f>IF(LEN(A1007)=0,"",INDEX('Smelter Look-up'!$A:$A,MATCH($A1007,'Smelter Look-up'!$E:$E,0)))</f>
        <v/>
      </c>
      <c r="C1007" s="169" t="str">
        <f>IF(LEN(A1007)=0,"",INDEX('Smelter Look-up'!$C:$C,MATCH($A1007,'Smelter Look-up'!$E:$E,0)))</f>
        <v/>
      </c>
      <c r="D1007" s="170"/>
      <c r="E1007" s="168" t="str">
        <f ca="1">IF(ISERROR($V1007),"",OFFSET('Smelter Look-up'!$D$4,$V1007-4,0)&amp;"")</f>
        <v/>
      </c>
      <c r="F1007" s="168" t="str">
        <f ca="1">IF(ISERROR($V1007),"",OFFSET('Smelter Look-up'!$E$4,$V1007-4,0))</f>
        <v/>
      </c>
      <c r="G1007" s="168" t="str">
        <f ca="1">IF(C1007=$X$4,IF(ISERROR($V1007),"Enter smelter details","RMI"),IF(ISERROR($V1007),"",OFFSET('Smelter Look-up'!$F$4,$V1007-4,0)))</f>
        <v/>
      </c>
      <c r="H1007" s="171" t="str">
        <f ca="1">IF(ISERROR($V1007),"",OFFSET('Smelter Look-up'!$G$4,$V1007-4,0))</f>
        <v/>
      </c>
      <c r="I1007" s="172" t="str">
        <f ca="1">IF(ISERROR($V1007),"",OFFSET('Smelter Look-up'!$H$4,$V1007-4,0))</f>
        <v/>
      </c>
      <c r="J1007" s="172" t="str">
        <f ca="1">IF(ISERROR($V1007),"",OFFSET('Smelter Look-up'!$I$4,$V1007-4,0))</f>
        <v/>
      </c>
      <c r="K1007" s="173"/>
      <c r="L1007" s="173"/>
      <c r="M1007" s="173"/>
      <c r="N1007" s="173"/>
      <c r="O1007" s="173"/>
      <c r="P1007" s="174"/>
      <c r="Q1007" s="175"/>
      <c r="R1007" s="168" t="str">
        <f ca="1">IF(ISERROR($V1007),"",OFFSET('Smelter Look-up'!$C$4,$V1007-4,0)&amp;"")</f>
        <v/>
      </c>
      <c r="S1007" s="167" t="str">
        <f t="shared" ca="1" si="99"/>
        <v/>
      </c>
      <c r="T1007" s="167" t="str">
        <f ca="1">IF(B1007="","",IF(ISERROR(MATCH($J1007,SorP!$B$1:$B$6230,0)),"",INDIRECT("'SorP'!$A$"&amp;MATCH($J1007,SorP!$B$1:$B$6230,0))))</f>
        <v/>
      </c>
      <c r="U1007" s="176"/>
      <c r="V1007" s="177" t="e">
        <f>IF(C1007="",NA(),IF(OR(C1007="Smelter not listed",C1007="Smelter not yet identified"),MATCH($B1007&amp;$D1007,'Smelter Look-up'!$J:$J,0),MATCH($B1007&amp;$C1007,'Smelter Look-up'!$J:$J,0)))</f>
        <v>#N/A</v>
      </c>
      <c r="X1007" s="140">
        <f t="shared" ca="1" si="100"/>
        <v>0</v>
      </c>
      <c r="AB1007" s="178" t="str">
        <f t="shared" si="101"/>
        <v/>
      </c>
    </row>
    <row r="1008" spans="1:28" s="140" customFormat="1" ht="20.25">
      <c r="A1008" s="167"/>
      <c r="B1008" s="168" t="str">
        <f>IF(LEN(A1008)=0,"",INDEX('Smelter Look-up'!$A:$A,MATCH($A1008,'Smelter Look-up'!$E:$E,0)))</f>
        <v/>
      </c>
      <c r="C1008" s="169" t="str">
        <f>IF(LEN(A1008)=0,"",INDEX('Smelter Look-up'!$C:$C,MATCH($A1008,'Smelter Look-up'!$E:$E,0)))</f>
        <v/>
      </c>
      <c r="D1008" s="170"/>
      <c r="E1008" s="168" t="str">
        <f ca="1">IF(ISERROR($V1008),"",OFFSET('Smelter Look-up'!$D$4,$V1008-4,0)&amp;"")</f>
        <v/>
      </c>
      <c r="F1008" s="168" t="str">
        <f ca="1">IF(ISERROR($V1008),"",OFFSET('Smelter Look-up'!$E$4,$V1008-4,0))</f>
        <v/>
      </c>
      <c r="G1008" s="168" t="str">
        <f ca="1">IF(C1008=$X$4,IF(ISERROR($V1008),"Enter smelter details","RMI"),IF(ISERROR($V1008),"",OFFSET('Smelter Look-up'!$F$4,$V1008-4,0)))</f>
        <v/>
      </c>
      <c r="H1008" s="171" t="str">
        <f ca="1">IF(ISERROR($V1008),"",OFFSET('Smelter Look-up'!$G$4,$V1008-4,0))</f>
        <v/>
      </c>
      <c r="I1008" s="172" t="str">
        <f ca="1">IF(ISERROR($V1008),"",OFFSET('Smelter Look-up'!$H$4,$V1008-4,0))</f>
        <v/>
      </c>
      <c r="J1008" s="172" t="str">
        <f ca="1">IF(ISERROR($V1008),"",OFFSET('Smelter Look-up'!$I$4,$V1008-4,0))</f>
        <v/>
      </c>
      <c r="K1008" s="173"/>
      <c r="L1008" s="173"/>
      <c r="M1008" s="173"/>
      <c r="N1008" s="173"/>
      <c r="O1008" s="173"/>
      <c r="P1008" s="174"/>
      <c r="Q1008" s="175"/>
      <c r="R1008" s="168" t="str">
        <f ca="1">IF(ISERROR($V1008),"",OFFSET('Smelter Look-up'!$C$4,$V1008-4,0)&amp;"")</f>
        <v/>
      </c>
      <c r="S1008" s="167" t="str">
        <f t="shared" ca="1" si="99"/>
        <v/>
      </c>
      <c r="T1008" s="167" t="str">
        <f ca="1">IF(B1008="","",IF(ISERROR(MATCH($J1008,SorP!$B$1:$B$6230,0)),"",INDIRECT("'SorP'!$A$"&amp;MATCH($J1008,SorP!$B$1:$B$6230,0))))</f>
        <v/>
      </c>
      <c r="U1008" s="176"/>
      <c r="V1008" s="177" t="e">
        <f>IF(C1008="",NA(),IF(OR(C1008="Smelter not listed",C1008="Smelter not yet identified"),MATCH($B1008&amp;$D1008,'Smelter Look-up'!$J:$J,0),MATCH($B1008&amp;$C1008,'Smelter Look-up'!$J:$J,0)))</f>
        <v>#N/A</v>
      </c>
      <c r="X1008" s="140">
        <f t="shared" ca="1" si="100"/>
        <v>0</v>
      </c>
      <c r="AB1008" s="178" t="str">
        <f t="shared" si="101"/>
        <v/>
      </c>
    </row>
    <row r="1009" spans="1:28" s="140" customFormat="1" ht="20.25">
      <c r="A1009" s="167"/>
      <c r="B1009" s="168" t="str">
        <f>IF(LEN(A1009)=0,"",INDEX('Smelter Look-up'!$A:$A,MATCH($A1009,'Smelter Look-up'!$E:$E,0)))</f>
        <v/>
      </c>
      <c r="C1009" s="169" t="str">
        <f>IF(LEN(A1009)=0,"",INDEX('Smelter Look-up'!$C:$C,MATCH($A1009,'Smelter Look-up'!$E:$E,0)))</f>
        <v/>
      </c>
      <c r="D1009" s="170"/>
      <c r="E1009" s="168" t="str">
        <f ca="1">IF(ISERROR($V1009),"",OFFSET('Smelter Look-up'!$D$4,$V1009-4,0)&amp;"")</f>
        <v/>
      </c>
      <c r="F1009" s="168" t="str">
        <f ca="1">IF(ISERROR($V1009),"",OFFSET('Smelter Look-up'!$E$4,$V1009-4,0))</f>
        <v/>
      </c>
      <c r="G1009" s="168" t="str">
        <f ca="1">IF(C1009=$X$4,IF(ISERROR($V1009),"Enter smelter details","RMI"),IF(ISERROR($V1009),"",OFFSET('Smelter Look-up'!$F$4,$V1009-4,0)))</f>
        <v/>
      </c>
      <c r="H1009" s="171" t="str">
        <f ca="1">IF(ISERROR($V1009),"",OFFSET('Smelter Look-up'!$G$4,$V1009-4,0))</f>
        <v/>
      </c>
      <c r="I1009" s="172" t="str">
        <f ca="1">IF(ISERROR($V1009),"",OFFSET('Smelter Look-up'!$H$4,$V1009-4,0))</f>
        <v/>
      </c>
      <c r="J1009" s="172" t="str">
        <f ca="1">IF(ISERROR($V1009),"",OFFSET('Smelter Look-up'!$I$4,$V1009-4,0))</f>
        <v/>
      </c>
      <c r="K1009" s="173"/>
      <c r="L1009" s="173"/>
      <c r="M1009" s="173"/>
      <c r="N1009" s="173"/>
      <c r="O1009" s="173"/>
      <c r="P1009" s="174"/>
      <c r="Q1009" s="175"/>
      <c r="R1009" s="168" t="str">
        <f ca="1">IF(ISERROR($V1009),"",OFFSET('Smelter Look-up'!$C$4,$V1009-4,0)&amp;"")</f>
        <v/>
      </c>
      <c r="S1009" s="167" t="str">
        <f t="shared" ca="1" si="99"/>
        <v/>
      </c>
      <c r="T1009" s="167" t="str">
        <f ca="1">IF(B1009="","",IF(ISERROR(MATCH($J1009,SorP!$B$1:$B$6230,0)),"",INDIRECT("'SorP'!$A$"&amp;MATCH($J1009,SorP!$B$1:$B$6230,0))))</f>
        <v/>
      </c>
      <c r="U1009" s="176"/>
      <c r="V1009" s="177" t="e">
        <f>IF(C1009="",NA(),IF(OR(C1009="Smelter not listed",C1009="Smelter not yet identified"),MATCH($B1009&amp;$D1009,'Smelter Look-up'!$J:$J,0),MATCH($B1009&amp;$C1009,'Smelter Look-up'!$J:$J,0)))</f>
        <v>#N/A</v>
      </c>
      <c r="X1009" s="140">
        <f t="shared" ca="1" si="100"/>
        <v>0</v>
      </c>
      <c r="AB1009" s="178" t="str">
        <f t="shared" si="101"/>
        <v/>
      </c>
    </row>
    <row r="1010" spans="1:28" s="140" customFormat="1" ht="20.25">
      <c r="A1010" s="167"/>
      <c r="B1010" s="168" t="str">
        <f>IF(LEN(A1010)=0,"",INDEX('Smelter Look-up'!$A:$A,MATCH($A1010,'Smelter Look-up'!$E:$E,0)))</f>
        <v/>
      </c>
      <c r="C1010" s="169" t="str">
        <f>IF(LEN(A1010)=0,"",INDEX('Smelter Look-up'!$C:$C,MATCH($A1010,'Smelter Look-up'!$E:$E,0)))</f>
        <v/>
      </c>
      <c r="D1010" s="170"/>
      <c r="E1010" s="168" t="str">
        <f ca="1">IF(ISERROR($V1010),"",OFFSET('Smelter Look-up'!$D$4,$V1010-4,0)&amp;"")</f>
        <v/>
      </c>
      <c r="F1010" s="168" t="str">
        <f ca="1">IF(ISERROR($V1010),"",OFFSET('Smelter Look-up'!$E$4,$V1010-4,0))</f>
        <v/>
      </c>
      <c r="G1010" s="168" t="str">
        <f ca="1">IF(C1010=$X$4,IF(ISERROR($V1010),"Enter smelter details","RMI"),IF(ISERROR($V1010),"",OFFSET('Smelter Look-up'!$F$4,$V1010-4,0)))</f>
        <v/>
      </c>
      <c r="H1010" s="171" t="str">
        <f ca="1">IF(ISERROR($V1010),"",OFFSET('Smelter Look-up'!$G$4,$V1010-4,0))</f>
        <v/>
      </c>
      <c r="I1010" s="172" t="str">
        <f ca="1">IF(ISERROR($V1010),"",OFFSET('Smelter Look-up'!$H$4,$V1010-4,0))</f>
        <v/>
      </c>
      <c r="J1010" s="172" t="str">
        <f ca="1">IF(ISERROR($V1010),"",OFFSET('Smelter Look-up'!$I$4,$V1010-4,0))</f>
        <v/>
      </c>
      <c r="K1010" s="173"/>
      <c r="L1010" s="173"/>
      <c r="M1010" s="173"/>
      <c r="N1010" s="173"/>
      <c r="O1010" s="173"/>
      <c r="P1010" s="174"/>
      <c r="Q1010" s="175"/>
      <c r="R1010" s="168" t="str">
        <f ca="1">IF(ISERROR($V1010),"",OFFSET('Smelter Look-up'!$C$4,$V1010-4,0)&amp;"")</f>
        <v/>
      </c>
      <c r="S1010" s="167" t="str">
        <f t="shared" ca="1" si="99"/>
        <v/>
      </c>
      <c r="T1010" s="167" t="str">
        <f ca="1">IF(B1010="","",IF(ISERROR(MATCH($J1010,SorP!$B$1:$B$6230,0)),"",INDIRECT("'SorP'!$A$"&amp;MATCH($J1010,SorP!$B$1:$B$6230,0))))</f>
        <v/>
      </c>
      <c r="U1010" s="176"/>
      <c r="V1010" s="177" t="e">
        <f>IF(C1010="",NA(),IF(OR(C1010="Smelter not listed",C1010="Smelter not yet identified"),MATCH($B1010&amp;$D1010,'Smelter Look-up'!$J:$J,0),MATCH($B1010&amp;$C1010,'Smelter Look-up'!$J:$J,0)))</f>
        <v>#N/A</v>
      </c>
      <c r="X1010" s="140">
        <f t="shared" ca="1" si="100"/>
        <v>0</v>
      </c>
      <c r="AB1010" s="178" t="str">
        <f t="shared" si="101"/>
        <v/>
      </c>
    </row>
    <row r="1011" spans="1:28" s="140" customFormat="1" ht="20.25">
      <c r="A1011" s="167"/>
      <c r="B1011" s="168" t="str">
        <f>IF(LEN(A1011)=0,"",INDEX('Smelter Look-up'!$A:$A,MATCH($A1011,'Smelter Look-up'!$E:$E,0)))</f>
        <v/>
      </c>
      <c r="C1011" s="169" t="str">
        <f>IF(LEN(A1011)=0,"",INDEX('Smelter Look-up'!$C:$C,MATCH($A1011,'Smelter Look-up'!$E:$E,0)))</f>
        <v/>
      </c>
      <c r="D1011" s="170"/>
      <c r="E1011" s="168" t="str">
        <f ca="1">IF(ISERROR($V1011),"",OFFSET('Smelter Look-up'!$D$4,$V1011-4,0)&amp;"")</f>
        <v/>
      </c>
      <c r="F1011" s="168" t="str">
        <f ca="1">IF(ISERROR($V1011),"",OFFSET('Smelter Look-up'!$E$4,$V1011-4,0))</f>
        <v/>
      </c>
      <c r="G1011" s="168" t="str">
        <f ca="1">IF(C1011=$X$4,IF(ISERROR($V1011),"Enter smelter details","RMI"),IF(ISERROR($V1011),"",OFFSET('Smelter Look-up'!$F$4,$V1011-4,0)))</f>
        <v/>
      </c>
      <c r="H1011" s="171" t="str">
        <f ca="1">IF(ISERROR($V1011),"",OFFSET('Smelter Look-up'!$G$4,$V1011-4,0))</f>
        <v/>
      </c>
      <c r="I1011" s="172" t="str">
        <f ca="1">IF(ISERROR($V1011),"",OFFSET('Smelter Look-up'!$H$4,$V1011-4,0))</f>
        <v/>
      </c>
      <c r="J1011" s="172" t="str">
        <f ca="1">IF(ISERROR($V1011),"",OFFSET('Smelter Look-up'!$I$4,$V1011-4,0))</f>
        <v/>
      </c>
      <c r="K1011" s="173"/>
      <c r="L1011" s="173"/>
      <c r="M1011" s="173"/>
      <c r="N1011" s="173"/>
      <c r="O1011" s="173"/>
      <c r="P1011" s="174"/>
      <c r="Q1011" s="175"/>
      <c r="R1011" s="168" t="str">
        <f ca="1">IF(ISERROR($V1011),"",OFFSET('Smelter Look-up'!$C$4,$V1011-4,0)&amp;"")</f>
        <v/>
      </c>
      <c r="S1011" s="167" t="str">
        <f t="shared" ca="1" si="99"/>
        <v/>
      </c>
      <c r="T1011" s="167" t="str">
        <f ca="1">IF(B1011="","",IF(ISERROR(MATCH($J1011,SorP!$B$1:$B$6230,0)),"",INDIRECT("'SorP'!$A$"&amp;MATCH($J1011,SorP!$B$1:$B$6230,0))))</f>
        <v/>
      </c>
      <c r="U1011" s="176"/>
      <c r="V1011" s="177" t="e">
        <f>IF(C1011="",NA(),IF(OR(C1011="Smelter not listed",C1011="Smelter not yet identified"),MATCH($B1011&amp;$D1011,'Smelter Look-up'!$J:$J,0),MATCH($B1011&amp;$C1011,'Smelter Look-up'!$J:$J,0)))</f>
        <v>#N/A</v>
      </c>
      <c r="X1011" s="140">
        <f t="shared" ca="1" si="100"/>
        <v>0</v>
      </c>
      <c r="AB1011" s="178" t="str">
        <f t="shared" si="101"/>
        <v/>
      </c>
    </row>
    <row r="1012" spans="1:28" s="140" customFormat="1" ht="20.25">
      <c r="A1012" s="167"/>
      <c r="B1012" s="168" t="str">
        <f>IF(LEN(A1012)=0,"",INDEX('Smelter Look-up'!$A:$A,MATCH($A1012,'Smelter Look-up'!$E:$E,0)))</f>
        <v/>
      </c>
      <c r="C1012" s="169" t="str">
        <f>IF(LEN(A1012)=0,"",INDEX('Smelter Look-up'!$C:$C,MATCH($A1012,'Smelter Look-up'!$E:$E,0)))</f>
        <v/>
      </c>
      <c r="D1012" s="170"/>
      <c r="E1012" s="168" t="str">
        <f ca="1">IF(ISERROR($V1012),"",OFFSET('Smelter Look-up'!$D$4,$V1012-4,0)&amp;"")</f>
        <v/>
      </c>
      <c r="F1012" s="168" t="str">
        <f ca="1">IF(ISERROR($V1012),"",OFFSET('Smelter Look-up'!$E$4,$V1012-4,0))</f>
        <v/>
      </c>
      <c r="G1012" s="168" t="str">
        <f ca="1">IF(C1012=$X$4,IF(ISERROR($V1012),"Enter smelter details","RMI"),IF(ISERROR($V1012),"",OFFSET('Smelter Look-up'!$F$4,$V1012-4,0)))</f>
        <v/>
      </c>
      <c r="H1012" s="171" t="str">
        <f ca="1">IF(ISERROR($V1012),"",OFFSET('Smelter Look-up'!$G$4,$V1012-4,0))</f>
        <v/>
      </c>
      <c r="I1012" s="172" t="str">
        <f ca="1">IF(ISERROR($V1012),"",OFFSET('Smelter Look-up'!$H$4,$V1012-4,0))</f>
        <v/>
      </c>
      <c r="J1012" s="172" t="str">
        <f ca="1">IF(ISERROR($V1012),"",OFFSET('Smelter Look-up'!$I$4,$V1012-4,0))</f>
        <v/>
      </c>
      <c r="K1012" s="173"/>
      <c r="L1012" s="173"/>
      <c r="M1012" s="173"/>
      <c r="N1012" s="173"/>
      <c r="O1012" s="173"/>
      <c r="P1012" s="174"/>
      <c r="Q1012" s="175"/>
      <c r="R1012" s="168" t="str">
        <f ca="1">IF(ISERROR($V1012),"",OFFSET('Smelter Look-up'!$C$4,$V1012-4,0)&amp;"")</f>
        <v/>
      </c>
      <c r="S1012" s="167" t="str">
        <f t="shared" ca="1" si="99"/>
        <v/>
      </c>
      <c r="T1012" s="167" t="str">
        <f ca="1">IF(B1012="","",IF(ISERROR(MATCH($J1012,SorP!$B$1:$B$6230,0)),"",INDIRECT("'SorP'!$A$"&amp;MATCH($J1012,SorP!$B$1:$B$6230,0))))</f>
        <v/>
      </c>
      <c r="U1012" s="176"/>
      <c r="V1012" s="177" t="e">
        <f>IF(C1012="",NA(),IF(OR(C1012="Smelter not listed",C1012="Smelter not yet identified"),MATCH($B1012&amp;$D1012,'Smelter Look-up'!$J:$J,0),MATCH($B1012&amp;$C1012,'Smelter Look-up'!$J:$J,0)))</f>
        <v>#N/A</v>
      </c>
      <c r="X1012" s="140">
        <f t="shared" ca="1" si="100"/>
        <v>0</v>
      </c>
      <c r="AB1012" s="178" t="str">
        <f t="shared" si="101"/>
        <v/>
      </c>
    </row>
    <row r="1013" spans="1:28" s="140" customFormat="1" ht="20.25">
      <c r="A1013" s="167"/>
      <c r="B1013" s="168" t="str">
        <f>IF(LEN(A1013)=0,"",INDEX('Smelter Look-up'!$A:$A,MATCH($A1013,'Smelter Look-up'!$E:$E,0)))</f>
        <v/>
      </c>
      <c r="C1013" s="169" t="str">
        <f>IF(LEN(A1013)=0,"",INDEX('Smelter Look-up'!$C:$C,MATCH($A1013,'Smelter Look-up'!$E:$E,0)))</f>
        <v/>
      </c>
      <c r="D1013" s="170"/>
      <c r="E1013" s="168" t="str">
        <f ca="1">IF(ISERROR($V1013),"",OFFSET('Smelter Look-up'!$D$4,$V1013-4,0)&amp;"")</f>
        <v/>
      </c>
      <c r="F1013" s="168" t="str">
        <f ca="1">IF(ISERROR($V1013),"",OFFSET('Smelter Look-up'!$E$4,$V1013-4,0))</f>
        <v/>
      </c>
      <c r="G1013" s="168" t="str">
        <f ca="1">IF(C1013=$X$4,IF(ISERROR($V1013),"Enter smelter details","RMI"),IF(ISERROR($V1013),"",OFFSET('Smelter Look-up'!$F$4,$V1013-4,0)))</f>
        <v/>
      </c>
      <c r="H1013" s="171" t="str">
        <f ca="1">IF(ISERROR($V1013),"",OFFSET('Smelter Look-up'!$G$4,$V1013-4,0))</f>
        <v/>
      </c>
      <c r="I1013" s="172" t="str">
        <f ca="1">IF(ISERROR($V1013),"",OFFSET('Smelter Look-up'!$H$4,$V1013-4,0))</f>
        <v/>
      </c>
      <c r="J1013" s="172" t="str">
        <f ca="1">IF(ISERROR($V1013),"",OFFSET('Smelter Look-up'!$I$4,$V1013-4,0))</f>
        <v/>
      </c>
      <c r="K1013" s="173"/>
      <c r="L1013" s="173"/>
      <c r="M1013" s="173"/>
      <c r="N1013" s="173"/>
      <c r="O1013" s="173"/>
      <c r="P1013" s="174"/>
      <c r="Q1013" s="175"/>
      <c r="R1013" s="168" t="str">
        <f ca="1">IF(ISERROR($V1013),"",OFFSET('Smelter Look-up'!$C$4,$V1013-4,0)&amp;"")</f>
        <v/>
      </c>
      <c r="S1013" s="167" t="str">
        <f t="shared" ca="1" si="99"/>
        <v/>
      </c>
      <c r="T1013" s="167" t="str">
        <f ca="1">IF(B1013="","",IF(ISERROR(MATCH($J1013,SorP!$B$1:$B$6230,0)),"",INDIRECT("'SorP'!$A$"&amp;MATCH($J1013,SorP!$B$1:$B$6230,0))))</f>
        <v/>
      </c>
      <c r="U1013" s="176"/>
      <c r="V1013" s="177" t="e">
        <f>IF(C1013="",NA(),IF(OR(C1013="Smelter not listed",C1013="Smelter not yet identified"),MATCH($B1013&amp;$D1013,'Smelter Look-up'!$J:$J,0),MATCH($B1013&amp;$C1013,'Smelter Look-up'!$J:$J,0)))</f>
        <v>#N/A</v>
      </c>
      <c r="X1013" s="140">
        <f t="shared" ca="1" si="100"/>
        <v>0</v>
      </c>
      <c r="AB1013" s="178" t="str">
        <f t="shared" si="101"/>
        <v/>
      </c>
    </row>
    <row r="1014" spans="1:28" s="140" customFormat="1" ht="20.25">
      <c r="A1014" s="167"/>
      <c r="B1014" s="168" t="str">
        <f>IF(LEN(A1014)=0,"",INDEX('Smelter Look-up'!$A:$A,MATCH($A1014,'Smelter Look-up'!$E:$E,0)))</f>
        <v/>
      </c>
      <c r="C1014" s="169" t="str">
        <f>IF(LEN(A1014)=0,"",INDEX('Smelter Look-up'!$C:$C,MATCH($A1014,'Smelter Look-up'!$E:$E,0)))</f>
        <v/>
      </c>
      <c r="D1014" s="170"/>
      <c r="E1014" s="168" t="str">
        <f ca="1">IF(ISERROR($V1014),"",OFFSET('Smelter Look-up'!$D$4,$V1014-4,0)&amp;"")</f>
        <v/>
      </c>
      <c r="F1014" s="168" t="str">
        <f ca="1">IF(ISERROR($V1014),"",OFFSET('Smelter Look-up'!$E$4,$V1014-4,0))</f>
        <v/>
      </c>
      <c r="G1014" s="168" t="str">
        <f ca="1">IF(C1014=$X$4,IF(ISERROR($V1014),"Enter smelter details","RMI"),IF(ISERROR($V1014),"",OFFSET('Smelter Look-up'!$F$4,$V1014-4,0)))</f>
        <v/>
      </c>
      <c r="H1014" s="171" t="str">
        <f ca="1">IF(ISERROR($V1014),"",OFFSET('Smelter Look-up'!$G$4,$V1014-4,0))</f>
        <v/>
      </c>
      <c r="I1014" s="172" t="str">
        <f ca="1">IF(ISERROR($V1014),"",OFFSET('Smelter Look-up'!$H$4,$V1014-4,0))</f>
        <v/>
      </c>
      <c r="J1014" s="172" t="str">
        <f ca="1">IF(ISERROR($V1014),"",OFFSET('Smelter Look-up'!$I$4,$V1014-4,0))</f>
        <v/>
      </c>
      <c r="K1014" s="173"/>
      <c r="L1014" s="173"/>
      <c r="M1014" s="173"/>
      <c r="N1014" s="173"/>
      <c r="O1014" s="173"/>
      <c r="P1014" s="174"/>
      <c r="Q1014" s="175"/>
      <c r="R1014" s="168" t="str">
        <f ca="1">IF(ISERROR($V1014),"",OFFSET('Smelter Look-up'!$C$4,$V1014-4,0)&amp;"")</f>
        <v/>
      </c>
      <c r="S1014" s="167" t="str">
        <f t="shared" ca="1" si="99"/>
        <v/>
      </c>
      <c r="T1014" s="167" t="str">
        <f ca="1">IF(B1014="","",IF(ISERROR(MATCH($J1014,SorP!$B$1:$B$6230,0)),"",INDIRECT("'SorP'!$A$"&amp;MATCH($J1014,SorP!$B$1:$B$6230,0))))</f>
        <v/>
      </c>
      <c r="U1014" s="176"/>
      <c r="V1014" s="177" t="e">
        <f>IF(C1014="",NA(),IF(OR(C1014="Smelter not listed",C1014="Smelter not yet identified"),MATCH($B1014&amp;$D1014,'Smelter Look-up'!$J:$J,0),MATCH($B1014&amp;$C1014,'Smelter Look-up'!$J:$J,0)))</f>
        <v>#N/A</v>
      </c>
      <c r="X1014" s="140">
        <f t="shared" ca="1" si="100"/>
        <v>0</v>
      </c>
      <c r="AB1014" s="178" t="str">
        <f t="shared" si="101"/>
        <v/>
      </c>
    </row>
    <row r="1015" spans="1:28" s="140" customFormat="1" ht="20.25">
      <c r="A1015" s="167"/>
      <c r="B1015" s="168" t="str">
        <f>IF(LEN(A1015)=0,"",INDEX('Smelter Look-up'!$A:$A,MATCH($A1015,'Smelter Look-up'!$E:$E,0)))</f>
        <v/>
      </c>
      <c r="C1015" s="169" t="str">
        <f>IF(LEN(A1015)=0,"",INDEX('Smelter Look-up'!$C:$C,MATCH($A1015,'Smelter Look-up'!$E:$E,0)))</f>
        <v/>
      </c>
      <c r="D1015" s="170"/>
      <c r="E1015" s="168" t="str">
        <f ca="1">IF(ISERROR($V1015),"",OFFSET('Smelter Look-up'!$D$4,$V1015-4,0)&amp;"")</f>
        <v/>
      </c>
      <c r="F1015" s="168" t="str">
        <f ca="1">IF(ISERROR($V1015),"",OFFSET('Smelter Look-up'!$E$4,$V1015-4,0))</f>
        <v/>
      </c>
      <c r="G1015" s="168" t="str">
        <f ca="1">IF(C1015=$X$4,IF(ISERROR($V1015),"Enter smelter details","RMI"),IF(ISERROR($V1015),"",OFFSET('Smelter Look-up'!$F$4,$V1015-4,0)))</f>
        <v/>
      </c>
      <c r="H1015" s="171" t="str">
        <f ca="1">IF(ISERROR($V1015),"",OFFSET('Smelter Look-up'!$G$4,$V1015-4,0))</f>
        <v/>
      </c>
      <c r="I1015" s="172" t="str">
        <f ca="1">IF(ISERROR($V1015),"",OFFSET('Smelter Look-up'!$H$4,$V1015-4,0))</f>
        <v/>
      </c>
      <c r="J1015" s="172" t="str">
        <f ca="1">IF(ISERROR($V1015),"",OFFSET('Smelter Look-up'!$I$4,$V1015-4,0))</f>
        <v/>
      </c>
      <c r="K1015" s="173"/>
      <c r="L1015" s="173"/>
      <c r="M1015" s="173"/>
      <c r="N1015" s="173"/>
      <c r="O1015" s="173"/>
      <c r="P1015" s="174"/>
      <c r="Q1015" s="175"/>
      <c r="R1015" s="168" t="str">
        <f ca="1">IF(ISERROR($V1015),"",OFFSET('Smelter Look-up'!$C$4,$V1015-4,0)&amp;"")</f>
        <v/>
      </c>
      <c r="S1015" s="167" t="str">
        <f t="shared" ca="1" si="99"/>
        <v/>
      </c>
      <c r="T1015" s="167" t="str">
        <f ca="1">IF(B1015="","",IF(ISERROR(MATCH($J1015,SorP!$B$1:$B$6230,0)),"",INDIRECT("'SorP'!$A$"&amp;MATCH($J1015,SorP!$B$1:$B$6230,0))))</f>
        <v/>
      </c>
      <c r="U1015" s="176"/>
      <c r="V1015" s="177" t="e">
        <f>IF(C1015="",NA(),IF(OR(C1015="Smelter not listed",C1015="Smelter not yet identified"),MATCH($B1015&amp;$D1015,'Smelter Look-up'!$J:$J,0),MATCH($B1015&amp;$C1015,'Smelter Look-up'!$J:$J,0)))</f>
        <v>#N/A</v>
      </c>
      <c r="X1015" s="140">
        <f t="shared" ca="1" si="100"/>
        <v>0</v>
      </c>
      <c r="AB1015" s="178" t="str">
        <f t="shared" si="101"/>
        <v/>
      </c>
    </row>
    <row r="1016" spans="1:28" s="140" customFormat="1" ht="20.25">
      <c r="A1016" s="167"/>
      <c r="B1016" s="168" t="str">
        <f>IF(LEN(A1016)=0,"",INDEX('Smelter Look-up'!$A:$A,MATCH($A1016,'Smelter Look-up'!$E:$E,0)))</f>
        <v/>
      </c>
      <c r="C1016" s="169" t="str">
        <f>IF(LEN(A1016)=0,"",INDEX('Smelter Look-up'!$C:$C,MATCH($A1016,'Smelter Look-up'!$E:$E,0)))</f>
        <v/>
      </c>
      <c r="D1016" s="170"/>
      <c r="E1016" s="168" t="str">
        <f ca="1">IF(ISERROR($V1016),"",OFFSET('Smelter Look-up'!$D$4,$V1016-4,0)&amp;"")</f>
        <v/>
      </c>
      <c r="F1016" s="168" t="str">
        <f ca="1">IF(ISERROR($V1016),"",OFFSET('Smelter Look-up'!$E$4,$V1016-4,0))</f>
        <v/>
      </c>
      <c r="G1016" s="168" t="str">
        <f ca="1">IF(C1016=$X$4,IF(ISERROR($V1016),"Enter smelter details","RMI"),IF(ISERROR($V1016),"",OFFSET('Smelter Look-up'!$F$4,$V1016-4,0)))</f>
        <v/>
      </c>
      <c r="H1016" s="171" t="str">
        <f ca="1">IF(ISERROR($V1016),"",OFFSET('Smelter Look-up'!$G$4,$V1016-4,0))</f>
        <v/>
      </c>
      <c r="I1016" s="172" t="str">
        <f ca="1">IF(ISERROR($V1016),"",OFFSET('Smelter Look-up'!$H$4,$V1016-4,0))</f>
        <v/>
      </c>
      <c r="J1016" s="172" t="str">
        <f ca="1">IF(ISERROR($V1016),"",OFFSET('Smelter Look-up'!$I$4,$V1016-4,0))</f>
        <v/>
      </c>
      <c r="K1016" s="173"/>
      <c r="L1016" s="173"/>
      <c r="M1016" s="173"/>
      <c r="N1016" s="173"/>
      <c r="O1016" s="173"/>
      <c r="P1016" s="174"/>
      <c r="Q1016" s="175"/>
      <c r="R1016" s="168" t="str">
        <f ca="1">IF(ISERROR($V1016),"",OFFSET('Smelter Look-up'!$C$4,$V1016-4,0)&amp;"")</f>
        <v/>
      </c>
      <c r="S1016" s="167" t="str">
        <f t="shared" ca="1" si="99"/>
        <v/>
      </c>
      <c r="T1016" s="167" t="str">
        <f ca="1">IF(B1016="","",IF(ISERROR(MATCH($J1016,SorP!$B$1:$B$6230,0)),"",INDIRECT("'SorP'!$A$"&amp;MATCH($J1016,SorP!$B$1:$B$6230,0))))</f>
        <v/>
      </c>
      <c r="U1016" s="176"/>
      <c r="V1016" s="177" t="e">
        <f>IF(C1016="",NA(),IF(OR(C1016="Smelter not listed",C1016="Smelter not yet identified"),MATCH($B1016&amp;$D1016,'Smelter Look-up'!$J:$J,0),MATCH($B1016&amp;$C1016,'Smelter Look-up'!$J:$J,0)))</f>
        <v>#N/A</v>
      </c>
      <c r="X1016" s="140">
        <f t="shared" ca="1" si="100"/>
        <v>0</v>
      </c>
      <c r="AB1016" s="178" t="str">
        <f t="shared" si="101"/>
        <v/>
      </c>
    </row>
    <row r="1017" spans="1:28" s="140" customFormat="1" ht="20.25">
      <c r="A1017" s="167"/>
      <c r="B1017" s="168" t="str">
        <f>IF(LEN(A1017)=0,"",INDEX('Smelter Look-up'!$A:$A,MATCH($A1017,'Smelter Look-up'!$E:$E,0)))</f>
        <v/>
      </c>
      <c r="C1017" s="169" t="str">
        <f>IF(LEN(A1017)=0,"",INDEX('Smelter Look-up'!$C:$C,MATCH($A1017,'Smelter Look-up'!$E:$E,0)))</f>
        <v/>
      </c>
      <c r="D1017" s="170"/>
      <c r="E1017" s="168" t="str">
        <f ca="1">IF(ISERROR($V1017),"",OFFSET('Smelter Look-up'!$D$4,$V1017-4,0)&amp;"")</f>
        <v/>
      </c>
      <c r="F1017" s="168" t="str">
        <f ca="1">IF(ISERROR($V1017),"",OFFSET('Smelter Look-up'!$E$4,$V1017-4,0))</f>
        <v/>
      </c>
      <c r="G1017" s="168" t="str">
        <f ca="1">IF(C1017=$X$4,IF(ISERROR($V1017),"Enter smelter details","RMI"),IF(ISERROR($V1017),"",OFFSET('Smelter Look-up'!$F$4,$V1017-4,0)))</f>
        <v/>
      </c>
      <c r="H1017" s="171" t="str">
        <f ca="1">IF(ISERROR($V1017),"",OFFSET('Smelter Look-up'!$G$4,$V1017-4,0))</f>
        <v/>
      </c>
      <c r="I1017" s="172" t="str">
        <f ca="1">IF(ISERROR($V1017),"",OFFSET('Smelter Look-up'!$H$4,$V1017-4,0))</f>
        <v/>
      </c>
      <c r="J1017" s="172" t="str">
        <f ca="1">IF(ISERROR($V1017),"",OFFSET('Smelter Look-up'!$I$4,$V1017-4,0))</f>
        <v/>
      </c>
      <c r="K1017" s="173"/>
      <c r="L1017" s="173"/>
      <c r="M1017" s="173"/>
      <c r="N1017" s="173"/>
      <c r="O1017" s="173"/>
      <c r="P1017" s="174"/>
      <c r="Q1017" s="175"/>
      <c r="R1017" s="168" t="str">
        <f ca="1">IF(ISERROR($V1017),"",OFFSET('Smelter Look-up'!$C$4,$V1017-4,0)&amp;"")</f>
        <v/>
      </c>
      <c r="S1017" s="167" t="str">
        <f t="shared" ca="1" si="99"/>
        <v/>
      </c>
      <c r="T1017" s="167" t="str">
        <f ca="1">IF(B1017="","",IF(ISERROR(MATCH($J1017,SorP!$B$1:$B$6230,0)),"",INDIRECT("'SorP'!$A$"&amp;MATCH($J1017,SorP!$B$1:$B$6230,0))))</f>
        <v/>
      </c>
      <c r="U1017" s="176"/>
      <c r="V1017" s="177" t="e">
        <f>IF(C1017="",NA(),IF(OR(C1017="Smelter not listed",C1017="Smelter not yet identified"),MATCH($B1017&amp;$D1017,'Smelter Look-up'!$J:$J,0),MATCH($B1017&amp;$C1017,'Smelter Look-up'!$J:$J,0)))</f>
        <v>#N/A</v>
      </c>
      <c r="X1017" s="140">
        <f t="shared" ca="1" si="100"/>
        <v>0</v>
      </c>
      <c r="AB1017" s="178" t="str">
        <f t="shared" si="101"/>
        <v/>
      </c>
    </row>
    <row r="1018" spans="1:28" s="140" customFormat="1" ht="20.25">
      <c r="A1018" s="167"/>
      <c r="B1018" s="168" t="str">
        <f>IF(LEN(A1018)=0,"",INDEX('Smelter Look-up'!$A:$A,MATCH($A1018,'Smelter Look-up'!$E:$E,0)))</f>
        <v/>
      </c>
      <c r="C1018" s="169" t="str">
        <f>IF(LEN(A1018)=0,"",INDEX('Smelter Look-up'!$C:$C,MATCH($A1018,'Smelter Look-up'!$E:$E,0)))</f>
        <v/>
      </c>
      <c r="D1018" s="170"/>
      <c r="E1018" s="168" t="str">
        <f ca="1">IF(ISERROR($V1018),"",OFFSET('Smelter Look-up'!$D$4,$V1018-4,0)&amp;"")</f>
        <v/>
      </c>
      <c r="F1018" s="168" t="str">
        <f ca="1">IF(ISERROR($V1018),"",OFFSET('Smelter Look-up'!$E$4,$V1018-4,0))</f>
        <v/>
      </c>
      <c r="G1018" s="168" t="str">
        <f ca="1">IF(C1018=$X$4,IF(ISERROR($V1018),"Enter smelter details","RMI"),IF(ISERROR($V1018),"",OFFSET('Smelter Look-up'!$F$4,$V1018-4,0)))</f>
        <v/>
      </c>
      <c r="H1018" s="171" t="str">
        <f ca="1">IF(ISERROR($V1018),"",OFFSET('Smelter Look-up'!$G$4,$V1018-4,0))</f>
        <v/>
      </c>
      <c r="I1018" s="172" t="str">
        <f ca="1">IF(ISERROR($V1018),"",OFFSET('Smelter Look-up'!$H$4,$V1018-4,0))</f>
        <v/>
      </c>
      <c r="J1018" s="172" t="str">
        <f ca="1">IF(ISERROR($V1018),"",OFFSET('Smelter Look-up'!$I$4,$V1018-4,0))</f>
        <v/>
      </c>
      <c r="K1018" s="173"/>
      <c r="L1018" s="173"/>
      <c r="M1018" s="173"/>
      <c r="N1018" s="173"/>
      <c r="O1018" s="173"/>
      <c r="P1018" s="174"/>
      <c r="Q1018" s="175"/>
      <c r="R1018" s="168" t="str">
        <f ca="1">IF(ISERROR($V1018),"",OFFSET('Smelter Look-up'!$C$4,$V1018-4,0)&amp;"")</f>
        <v/>
      </c>
      <c r="S1018" s="167" t="str">
        <f t="shared" ca="1" si="99"/>
        <v/>
      </c>
      <c r="T1018" s="167" t="str">
        <f ca="1">IF(B1018="","",IF(ISERROR(MATCH($J1018,SorP!$B$1:$B$6230,0)),"",INDIRECT("'SorP'!$A$"&amp;MATCH($J1018,SorP!$B$1:$B$6230,0))))</f>
        <v/>
      </c>
      <c r="U1018" s="176"/>
      <c r="V1018" s="177" t="e">
        <f>IF(C1018="",NA(),IF(OR(C1018="Smelter not listed",C1018="Smelter not yet identified"),MATCH($B1018&amp;$D1018,'Smelter Look-up'!$J:$J,0),MATCH($B1018&amp;$C1018,'Smelter Look-up'!$J:$J,0)))</f>
        <v>#N/A</v>
      </c>
      <c r="X1018" s="140">
        <f t="shared" ca="1" si="100"/>
        <v>0</v>
      </c>
      <c r="AB1018" s="178" t="str">
        <f t="shared" si="101"/>
        <v/>
      </c>
    </row>
    <row r="1019" spans="1:28" s="140" customFormat="1" ht="20.25">
      <c r="A1019" s="167"/>
      <c r="B1019" s="168" t="str">
        <f>IF(LEN(A1019)=0,"",INDEX('Smelter Look-up'!$A:$A,MATCH($A1019,'Smelter Look-up'!$E:$E,0)))</f>
        <v/>
      </c>
      <c r="C1019" s="169" t="str">
        <f>IF(LEN(A1019)=0,"",INDEX('Smelter Look-up'!$C:$C,MATCH($A1019,'Smelter Look-up'!$E:$E,0)))</f>
        <v/>
      </c>
      <c r="D1019" s="170"/>
      <c r="E1019" s="168" t="str">
        <f ca="1">IF(ISERROR($V1019),"",OFFSET('Smelter Look-up'!$D$4,$V1019-4,0)&amp;"")</f>
        <v/>
      </c>
      <c r="F1019" s="168" t="str">
        <f ca="1">IF(ISERROR($V1019),"",OFFSET('Smelter Look-up'!$E$4,$V1019-4,0))</f>
        <v/>
      </c>
      <c r="G1019" s="168" t="str">
        <f ca="1">IF(C1019=$X$4,IF(ISERROR($V1019),"Enter smelter details","RMI"),IF(ISERROR($V1019),"",OFFSET('Smelter Look-up'!$F$4,$V1019-4,0)))</f>
        <v/>
      </c>
      <c r="H1019" s="171" t="str">
        <f ca="1">IF(ISERROR($V1019),"",OFFSET('Smelter Look-up'!$G$4,$V1019-4,0))</f>
        <v/>
      </c>
      <c r="I1019" s="172" t="str">
        <f ca="1">IF(ISERROR($V1019),"",OFFSET('Smelter Look-up'!$H$4,$V1019-4,0))</f>
        <v/>
      </c>
      <c r="J1019" s="172" t="str">
        <f ca="1">IF(ISERROR($V1019),"",OFFSET('Smelter Look-up'!$I$4,$V1019-4,0))</f>
        <v/>
      </c>
      <c r="K1019" s="173"/>
      <c r="L1019" s="173"/>
      <c r="M1019" s="173"/>
      <c r="N1019" s="173"/>
      <c r="O1019" s="173"/>
      <c r="P1019" s="174"/>
      <c r="Q1019" s="175"/>
      <c r="R1019" s="168" t="str">
        <f ca="1">IF(ISERROR($V1019),"",OFFSET('Smelter Look-up'!$C$4,$V1019-4,0)&amp;"")</f>
        <v/>
      </c>
      <c r="S1019" s="167" t="str">
        <f t="shared" ca="1" si="99"/>
        <v/>
      </c>
      <c r="T1019" s="167" t="str">
        <f ca="1">IF(B1019="","",IF(ISERROR(MATCH($J1019,SorP!$B$1:$B$6230,0)),"",INDIRECT("'SorP'!$A$"&amp;MATCH($J1019,SorP!$B$1:$B$6230,0))))</f>
        <v/>
      </c>
      <c r="U1019" s="176"/>
      <c r="V1019" s="177" t="e">
        <f>IF(C1019="",NA(),IF(OR(C1019="Smelter not listed",C1019="Smelter not yet identified"),MATCH($B1019&amp;$D1019,'Smelter Look-up'!$J:$J,0),MATCH($B1019&amp;$C1019,'Smelter Look-up'!$J:$J,0)))</f>
        <v>#N/A</v>
      </c>
      <c r="X1019" s="140">
        <f t="shared" ca="1" si="100"/>
        <v>0</v>
      </c>
      <c r="AB1019" s="178" t="str">
        <f t="shared" si="101"/>
        <v/>
      </c>
    </row>
    <row r="1020" spans="1:28" s="140" customFormat="1" ht="20.25">
      <c r="A1020" s="167"/>
      <c r="B1020" s="168" t="str">
        <f>IF(LEN(A1020)=0,"",INDEX('Smelter Look-up'!$A:$A,MATCH($A1020,'Smelter Look-up'!$E:$E,0)))</f>
        <v/>
      </c>
      <c r="C1020" s="169" t="str">
        <f>IF(LEN(A1020)=0,"",INDEX('Smelter Look-up'!$C:$C,MATCH($A1020,'Smelter Look-up'!$E:$E,0)))</f>
        <v/>
      </c>
      <c r="D1020" s="170"/>
      <c r="E1020" s="168" t="str">
        <f ca="1">IF(ISERROR($V1020),"",OFFSET('Smelter Look-up'!$D$4,$V1020-4,0)&amp;"")</f>
        <v/>
      </c>
      <c r="F1020" s="168" t="str">
        <f ca="1">IF(ISERROR($V1020),"",OFFSET('Smelter Look-up'!$E$4,$V1020-4,0))</f>
        <v/>
      </c>
      <c r="G1020" s="168" t="str">
        <f ca="1">IF(C1020=$X$4,IF(ISERROR($V1020),"Enter smelter details","RMI"),IF(ISERROR($V1020),"",OFFSET('Smelter Look-up'!$F$4,$V1020-4,0)))</f>
        <v/>
      </c>
      <c r="H1020" s="171" t="str">
        <f ca="1">IF(ISERROR($V1020),"",OFFSET('Smelter Look-up'!$G$4,$V1020-4,0))</f>
        <v/>
      </c>
      <c r="I1020" s="172" t="str">
        <f ca="1">IF(ISERROR($V1020),"",OFFSET('Smelter Look-up'!$H$4,$V1020-4,0))</f>
        <v/>
      </c>
      <c r="J1020" s="172" t="str">
        <f ca="1">IF(ISERROR($V1020),"",OFFSET('Smelter Look-up'!$I$4,$V1020-4,0))</f>
        <v/>
      </c>
      <c r="K1020" s="173"/>
      <c r="L1020" s="173"/>
      <c r="M1020" s="173"/>
      <c r="N1020" s="173"/>
      <c r="O1020" s="173"/>
      <c r="P1020" s="174"/>
      <c r="Q1020" s="175"/>
      <c r="R1020" s="168" t="str">
        <f ca="1">IF(ISERROR($V1020),"",OFFSET('Smelter Look-up'!$C$4,$V1020-4,0)&amp;"")</f>
        <v/>
      </c>
      <c r="S1020" s="167" t="str">
        <f t="shared" ca="1" si="99"/>
        <v/>
      </c>
      <c r="T1020" s="167" t="str">
        <f ca="1">IF(B1020="","",IF(ISERROR(MATCH($J1020,SorP!$B$1:$B$6230,0)),"",INDIRECT("'SorP'!$A$"&amp;MATCH($J1020,SorP!$B$1:$B$6230,0))))</f>
        <v/>
      </c>
      <c r="U1020" s="176"/>
      <c r="V1020" s="177" t="e">
        <f>IF(C1020="",NA(),IF(OR(C1020="Smelter not listed",C1020="Smelter not yet identified"),MATCH($B1020&amp;$D1020,'Smelter Look-up'!$J:$J,0),MATCH($B1020&amp;$C1020,'Smelter Look-up'!$J:$J,0)))</f>
        <v>#N/A</v>
      </c>
      <c r="X1020" s="140">
        <f t="shared" ca="1" si="100"/>
        <v>0</v>
      </c>
      <c r="AB1020" s="178" t="str">
        <f t="shared" si="101"/>
        <v/>
      </c>
    </row>
    <row r="1021" spans="1:28" s="140" customFormat="1" ht="20.25">
      <c r="A1021" s="167"/>
      <c r="B1021" s="168" t="str">
        <f>IF(LEN(A1021)=0,"",INDEX('Smelter Look-up'!$A:$A,MATCH($A1021,'Smelter Look-up'!$E:$E,0)))</f>
        <v/>
      </c>
      <c r="C1021" s="169" t="str">
        <f>IF(LEN(A1021)=0,"",INDEX('Smelter Look-up'!$C:$C,MATCH($A1021,'Smelter Look-up'!$E:$E,0)))</f>
        <v/>
      </c>
      <c r="D1021" s="170"/>
      <c r="E1021" s="168" t="str">
        <f ca="1">IF(ISERROR($V1021),"",OFFSET('Smelter Look-up'!$D$4,$V1021-4,0)&amp;"")</f>
        <v/>
      </c>
      <c r="F1021" s="168" t="str">
        <f ca="1">IF(ISERROR($V1021),"",OFFSET('Smelter Look-up'!$E$4,$V1021-4,0))</f>
        <v/>
      </c>
      <c r="G1021" s="168" t="str">
        <f ca="1">IF(C1021=$X$4,IF(ISERROR($V1021),"Enter smelter details","RMI"),IF(ISERROR($V1021),"",OFFSET('Smelter Look-up'!$F$4,$V1021-4,0)))</f>
        <v/>
      </c>
      <c r="H1021" s="171" t="str">
        <f ca="1">IF(ISERROR($V1021),"",OFFSET('Smelter Look-up'!$G$4,$V1021-4,0))</f>
        <v/>
      </c>
      <c r="I1021" s="172" t="str">
        <f ca="1">IF(ISERROR($V1021),"",OFFSET('Smelter Look-up'!$H$4,$V1021-4,0))</f>
        <v/>
      </c>
      <c r="J1021" s="172" t="str">
        <f ca="1">IF(ISERROR($V1021),"",OFFSET('Smelter Look-up'!$I$4,$V1021-4,0))</f>
        <v/>
      </c>
      <c r="K1021" s="173"/>
      <c r="L1021" s="173"/>
      <c r="M1021" s="173"/>
      <c r="N1021" s="173"/>
      <c r="O1021" s="173"/>
      <c r="P1021" s="174"/>
      <c r="Q1021" s="175"/>
      <c r="R1021" s="168" t="str">
        <f ca="1">IF(ISERROR($V1021),"",OFFSET('Smelter Look-up'!$C$4,$V1021-4,0)&amp;"")</f>
        <v/>
      </c>
      <c r="S1021" s="167" t="str">
        <f t="shared" ca="1" si="99"/>
        <v/>
      </c>
      <c r="T1021" s="167" t="str">
        <f ca="1">IF(B1021="","",IF(ISERROR(MATCH($J1021,SorP!$B$1:$B$6230,0)),"",INDIRECT("'SorP'!$A$"&amp;MATCH($J1021,SorP!$B$1:$B$6230,0))))</f>
        <v/>
      </c>
      <c r="U1021" s="176"/>
      <c r="V1021" s="177" t="e">
        <f>IF(C1021="",NA(),IF(OR(C1021="Smelter not listed",C1021="Smelter not yet identified"),MATCH($B1021&amp;$D1021,'Smelter Look-up'!$J:$J,0),MATCH($B1021&amp;$C1021,'Smelter Look-up'!$J:$J,0)))</f>
        <v>#N/A</v>
      </c>
      <c r="X1021" s="140">
        <f t="shared" ca="1" si="100"/>
        <v>0</v>
      </c>
      <c r="AB1021" s="178" t="str">
        <f t="shared" si="101"/>
        <v/>
      </c>
    </row>
    <row r="1022" spans="1:28" s="140" customFormat="1" ht="20.25">
      <c r="A1022" s="167"/>
      <c r="B1022" s="168" t="str">
        <f>IF(LEN(A1022)=0,"",INDEX('Smelter Look-up'!$A:$A,MATCH($A1022,'Smelter Look-up'!$E:$E,0)))</f>
        <v/>
      </c>
      <c r="C1022" s="169" t="str">
        <f>IF(LEN(A1022)=0,"",INDEX('Smelter Look-up'!$C:$C,MATCH($A1022,'Smelter Look-up'!$E:$E,0)))</f>
        <v/>
      </c>
      <c r="D1022" s="170"/>
      <c r="E1022" s="168" t="str">
        <f ca="1">IF(ISERROR($V1022),"",OFFSET('Smelter Look-up'!$D$4,$V1022-4,0)&amp;"")</f>
        <v/>
      </c>
      <c r="F1022" s="168" t="str">
        <f ca="1">IF(ISERROR($V1022),"",OFFSET('Smelter Look-up'!$E$4,$V1022-4,0))</f>
        <v/>
      </c>
      <c r="G1022" s="168" t="str">
        <f ca="1">IF(C1022=$X$4,IF(ISERROR($V1022),"Enter smelter details","RMI"),IF(ISERROR($V1022),"",OFFSET('Smelter Look-up'!$F$4,$V1022-4,0)))</f>
        <v/>
      </c>
      <c r="H1022" s="171" t="str">
        <f ca="1">IF(ISERROR($V1022),"",OFFSET('Smelter Look-up'!$G$4,$V1022-4,0))</f>
        <v/>
      </c>
      <c r="I1022" s="172" t="str">
        <f ca="1">IF(ISERROR($V1022),"",OFFSET('Smelter Look-up'!$H$4,$V1022-4,0))</f>
        <v/>
      </c>
      <c r="J1022" s="172" t="str">
        <f ca="1">IF(ISERROR($V1022),"",OFFSET('Smelter Look-up'!$I$4,$V1022-4,0))</f>
        <v/>
      </c>
      <c r="K1022" s="173"/>
      <c r="L1022" s="173"/>
      <c r="M1022" s="173"/>
      <c r="N1022" s="173"/>
      <c r="O1022" s="173"/>
      <c r="P1022" s="174"/>
      <c r="Q1022" s="175"/>
      <c r="R1022" s="168" t="str">
        <f ca="1">IF(ISERROR($V1022),"",OFFSET('Smelter Look-up'!$C$4,$V1022-4,0)&amp;"")</f>
        <v/>
      </c>
      <c r="S1022" s="167" t="str">
        <f t="shared" ca="1" si="99"/>
        <v/>
      </c>
      <c r="T1022" s="167" t="str">
        <f ca="1">IF(B1022="","",IF(ISERROR(MATCH($J1022,SorP!$B$1:$B$6230,0)),"",INDIRECT("'SorP'!$A$"&amp;MATCH($J1022,SorP!$B$1:$B$6230,0))))</f>
        <v/>
      </c>
      <c r="U1022" s="176"/>
      <c r="V1022" s="177" t="e">
        <f>IF(C1022="",NA(),IF(OR(C1022="Smelter not listed",C1022="Smelter not yet identified"),MATCH($B1022&amp;$D1022,'Smelter Look-up'!$J:$J,0),MATCH($B1022&amp;$C1022,'Smelter Look-up'!$J:$J,0)))</f>
        <v>#N/A</v>
      </c>
      <c r="X1022" s="140">
        <f t="shared" ca="1" si="100"/>
        <v>0</v>
      </c>
      <c r="AB1022" s="178" t="str">
        <f t="shared" si="101"/>
        <v/>
      </c>
    </row>
    <row r="1023" spans="1:28" s="140" customFormat="1" ht="20.25">
      <c r="A1023" s="167"/>
      <c r="B1023" s="168" t="str">
        <f>IF(LEN(A1023)=0,"",INDEX('Smelter Look-up'!$A:$A,MATCH($A1023,'Smelter Look-up'!$E:$E,0)))</f>
        <v/>
      </c>
      <c r="C1023" s="169" t="str">
        <f>IF(LEN(A1023)=0,"",INDEX('Smelter Look-up'!$C:$C,MATCH($A1023,'Smelter Look-up'!$E:$E,0)))</f>
        <v/>
      </c>
      <c r="D1023" s="170"/>
      <c r="E1023" s="168" t="str">
        <f ca="1">IF(ISERROR($V1023),"",OFFSET('Smelter Look-up'!$D$4,$V1023-4,0)&amp;"")</f>
        <v/>
      </c>
      <c r="F1023" s="168" t="str">
        <f ca="1">IF(ISERROR($V1023),"",OFFSET('Smelter Look-up'!$E$4,$V1023-4,0))</f>
        <v/>
      </c>
      <c r="G1023" s="168" t="str">
        <f ca="1">IF(C1023=$X$4,IF(ISERROR($V1023),"Enter smelter details","RMI"),IF(ISERROR($V1023),"",OFFSET('Smelter Look-up'!$F$4,$V1023-4,0)))</f>
        <v/>
      </c>
      <c r="H1023" s="171" t="str">
        <f ca="1">IF(ISERROR($V1023),"",OFFSET('Smelter Look-up'!$G$4,$V1023-4,0))</f>
        <v/>
      </c>
      <c r="I1023" s="172" t="str">
        <f ca="1">IF(ISERROR($V1023),"",OFFSET('Smelter Look-up'!$H$4,$V1023-4,0))</f>
        <v/>
      </c>
      <c r="J1023" s="172" t="str">
        <f ca="1">IF(ISERROR($V1023),"",OFFSET('Smelter Look-up'!$I$4,$V1023-4,0))</f>
        <v/>
      </c>
      <c r="K1023" s="173"/>
      <c r="L1023" s="173"/>
      <c r="M1023" s="173"/>
      <c r="N1023" s="173"/>
      <c r="O1023" s="173"/>
      <c r="P1023" s="174"/>
      <c r="Q1023" s="175"/>
      <c r="R1023" s="168" t="str">
        <f ca="1">IF(ISERROR($V1023),"",OFFSET('Smelter Look-up'!$C$4,$V1023-4,0)&amp;"")</f>
        <v/>
      </c>
      <c r="S1023" s="167" t="str">
        <f t="shared" ca="1" si="99"/>
        <v/>
      </c>
      <c r="T1023" s="167" t="str">
        <f ca="1">IF(B1023="","",IF(ISERROR(MATCH($J1023,SorP!$B$1:$B$6230,0)),"",INDIRECT("'SorP'!$A$"&amp;MATCH($J1023,SorP!$B$1:$B$6230,0))))</f>
        <v/>
      </c>
      <c r="U1023" s="176"/>
      <c r="V1023" s="177" t="e">
        <f>IF(C1023="",NA(),IF(OR(C1023="Smelter not listed",C1023="Smelter not yet identified"),MATCH($B1023&amp;$D1023,'Smelter Look-up'!$J:$J,0),MATCH($B1023&amp;$C1023,'Smelter Look-up'!$J:$J,0)))</f>
        <v>#N/A</v>
      </c>
      <c r="X1023" s="140">
        <f t="shared" ca="1" si="100"/>
        <v>0</v>
      </c>
      <c r="AB1023" s="178" t="str">
        <f t="shared" si="101"/>
        <v/>
      </c>
    </row>
    <row r="1024" spans="1:28" s="140" customFormat="1" ht="20.25">
      <c r="A1024" s="167"/>
      <c r="B1024" s="168" t="str">
        <f>IF(LEN(A1024)=0,"",INDEX('Smelter Look-up'!$A:$A,MATCH($A1024,'Smelter Look-up'!$E:$E,0)))</f>
        <v/>
      </c>
      <c r="C1024" s="169" t="str">
        <f>IF(LEN(A1024)=0,"",INDEX('Smelter Look-up'!$C:$C,MATCH($A1024,'Smelter Look-up'!$E:$E,0)))</f>
        <v/>
      </c>
      <c r="D1024" s="170"/>
      <c r="E1024" s="168" t="str">
        <f ca="1">IF(ISERROR($V1024),"",OFFSET('Smelter Look-up'!$D$4,$V1024-4,0)&amp;"")</f>
        <v/>
      </c>
      <c r="F1024" s="168" t="str">
        <f ca="1">IF(ISERROR($V1024),"",OFFSET('Smelter Look-up'!$E$4,$V1024-4,0))</f>
        <v/>
      </c>
      <c r="G1024" s="168" t="str">
        <f ca="1">IF(C1024=$X$4,IF(ISERROR($V1024),"Enter smelter details","RMI"),IF(ISERROR($V1024),"",OFFSET('Smelter Look-up'!$F$4,$V1024-4,0)))</f>
        <v/>
      </c>
      <c r="H1024" s="171" t="str">
        <f ca="1">IF(ISERROR($V1024),"",OFFSET('Smelter Look-up'!$G$4,$V1024-4,0))</f>
        <v/>
      </c>
      <c r="I1024" s="172" t="str">
        <f ca="1">IF(ISERROR($V1024),"",OFFSET('Smelter Look-up'!$H$4,$V1024-4,0))</f>
        <v/>
      </c>
      <c r="J1024" s="172" t="str">
        <f ca="1">IF(ISERROR($V1024),"",OFFSET('Smelter Look-up'!$I$4,$V1024-4,0))</f>
        <v/>
      </c>
      <c r="K1024" s="173"/>
      <c r="L1024" s="173"/>
      <c r="M1024" s="173"/>
      <c r="N1024" s="173"/>
      <c r="O1024" s="173"/>
      <c r="P1024" s="174"/>
      <c r="Q1024" s="175"/>
      <c r="R1024" s="168" t="str">
        <f ca="1">IF(ISERROR($V1024),"",OFFSET('Smelter Look-up'!$C$4,$V1024-4,0)&amp;"")</f>
        <v/>
      </c>
      <c r="S1024" s="167" t="str">
        <f t="shared" ca="1" si="99"/>
        <v/>
      </c>
      <c r="T1024" s="167" t="str">
        <f ca="1">IF(B1024="","",IF(ISERROR(MATCH($J1024,SorP!$B$1:$B$6230,0)),"",INDIRECT("'SorP'!$A$"&amp;MATCH($J1024,SorP!$B$1:$B$6230,0))))</f>
        <v/>
      </c>
      <c r="U1024" s="176"/>
      <c r="V1024" s="177" t="e">
        <f>IF(C1024="",NA(),IF(OR(C1024="Smelter not listed",C1024="Smelter not yet identified"),MATCH($B1024&amp;$D1024,'Smelter Look-up'!$J:$J,0),MATCH($B1024&amp;$C1024,'Smelter Look-up'!$J:$J,0)))</f>
        <v>#N/A</v>
      </c>
      <c r="X1024" s="140">
        <f t="shared" ca="1" si="100"/>
        <v>0</v>
      </c>
      <c r="AB1024" s="178" t="str">
        <f t="shared" si="101"/>
        <v/>
      </c>
    </row>
    <row r="1025" spans="1:28" s="140" customFormat="1" ht="20.25">
      <c r="A1025" s="167"/>
      <c r="B1025" s="168" t="str">
        <f>IF(LEN(A1025)=0,"",INDEX('Smelter Look-up'!$A:$A,MATCH($A1025,'Smelter Look-up'!$E:$E,0)))</f>
        <v/>
      </c>
      <c r="C1025" s="169" t="str">
        <f>IF(LEN(A1025)=0,"",INDEX('Smelter Look-up'!$C:$C,MATCH($A1025,'Smelter Look-up'!$E:$E,0)))</f>
        <v/>
      </c>
      <c r="D1025" s="170"/>
      <c r="E1025" s="168" t="str">
        <f ca="1">IF(ISERROR($V1025),"",OFFSET('Smelter Look-up'!$D$4,$V1025-4,0)&amp;"")</f>
        <v/>
      </c>
      <c r="F1025" s="168" t="str">
        <f ca="1">IF(ISERROR($V1025),"",OFFSET('Smelter Look-up'!$E$4,$V1025-4,0))</f>
        <v/>
      </c>
      <c r="G1025" s="168" t="str">
        <f ca="1">IF(C1025=$X$4,IF(ISERROR($V1025),"Enter smelter details","RMI"),IF(ISERROR($V1025),"",OFFSET('Smelter Look-up'!$F$4,$V1025-4,0)))</f>
        <v/>
      </c>
      <c r="H1025" s="171" t="str">
        <f ca="1">IF(ISERROR($V1025),"",OFFSET('Smelter Look-up'!$G$4,$V1025-4,0))</f>
        <v/>
      </c>
      <c r="I1025" s="172" t="str">
        <f ca="1">IF(ISERROR($V1025),"",OFFSET('Smelter Look-up'!$H$4,$V1025-4,0))</f>
        <v/>
      </c>
      <c r="J1025" s="172" t="str">
        <f ca="1">IF(ISERROR($V1025),"",OFFSET('Smelter Look-up'!$I$4,$V1025-4,0))</f>
        <v/>
      </c>
      <c r="K1025" s="173"/>
      <c r="L1025" s="173"/>
      <c r="M1025" s="173"/>
      <c r="N1025" s="173"/>
      <c r="O1025" s="173"/>
      <c r="P1025" s="174"/>
      <c r="Q1025" s="175"/>
      <c r="R1025" s="168" t="str">
        <f ca="1">IF(ISERROR($V1025),"",OFFSET('Smelter Look-up'!$C$4,$V1025-4,0)&amp;"")</f>
        <v/>
      </c>
      <c r="S1025" s="167" t="str">
        <f t="shared" ca="1" si="99"/>
        <v/>
      </c>
      <c r="T1025" s="167" t="str">
        <f ca="1">IF(B1025="","",IF(ISERROR(MATCH($J1025,SorP!$B$1:$B$6230,0)),"",INDIRECT("'SorP'!$A$"&amp;MATCH($J1025,SorP!$B$1:$B$6230,0))))</f>
        <v/>
      </c>
      <c r="U1025" s="176"/>
      <c r="V1025" s="177" t="e">
        <f>IF(C1025="",NA(),IF(OR(C1025="Smelter not listed",C1025="Smelter not yet identified"),MATCH($B1025&amp;$D1025,'Smelter Look-up'!$J:$J,0),MATCH($B1025&amp;$C1025,'Smelter Look-up'!$J:$J,0)))</f>
        <v>#N/A</v>
      </c>
      <c r="X1025" s="140">
        <f t="shared" ca="1" si="100"/>
        <v>0</v>
      </c>
      <c r="AB1025" s="178" t="str">
        <f t="shared" si="101"/>
        <v/>
      </c>
    </row>
    <row r="1026" spans="1:28" s="140" customFormat="1" ht="20.25">
      <c r="A1026" s="167"/>
      <c r="B1026" s="168" t="str">
        <f>IF(LEN(A1026)=0,"",INDEX('Smelter Look-up'!$A:$A,MATCH($A1026,'Smelter Look-up'!$E:$E,0)))</f>
        <v/>
      </c>
      <c r="C1026" s="169" t="str">
        <f>IF(LEN(A1026)=0,"",INDEX('Smelter Look-up'!$C:$C,MATCH($A1026,'Smelter Look-up'!$E:$E,0)))</f>
        <v/>
      </c>
      <c r="D1026" s="170"/>
      <c r="E1026" s="168" t="str">
        <f ca="1">IF(ISERROR($V1026),"",OFFSET('Smelter Look-up'!$D$4,$V1026-4,0)&amp;"")</f>
        <v/>
      </c>
      <c r="F1026" s="168" t="str">
        <f ca="1">IF(ISERROR($V1026),"",OFFSET('Smelter Look-up'!$E$4,$V1026-4,0))</f>
        <v/>
      </c>
      <c r="G1026" s="168" t="str">
        <f ca="1">IF(C1026=$X$4,IF(ISERROR($V1026),"Enter smelter details","RMI"),IF(ISERROR($V1026),"",OFFSET('Smelter Look-up'!$F$4,$V1026-4,0)))</f>
        <v/>
      </c>
      <c r="H1026" s="171" t="str">
        <f ca="1">IF(ISERROR($V1026),"",OFFSET('Smelter Look-up'!$G$4,$V1026-4,0))</f>
        <v/>
      </c>
      <c r="I1026" s="172" t="str">
        <f ca="1">IF(ISERROR($V1026),"",OFFSET('Smelter Look-up'!$H$4,$V1026-4,0))</f>
        <v/>
      </c>
      <c r="J1026" s="172" t="str">
        <f ca="1">IF(ISERROR($V1026),"",OFFSET('Smelter Look-up'!$I$4,$V1026-4,0))</f>
        <v/>
      </c>
      <c r="K1026" s="173"/>
      <c r="L1026" s="173"/>
      <c r="M1026" s="173"/>
      <c r="N1026" s="173"/>
      <c r="O1026" s="173"/>
      <c r="P1026" s="174"/>
      <c r="Q1026" s="175"/>
      <c r="R1026" s="168" t="str">
        <f ca="1">IF(ISERROR($V1026),"",OFFSET('Smelter Look-up'!$C$4,$V1026-4,0)&amp;"")</f>
        <v/>
      </c>
      <c r="S1026" s="167" t="str">
        <f t="shared" ca="1" si="99"/>
        <v/>
      </c>
      <c r="T1026" s="167" t="str">
        <f ca="1">IF(B1026="","",IF(ISERROR(MATCH($J1026,SorP!$B$1:$B$6230,0)),"",INDIRECT("'SorP'!$A$"&amp;MATCH($J1026,SorP!$B$1:$B$6230,0))))</f>
        <v/>
      </c>
      <c r="U1026" s="176"/>
      <c r="V1026" s="177" t="e">
        <f>IF(C1026="",NA(),IF(OR(C1026="Smelter not listed",C1026="Smelter not yet identified"),MATCH($B1026&amp;$D1026,'Smelter Look-up'!$J:$J,0),MATCH($B1026&amp;$C1026,'Smelter Look-up'!$J:$J,0)))</f>
        <v>#N/A</v>
      </c>
      <c r="X1026" s="140">
        <f t="shared" ca="1" si="100"/>
        <v>0</v>
      </c>
      <c r="AB1026" s="178" t="str">
        <f t="shared" si="101"/>
        <v/>
      </c>
    </row>
    <row r="1027" spans="1:28" s="140" customFormat="1" ht="20.25">
      <c r="A1027" s="167"/>
      <c r="B1027" s="168" t="str">
        <f>IF(LEN(A1027)=0,"",INDEX('Smelter Look-up'!$A:$A,MATCH($A1027,'Smelter Look-up'!$E:$E,0)))</f>
        <v/>
      </c>
      <c r="C1027" s="169" t="str">
        <f>IF(LEN(A1027)=0,"",INDEX('Smelter Look-up'!$C:$C,MATCH($A1027,'Smelter Look-up'!$E:$E,0)))</f>
        <v/>
      </c>
      <c r="D1027" s="170"/>
      <c r="E1027" s="168" t="str">
        <f ca="1">IF(ISERROR($V1027),"",OFFSET('Smelter Look-up'!$D$4,$V1027-4,0)&amp;"")</f>
        <v/>
      </c>
      <c r="F1027" s="168" t="str">
        <f ca="1">IF(ISERROR($V1027),"",OFFSET('Smelter Look-up'!$E$4,$V1027-4,0))</f>
        <v/>
      </c>
      <c r="G1027" s="168" t="str">
        <f ca="1">IF(C1027=$X$4,IF(ISERROR($V1027),"Enter smelter details","RMI"),IF(ISERROR($V1027),"",OFFSET('Smelter Look-up'!$F$4,$V1027-4,0)))</f>
        <v/>
      </c>
      <c r="H1027" s="171" t="str">
        <f ca="1">IF(ISERROR($V1027),"",OFFSET('Smelter Look-up'!$G$4,$V1027-4,0))</f>
        <v/>
      </c>
      <c r="I1027" s="172" t="str">
        <f ca="1">IF(ISERROR($V1027),"",OFFSET('Smelter Look-up'!$H$4,$V1027-4,0))</f>
        <v/>
      </c>
      <c r="J1027" s="172" t="str">
        <f ca="1">IF(ISERROR($V1027),"",OFFSET('Smelter Look-up'!$I$4,$V1027-4,0))</f>
        <v/>
      </c>
      <c r="K1027" s="173"/>
      <c r="L1027" s="173"/>
      <c r="M1027" s="173"/>
      <c r="N1027" s="173"/>
      <c r="O1027" s="173"/>
      <c r="P1027" s="174"/>
      <c r="Q1027" s="175"/>
      <c r="R1027" s="168" t="str">
        <f ca="1">IF(ISERROR($V1027),"",OFFSET('Smelter Look-up'!$C$4,$V1027-4,0)&amp;"")</f>
        <v/>
      </c>
      <c r="S1027" s="167" t="str">
        <f t="shared" ca="1" si="99"/>
        <v/>
      </c>
      <c r="T1027" s="167" t="str">
        <f ca="1">IF(B1027="","",IF(ISERROR(MATCH($J1027,SorP!$B$1:$B$6230,0)),"",INDIRECT("'SorP'!$A$"&amp;MATCH($J1027,SorP!$B$1:$B$6230,0))))</f>
        <v/>
      </c>
      <c r="U1027" s="176"/>
      <c r="V1027" s="177" t="e">
        <f>IF(C1027="",NA(),IF(OR(C1027="Smelter not listed",C1027="Smelter not yet identified"),MATCH($B1027&amp;$D1027,'Smelter Look-up'!$J:$J,0),MATCH($B1027&amp;$C1027,'Smelter Look-up'!$J:$J,0)))</f>
        <v>#N/A</v>
      </c>
      <c r="X1027" s="140">
        <f t="shared" ca="1" si="100"/>
        <v>0</v>
      </c>
      <c r="AB1027" s="178" t="str">
        <f t="shared" si="101"/>
        <v/>
      </c>
    </row>
    <row r="1028" spans="1:28" s="140" customFormat="1" ht="20.25">
      <c r="A1028" s="167"/>
      <c r="B1028" s="168" t="str">
        <f>IF(LEN(A1028)=0,"",INDEX('Smelter Look-up'!$A:$A,MATCH($A1028,'Smelter Look-up'!$E:$E,0)))</f>
        <v/>
      </c>
      <c r="C1028" s="169" t="str">
        <f>IF(LEN(A1028)=0,"",INDEX('Smelter Look-up'!$C:$C,MATCH($A1028,'Smelter Look-up'!$E:$E,0)))</f>
        <v/>
      </c>
      <c r="D1028" s="170"/>
      <c r="E1028" s="168" t="str">
        <f ca="1">IF(ISERROR($V1028),"",OFFSET('Smelter Look-up'!$D$4,$V1028-4,0)&amp;"")</f>
        <v/>
      </c>
      <c r="F1028" s="168" t="str">
        <f ca="1">IF(ISERROR($V1028),"",OFFSET('Smelter Look-up'!$E$4,$V1028-4,0))</f>
        <v/>
      </c>
      <c r="G1028" s="168" t="str">
        <f ca="1">IF(C1028=$X$4,IF(ISERROR($V1028),"Enter smelter details","RMI"),IF(ISERROR($V1028),"",OFFSET('Smelter Look-up'!$F$4,$V1028-4,0)))</f>
        <v/>
      </c>
      <c r="H1028" s="171" t="str">
        <f ca="1">IF(ISERROR($V1028),"",OFFSET('Smelter Look-up'!$G$4,$V1028-4,0))</f>
        <v/>
      </c>
      <c r="I1028" s="172" t="str">
        <f ca="1">IF(ISERROR($V1028),"",OFFSET('Smelter Look-up'!$H$4,$V1028-4,0))</f>
        <v/>
      </c>
      <c r="J1028" s="172" t="str">
        <f ca="1">IF(ISERROR($V1028),"",OFFSET('Smelter Look-up'!$I$4,$V1028-4,0))</f>
        <v/>
      </c>
      <c r="K1028" s="173"/>
      <c r="L1028" s="173"/>
      <c r="M1028" s="173"/>
      <c r="N1028" s="173"/>
      <c r="O1028" s="173"/>
      <c r="P1028" s="174"/>
      <c r="Q1028" s="175"/>
      <c r="R1028" s="168" t="str">
        <f ca="1">IF(ISERROR($V1028),"",OFFSET('Smelter Look-up'!$C$4,$V1028-4,0)&amp;"")</f>
        <v/>
      </c>
      <c r="S1028" s="167" t="str">
        <f t="shared" ca="1" si="99"/>
        <v/>
      </c>
      <c r="T1028" s="167" t="str">
        <f ca="1">IF(B1028="","",IF(ISERROR(MATCH($J1028,SorP!$B$1:$B$6230,0)),"",INDIRECT("'SorP'!$A$"&amp;MATCH($J1028,SorP!$B$1:$B$6230,0))))</f>
        <v/>
      </c>
      <c r="U1028" s="176"/>
      <c r="V1028" s="177" t="e">
        <f>IF(C1028="",NA(),IF(OR(C1028="Smelter not listed",C1028="Smelter not yet identified"),MATCH($B1028&amp;$D1028,'Smelter Look-up'!$J:$J,0),MATCH($B1028&amp;$C1028,'Smelter Look-up'!$J:$J,0)))</f>
        <v>#N/A</v>
      </c>
      <c r="X1028" s="140">
        <f t="shared" ca="1" si="100"/>
        <v>0</v>
      </c>
      <c r="AB1028" s="178" t="str">
        <f t="shared" si="101"/>
        <v/>
      </c>
    </row>
    <row r="1029" spans="1:28" s="140" customFormat="1" ht="20.25">
      <c r="A1029" s="167"/>
      <c r="B1029" s="168" t="str">
        <f>IF(LEN(A1029)=0,"",INDEX('Smelter Look-up'!$A:$A,MATCH($A1029,'Smelter Look-up'!$E:$E,0)))</f>
        <v/>
      </c>
      <c r="C1029" s="169" t="str">
        <f>IF(LEN(A1029)=0,"",INDEX('Smelter Look-up'!$C:$C,MATCH($A1029,'Smelter Look-up'!$E:$E,0)))</f>
        <v/>
      </c>
      <c r="D1029" s="170"/>
      <c r="E1029" s="168" t="str">
        <f ca="1">IF(ISERROR($V1029),"",OFFSET('Smelter Look-up'!$D$4,$V1029-4,0)&amp;"")</f>
        <v/>
      </c>
      <c r="F1029" s="168" t="str">
        <f ca="1">IF(ISERROR($V1029),"",OFFSET('Smelter Look-up'!$E$4,$V1029-4,0))</f>
        <v/>
      </c>
      <c r="G1029" s="168" t="str">
        <f ca="1">IF(C1029=$X$4,IF(ISERROR($V1029),"Enter smelter details","RMI"),IF(ISERROR($V1029),"",OFFSET('Smelter Look-up'!$F$4,$V1029-4,0)))</f>
        <v/>
      </c>
      <c r="H1029" s="171" t="str">
        <f ca="1">IF(ISERROR($V1029),"",OFFSET('Smelter Look-up'!$G$4,$V1029-4,0))</f>
        <v/>
      </c>
      <c r="I1029" s="172" t="str">
        <f ca="1">IF(ISERROR($V1029),"",OFFSET('Smelter Look-up'!$H$4,$V1029-4,0))</f>
        <v/>
      </c>
      <c r="J1029" s="172" t="str">
        <f ca="1">IF(ISERROR($V1029),"",OFFSET('Smelter Look-up'!$I$4,$V1029-4,0))</f>
        <v/>
      </c>
      <c r="K1029" s="173"/>
      <c r="L1029" s="173"/>
      <c r="M1029" s="173"/>
      <c r="N1029" s="173"/>
      <c r="O1029" s="173"/>
      <c r="P1029" s="174"/>
      <c r="Q1029" s="175"/>
      <c r="R1029" s="168" t="str">
        <f ca="1">IF(ISERROR($V1029),"",OFFSET('Smelter Look-up'!$C$4,$V1029-4,0)&amp;"")</f>
        <v/>
      </c>
      <c r="S1029" s="167" t="str">
        <f t="shared" ca="1" si="99"/>
        <v/>
      </c>
      <c r="T1029" s="167" t="str">
        <f ca="1">IF(B1029="","",IF(ISERROR(MATCH($J1029,SorP!$B$1:$B$6230,0)),"",INDIRECT("'SorP'!$A$"&amp;MATCH($J1029,SorP!$B$1:$B$6230,0))))</f>
        <v/>
      </c>
      <c r="U1029" s="176"/>
      <c r="V1029" s="177" t="e">
        <f>IF(C1029="",NA(),IF(OR(C1029="Smelter not listed",C1029="Smelter not yet identified"),MATCH($B1029&amp;$D1029,'Smelter Look-up'!$J:$J,0),MATCH($B1029&amp;$C1029,'Smelter Look-up'!$J:$J,0)))</f>
        <v>#N/A</v>
      </c>
      <c r="X1029" s="140">
        <f t="shared" ca="1" si="100"/>
        <v>0</v>
      </c>
      <c r="AB1029" s="178" t="str">
        <f t="shared" si="101"/>
        <v/>
      </c>
    </row>
    <row r="1030" spans="1:28" s="140" customFormat="1" ht="20.25">
      <c r="A1030" s="167"/>
      <c r="B1030" s="168" t="str">
        <f>IF(LEN(A1030)=0,"",INDEX('Smelter Look-up'!$A:$A,MATCH($A1030,'Smelter Look-up'!$E:$E,0)))</f>
        <v/>
      </c>
      <c r="C1030" s="169" t="str">
        <f>IF(LEN(A1030)=0,"",INDEX('Smelter Look-up'!$C:$C,MATCH($A1030,'Smelter Look-up'!$E:$E,0)))</f>
        <v/>
      </c>
      <c r="D1030" s="170"/>
      <c r="E1030" s="168" t="str">
        <f ca="1">IF(ISERROR($V1030),"",OFFSET('Smelter Look-up'!$D$4,$V1030-4,0)&amp;"")</f>
        <v/>
      </c>
      <c r="F1030" s="168" t="str">
        <f ca="1">IF(ISERROR($V1030),"",OFFSET('Smelter Look-up'!$E$4,$V1030-4,0))</f>
        <v/>
      </c>
      <c r="G1030" s="168" t="str">
        <f ca="1">IF(C1030=$X$4,IF(ISERROR($V1030),"Enter smelter details","RMI"),IF(ISERROR($V1030),"",OFFSET('Smelter Look-up'!$F$4,$V1030-4,0)))</f>
        <v/>
      </c>
      <c r="H1030" s="171" t="str">
        <f ca="1">IF(ISERROR($V1030),"",OFFSET('Smelter Look-up'!$G$4,$V1030-4,0))</f>
        <v/>
      </c>
      <c r="I1030" s="172" t="str">
        <f ca="1">IF(ISERROR($V1030),"",OFFSET('Smelter Look-up'!$H$4,$V1030-4,0))</f>
        <v/>
      </c>
      <c r="J1030" s="172" t="str">
        <f ca="1">IF(ISERROR($V1030),"",OFFSET('Smelter Look-up'!$I$4,$V1030-4,0))</f>
        <v/>
      </c>
      <c r="K1030" s="173"/>
      <c r="L1030" s="173"/>
      <c r="M1030" s="173"/>
      <c r="N1030" s="173"/>
      <c r="O1030" s="173"/>
      <c r="P1030" s="174"/>
      <c r="Q1030" s="175"/>
      <c r="R1030" s="168" t="str">
        <f ca="1">IF(ISERROR($V1030),"",OFFSET('Smelter Look-up'!$C$4,$V1030-4,0)&amp;"")</f>
        <v/>
      </c>
      <c r="S1030" s="167" t="str">
        <f t="shared" ca="1" si="99"/>
        <v/>
      </c>
      <c r="T1030" s="167" t="str">
        <f ca="1">IF(B1030="","",IF(ISERROR(MATCH($J1030,SorP!$B$1:$B$6230,0)),"",INDIRECT("'SorP'!$A$"&amp;MATCH($J1030,SorP!$B$1:$B$6230,0))))</f>
        <v/>
      </c>
      <c r="U1030" s="176"/>
      <c r="V1030" s="177" t="e">
        <f>IF(C1030="",NA(),IF(OR(C1030="Smelter not listed",C1030="Smelter not yet identified"),MATCH($B1030&amp;$D1030,'Smelter Look-up'!$J:$J,0),MATCH($B1030&amp;$C1030,'Smelter Look-up'!$J:$J,0)))</f>
        <v>#N/A</v>
      </c>
      <c r="X1030" s="140">
        <f t="shared" ca="1" si="100"/>
        <v>0</v>
      </c>
      <c r="AB1030" s="178" t="str">
        <f t="shared" si="101"/>
        <v/>
      </c>
    </row>
    <row r="1031" spans="1:28" s="140" customFormat="1" ht="20.25">
      <c r="A1031" s="167"/>
      <c r="B1031" s="168" t="str">
        <f>IF(LEN(A1031)=0,"",INDEX('Smelter Look-up'!$A:$A,MATCH($A1031,'Smelter Look-up'!$E:$E,0)))</f>
        <v/>
      </c>
      <c r="C1031" s="169" t="str">
        <f>IF(LEN(A1031)=0,"",INDEX('Smelter Look-up'!$C:$C,MATCH($A1031,'Smelter Look-up'!$E:$E,0)))</f>
        <v/>
      </c>
      <c r="D1031" s="170"/>
      <c r="E1031" s="168" t="str">
        <f ca="1">IF(ISERROR($V1031),"",OFFSET('Smelter Look-up'!$D$4,$V1031-4,0)&amp;"")</f>
        <v/>
      </c>
      <c r="F1031" s="168" t="str">
        <f ca="1">IF(ISERROR($V1031),"",OFFSET('Smelter Look-up'!$E$4,$V1031-4,0))</f>
        <v/>
      </c>
      <c r="G1031" s="168" t="str">
        <f ca="1">IF(C1031=$X$4,IF(ISERROR($V1031),"Enter smelter details","RMI"),IF(ISERROR($V1031),"",OFFSET('Smelter Look-up'!$F$4,$V1031-4,0)))</f>
        <v/>
      </c>
      <c r="H1031" s="171" t="str">
        <f ca="1">IF(ISERROR($V1031),"",OFFSET('Smelter Look-up'!$G$4,$V1031-4,0))</f>
        <v/>
      </c>
      <c r="I1031" s="172" t="str">
        <f ca="1">IF(ISERROR($V1031),"",OFFSET('Smelter Look-up'!$H$4,$V1031-4,0))</f>
        <v/>
      </c>
      <c r="J1031" s="172" t="str">
        <f ca="1">IF(ISERROR($V1031),"",OFFSET('Smelter Look-up'!$I$4,$V1031-4,0))</f>
        <v/>
      </c>
      <c r="K1031" s="173"/>
      <c r="L1031" s="173"/>
      <c r="M1031" s="173"/>
      <c r="N1031" s="173"/>
      <c r="O1031" s="173"/>
      <c r="P1031" s="174"/>
      <c r="Q1031" s="175"/>
      <c r="R1031" s="168" t="str">
        <f ca="1">IF(ISERROR($V1031),"",OFFSET('Smelter Look-up'!$C$4,$V1031-4,0)&amp;"")</f>
        <v/>
      </c>
      <c r="S1031" s="167" t="str">
        <f t="shared" ca="1" si="99"/>
        <v/>
      </c>
      <c r="T1031" s="167" t="str">
        <f ca="1">IF(B1031="","",IF(ISERROR(MATCH($J1031,SorP!$B$1:$B$6230,0)),"",INDIRECT("'SorP'!$A$"&amp;MATCH($J1031,SorP!$B$1:$B$6230,0))))</f>
        <v/>
      </c>
      <c r="U1031" s="176"/>
      <c r="V1031" s="177" t="e">
        <f>IF(C1031="",NA(),IF(OR(C1031="Smelter not listed",C1031="Smelter not yet identified"),MATCH($B1031&amp;$D1031,'Smelter Look-up'!$J:$J,0),MATCH($B1031&amp;$C1031,'Smelter Look-up'!$J:$J,0)))</f>
        <v>#N/A</v>
      </c>
      <c r="X1031" s="140">
        <f t="shared" ca="1" si="100"/>
        <v>0</v>
      </c>
      <c r="AB1031" s="178" t="str">
        <f t="shared" si="101"/>
        <v/>
      </c>
    </row>
    <row r="1032" spans="1:28" s="140" customFormat="1" ht="20.25">
      <c r="A1032" s="167"/>
      <c r="B1032" s="168" t="str">
        <f>IF(LEN(A1032)=0,"",INDEX('Smelter Look-up'!$A:$A,MATCH($A1032,'Smelter Look-up'!$E:$E,0)))</f>
        <v/>
      </c>
      <c r="C1032" s="169" t="str">
        <f>IF(LEN(A1032)=0,"",INDEX('Smelter Look-up'!$C:$C,MATCH($A1032,'Smelter Look-up'!$E:$E,0)))</f>
        <v/>
      </c>
      <c r="D1032" s="170"/>
      <c r="E1032" s="168" t="str">
        <f ca="1">IF(ISERROR($V1032),"",OFFSET('Smelter Look-up'!$D$4,$V1032-4,0)&amp;"")</f>
        <v/>
      </c>
      <c r="F1032" s="168" t="str">
        <f ca="1">IF(ISERROR($V1032),"",OFFSET('Smelter Look-up'!$E$4,$V1032-4,0))</f>
        <v/>
      </c>
      <c r="G1032" s="168" t="str">
        <f ca="1">IF(C1032=$X$4,IF(ISERROR($V1032),"Enter smelter details","RMI"),IF(ISERROR($V1032),"",OFFSET('Smelter Look-up'!$F$4,$V1032-4,0)))</f>
        <v/>
      </c>
      <c r="H1032" s="171" t="str">
        <f ca="1">IF(ISERROR($V1032),"",OFFSET('Smelter Look-up'!$G$4,$V1032-4,0))</f>
        <v/>
      </c>
      <c r="I1032" s="172" t="str">
        <f ca="1">IF(ISERROR($V1032),"",OFFSET('Smelter Look-up'!$H$4,$V1032-4,0))</f>
        <v/>
      </c>
      <c r="J1032" s="172" t="str">
        <f ca="1">IF(ISERROR($V1032),"",OFFSET('Smelter Look-up'!$I$4,$V1032-4,0))</f>
        <v/>
      </c>
      <c r="K1032" s="173"/>
      <c r="L1032" s="173"/>
      <c r="M1032" s="173"/>
      <c r="N1032" s="173"/>
      <c r="O1032" s="173"/>
      <c r="P1032" s="174"/>
      <c r="Q1032" s="175"/>
      <c r="R1032" s="168" t="str">
        <f ca="1">IF(ISERROR($V1032),"",OFFSET('Smelter Look-up'!$C$4,$V1032-4,0)&amp;"")</f>
        <v/>
      </c>
      <c r="S1032" s="167" t="str">
        <f t="shared" ca="1" si="99"/>
        <v/>
      </c>
      <c r="T1032" s="167" t="str">
        <f ca="1">IF(B1032="","",IF(ISERROR(MATCH($J1032,SorP!$B$1:$B$6230,0)),"",INDIRECT("'SorP'!$A$"&amp;MATCH($J1032,SorP!$B$1:$B$6230,0))))</f>
        <v/>
      </c>
      <c r="U1032" s="176"/>
      <c r="V1032" s="177" t="e">
        <f>IF(C1032="",NA(),IF(OR(C1032="Smelter not listed",C1032="Smelter not yet identified"),MATCH($B1032&amp;$D1032,'Smelter Look-up'!$J:$J,0),MATCH($B1032&amp;$C1032,'Smelter Look-up'!$J:$J,0)))</f>
        <v>#N/A</v>
      </c>
      <c r="X1032" s="140">
        <f t="shared" ca="1" si="100"/>
        <v>0</v>
      </c>
      <c r="AB1032" s="178" t="str">
        <f t="shared" si="101"/>
        <v/>
      </c>
    </row>
    <row r="1033" spans="1:28" s="140" customFormat="1" ht="20.25">
      <c r="A1033" s="167"/>
      <c r="B1033" s="168" t="str">
        <f>IF(LEN(A1033)=0,"",INDEX('Smelter Look-up'!$A:$A,MATCH($A1033,'Smelter Look-up'!$E:$E,0)))</f>
        <v/>
      </c>
      <c r="C1033" s="169" t="str">
        <f>IF(LEN(A1033)=0,"",INDEX('Smelter Look-up'!$C:$C,MATCH($A1033,'Smelter Look-up'!$E:$E,0)))</f>
        <v/>
      </c>
      <c r="D1033" s="170"/>
      <c r="E1033" s="168" t="str">
        <f ca="1">IF(ISERROR($V1033),"",OFFSET('Smelter Look-up'!$D$4,$V1033-4,0)&amp;"")</f>
        <v/>
      </c>
      <c r="F1033" s="168" t="str">
        <f ca="1">IF(ISERROR($V1033),"",OFFSET('Smelter Look-up'!$E$4,$V1033-4,0))</f>
        <v/>
      </c>
      <c r="G1033" s="168" t="str">
        <f ca="1">IF(C1033=$X$4,IF(ISERROR($V1033),"Enter smelter details","RMI"),IF(ISERROR($V1033),"",OFFSET('Smelter Look-up'!$F$4,$V1033-4,0)))</f>
        <v/>
      </c>
      <c r="H1033" s="171" t="str">
        <f ca="1">IF(ISERROR($V1033),"",OFFSET('Smelter Look-up'!$G$4,$V1033-4,0))</f>
        <v/>
      </c>
      <c r="I1033" s="172" t="str">
        <f ca="1">IF(ISERROR($V1033),"",OFFSET('Smelter Look-up'!$H$4,$V1033-4,0))</f>
        <v/>
      </c>
      <c r="J1033" s="172" t="str">
        <f ca="1">IF(ISERROR($V1033),"",OFFSET('Smelter Look-up'!$I$4,$V1033-4,0))</f>
        <v/>
      </c>
      <c r="K1033" s="173"/>
      <c r="L1033" s="173"/>
      <c r="M1033" s="173"/>
      <c r="N1033" s="173"/>
      <c r="O1033" s="173"/>
      <c r="P1033" s="174"/>
      <c r="Q1033" s="175"/>
      <c r="R1033" s="168" t="str">
        <f ca="1">IF(ISERROR($V1033),"",OFFSET('Smelter Look-up'!$C$4,$V1033-4,0)&amp;"")</f>
        <v/>
      </c>
      <c r="S1033" s="167" t="str">
        <f t="shared" ca="1" si="99"/>
        <v/>
      </c>
      <c r="T1033" s="167" t="str">
        <f ca="1">IF(B1033="","",IF(ISERROR(MATCH($J1033,SorP!$B$1:$B$6230,0)),"",INDIRECT("'SorP'!$A$"&amp;MATCH($J1033,SorP!$B$1:$B$6230,0))))</f>
        <v/>
      </c>
      <c r="U1033" s="176"/>
      <c r="V1033" s="177" t="e">
        <f>IF(C1033="",NA(),IF(OR(C1033="Smelter not listed",C1033="Smelter not yet identified"),MATCH($B1033&amp;$D1033,'Smelter Look-up'!$J:$J,0),MATCH($B1033&amp;$C1033,'Smelter Look-up'!$J:$J,0)))</f>
        <v>#N/A</v>
      </c>
      <c r="X1033" s="140">
        <f t="shared" ca="1" si="100"/>
        <v>0</v>
      </c>
      <c r="AB1033" s="178" t="str">
        <f t="shared" si="101"/>
        <v/>
      </c>
    </row>
    <row r="1034" spans="1:28" s="140" customFormat="1" ht="20.25">
      <c r="A1034" s="167"/>
      <c r="B1034" s="168" t="str">
        <f>IF(LEN(A1034)=0,"",INDEX('Smelter Look-up'!$A:$A,MATCH($A1034,'Smelter Look-up'!$E:$E,0)))</f>
        <v/>
      </c>
      <c r="C1034" s="169" t="str">
        <f>IF(LEN(A1034)=0,"",INDEX('Smelter Look-up'!$C:$C,MATCH($A1034,'Smelter Look-up'!$E:$E,0)))</f>
        <v/>
      </c>
      <c r="D1034" s="170"/>
      <c r="E1034" s="168" t="str">
        <f ca="1">IF(ISERROR($V1034),"",OFFSET('Smelter Look-up'!$D$4,$V1034-4,0)&amp;"")</f>
        <v/>
      </c>
      <c r="F1034" s="168" t="str">
        <f ca="1">IF(ISERROR($V1034),"",OFFSET('Smelter Look-up'!$E$4,$V1034-4,0))</f>
        <v/>
      </c>
      <c r="G1034" s="168" t="str">
        <f ca="1">IF(C1034=$X$4,IF(ISERROR($V1034),"Enter smelter details","RMI"),IF(ISERROR($V1034),"",OFFSET('Smelter Look-up'!$F$4,$V1034-4,0)))</f>
        <v/>
      </c>
      <c r="H1034" s="171" t="str">
        <f ca="1">IF(ISERROR($V1034),"",OFFSET('Smelter Look-up'!$G$4,$V1034-4,0))</f>
        <v/>
      </c>
      <c r="I1034" s="172" t="str">
        <f ca="1">IF(ISERROR($V1034),"",OFFSET('Smelter Look-up'!$H$4,$V1034-4,0))</f>
        <v/>
      </c>
      <c r="J1034" s="172" t="str">
        <f ca="1">IF(ISERROR($V1034),"",OFFSET('Smelter Look-up'!$I$4,$V1034-4,0))</f>
        <v/>
      </c>
      <c r="K1034" s="173"/>
      <c r="L1034" s="173"/>
      <c r="M1034" s="173"/>
      <c r="N1034" s="173"/>
      <c r="O1034" s="173"/>
      <c r="P1034" s="174"/>
      <c r="Q1034" s="175"/>
      <c r="R1034" s="168" t="str">
        <f ca="1">IF(ISERROR($V1034),"",OFFSET('Smelter Look-up'!$C$4,$V1034-4,0)&amp;"")</f>
        <v/>
      </c>
      <c r="S1034" s="167" t="str">
        <f t="shared" ca="1" si="99"/>
        <v/>
      </c>
      <c r="T1034" s="167" t="str">
        <f ca="1">IF(B1034="","",IF(ISERROR(MATCH($J1034,SorP!$B$1:$B$6230,0)),"",INDIRECT("'SorP'!$A$"&amp;MATCH($J1034,SorP!$B$1:$B$6230,0))))</f>
        <v/>
      </c>
      <c r="U1034" s="176"/>
      <c r="V1034" s="177" t="e">
        <f>IF(C1034="",NA(),IF(OR(C1034="Smelter not listed",C1034="Smelter not yet identified"),MATCH($B1034&amp;$D1034,'Smelter Look-up'!$J:$J,0),MATCH($B1034&amp;$C1034,'Smelter Look-up'!$J:$J,0)))</f>
        <v>#N/A</v>
      </c>
      <c r="X1034" s="140">
        <f t="shared" ca="1" si="100"/>
        <v>0</v>
      </c>
      <c r="AB1034" s="178" t="str">
        <f t="shared" si="101"/>
        <v/>
      </c>
    </row>
    <row r="1035" spans="1:28" s="140" customFormat="1" ht="20.25">
      <c r="A1035" s="167"/>
      <c r="B1035" s="168" t="str">
        <f>IF(LEN(A1035)=0,"",INDEX('Smelter Look-up'!$A:$A,MATCH($A1035,'Smelter Look-up'!$E:$E,0)))</f>
        <v/>
      </c>
      <c r="C1035" s="169" t="str">
        <f>IF(LEN(A1035)=0,"",INDEX('Smelter Look-up'!$C:$C,MATCH($A1035,'Smelter Look-up'!$E:$E,0)))</f>
        <v/>
      </c>
      <c r="D1035" s="170"/>
      <c r="E1035" s="168" t="str">
        <f ca="1">IF(ISERROR($V1035),"",OFFSET('Smelter Look-up'!$D$4,$V1035-4,0)&amp;"")</f>
        <v/>
      </c>
      <c r="F1035" s="168" t="str">
        <f ca="1">IF(ISERROR($V1035),"",OFFSET('Smelter Look-up'!$E$4,$V1035-4,0))</f>
        <v/>
      </c>
      <c r="G1035" s="168" t="str">
        <f ca="1">IF(C1035=$X$4,IF(ISERROR($V1035),"Enter smelter details","RMI"),IF(ISERROR($V1035),"",OFFSET('Smelter Look-up'!$F$4,$V1035-4,0)))</f>
        <v/>
      </c>
      <c r="H1035" s="171" t="str">
        <f ca="1">IF(ISERROR($V1035),"",OFFSET('Smelter Look-up'!$G$4,$V1035-4,0))</f>
        <v/>
      </c>
      <c r="I1035" s="172" t="str">
        <f ca="1">IF(ISERROR($V1035),"",OFFSET('Smelter Look-up'!$H$4,$V1035-4,0))</f>
        <v/>
      </c>
      <c r="J1035" s="172" t="str">
        <f ca="1">IF(ISERROR($V1035),"",OFFSET('Smelter Look-up'!$I$4,$V1035-4,0))</f>
        <v/>
      </c>
      <c r="K1035" s="173"/>
      <c r="L1035" s="173"/>
      <c r="M1035" s="173"/>
      <c r="N1035" s="173"/>
      <c r="O1035" s="173"/>
      <c r="P1035" s="174"/>
      <c r="Q1035" s="175"/>
      <c r="R1035" s="168" t="str">
        <f ca="1">IF(ISERROR($V1035),"",OFFSET('Smelter Look-up'!$C$4,$V1035-4,0)&amp;"")</f>
        <v/>
      </c>
      <c r="S1035" s="167" t="str">
        <f t="shared" ca="1" si="99"/>
        <v/>
      </c>
      <c r="T1035" s="167" t="str">
        <f ca="1">IF(B1035="","",IF(ISERROR(MATCH($J1035,SorP!$B$1:$B$6230,0)),"",INDIRECT("'SorP'!$A$"&amp;MATCH($J1035,SorP!$B$1:$B$6230,0))))</f>
        <v/>
      </c>
      <c r="U1035" s="176"/>
      <c r="V1035" s="177" t="e">
        <f>IF(C1035="",NA(),IF(OR(C1035="Smelter not listed",C1035="Smelter not yet identified"),MATCH($B1035&amp;$D1035,'Smelter Look-up'!$J:$J,0),MATCH($B1035&amp;$C1035,'Smelter Look-up'!$J:$J,0)))</f>
        <v>#N/A</v>
      </c>
      <c r="X1035" s="140">
        <f t="shared" ca="1" si="100"/>
        <v>0</v>
      </c>
      <c r="AB1035" s="178" t="str">
        <f t="shared" si="101"/>
        <v/>
      </c>
    </row>
    <row r="1036" spans="1:28" s="140" customFormat="1" ht="20.25">
      <c r="A1036" s="167"/>
      <c r="B1036" s="168" t="str">
        <f>IF(LEN(A1036)=0,"",INDEX('Smelter Look-up'!$A:$A,MATCH($A1036,'Smelter Look-up'!$E:$E,0)))</f>
        <v/>
      </c>
      <c r="C1036" s="169" t="str">
        <f>IF(LEN(A1036)=0,"",INDEX('Smelter Look-up'!$C:$C,MATCH($A1036,'Smelter Look-up'!$E:$E,0)))</f>
        <v/>
      </c>
      <c r="D1036" s="170"/>
      <c r="E1036" s="168" t="str">
        <f ca="1">IF(ISERROR($V1036),"",OFFSET('Smelter Look-up'!$D$4,$V1036-4,0)&amp;"")</f>
        <v/>
      </c>
      <c r="F1036" s="168" t="str">
        <f ca="1">IF(ISERROR($V1036),"",OFFSET('Smelter Look-up'!$E$4,$V1036-4,0))</f>
        <v/>
      </c>
      <c r="G1036" s="168" t="str">
        <f ca="1">IF(C1036=$X$4,IF(ISERROR($V1036),"Enter smelter details","RMI"),IF(ISERROR($V1036),"",OFFSET('Smelter Look-up'!$F$4,$V1036-4,0)))</f>
        <v/>
      </c>
      <c r="H1036" s="171" t="str">
        <f ca="1">IF(ISERROR($V1036),"",OFFSET('Smelter Look-up'!$G$4,$V1036-4,0))</f>
        <v/>
      </c>
      <c r="I1036" s="172" t="str">
        <f ca="1">IF(ISERROR($V1036),"",OFFSET('Smelter Look-up'!$H$4,$V1036-4,0))</f>
        <v/>
      </c>
      <c r="J1036" s="172" t="str">
        <f ca="1">IF(ISERROR($V1036),"",OFFSET('Smelter Look-up'!$I$4,$V1036-4,0))</f>
        <v/>
      </c>
      <c r="K1036" s="173"/>
      <c r="L1036" s="173"/>
      <c r="M1036" s="173"/>
      <c r="N1036" s="173"/>
      <c r="O1036" s="173"/>
      <c r="P1036" s="174"/>
      <c r="Q1036" s="175"/>
      <c r="R1036" s="168" t="str">
        <f ca="1">IF(ISERROR($V1036),"",OFFSET('Smelter Look-up'!$C$4,$V1036-4,0)&amp;"")</f>
        <v/>
      </c>
      <c r="S1036" s="167" t="str">
        <f t="shared" ca="1" si="99"/>
        <v/>
      </c>
      <c r="T1036" s="167" t="str">
        <f ca="1">IF(B1036="","",IF(ISERROR(MATCH($J1036,SorP!$B$1:$B$6230,0)),"",INDIRECT("'SorP'!$A$"&amp;MATCH($J1036,SorP!$B$1:$B$6230,0))))</f>
        <v/>
      </c>
      <c r="U1036" s="176"/>
      <c r="V1036" s="177" t="e">
        <f>IF(C1036="",NA(),IF(OR(C1036="Smelter not listed",C1036="Smelter not yet identified"),MATCH($B1036&amp;$D1036,'Smelter Look-up'!$J:$J,0),MATCH($B1036&amp;$C1036,'Smelter Look-up'!$J:$J,0)))</f>
        <v>#N/A</v>
      </c>
      <c r="X1036" s="140">
        <f t="shared" ca="1" si="100"/>
        <v>0</v>
      </c>
      <c r="AB1036" s="178" t="str">
        <f t="shared" si="101"/>
        <v/>
      </c>
    </row>
    <row r="1037" spans="1:28" s="140" customFormat="1" ht="20.25">
      <c r="A1037" s="167"/>
      <c r="B1037" s="168" t="str">
        <f>IF(LEN(A1037)=0,"",INDEX('Smelter Look-up'!$A:$A,MATCH($A1037,'Smelter Look-up'!$E:$E,0)))</f>
        <v/>
      </c>
      <c r="C1037" s="169" t="str">
        <f>IF(LEN(A1037)=0,"",INDEX('Smelter Look-up'!$C:$C,MATCH($A1037,'Smelter Look-up'!$E:$E,0)))</f>
        <v/>
      </c>
      <c r="D1037" s="170"/>
      <c r="E1037" s="168" t="str">
        <f ca="1">IF(ISERROR($V1037),"",OFFSET('Smelter Look-up'!$D$4,$V1037-4,0)&amp;"")</f>
        <v/>
      </c>
      <c r="F1037" s="168" t="str">
        <f ca="1">IF(ISERROR($V1037),"",OFFSET('Smelter Look-up'!$E$4,$V1037-4,0))</f>
        <v/>
      </c>
      <c r="G1037" s="168" t="str">
        <f ca="1">IF(C1037=$X$4,IF(ISERROR($V1037),"Enter smelter details","RMI"),IF(ISERROR($V1037),"",OFFSET('Smelter Look-up'!$F$4,$V1037-4,0)))</f>
        <v/>
      </c>
      <c r="H1037" s="171" t="str">
        <f ca="1">IF(ISERROR($V1037),"",OFFSET('Smelter Look-up'!$G$4,$V1037-4,0))</f>
        <v/>
      </c>
      <c r="I1037" s="172" t="str">
        <f ca="1">IF(ISERROR($V1037),"",OFFSET('Smelter Look-up'!$H$4,$V1037-4,0))</f>
        <v/>
      </c>
      <c r="J1037" s="172" t="str">
        <f ca="1">IF(ISERROR($V1037),"",OFFSET('Smelter Look-up'!$I$4,$V1037-4,0))</f>
        <v/>
      </c>
      <c r="K1037" s="173"/>
      <c r="L1037" s="173"/>
      <c r="M1037" s="173"/>
      <c r="N1037" s="173"/>
      <c r="O1037" s="173"/>
      <c r="P1037" s="174"/>
      <c r="Q1037" s="175"/>
      <c r="R1037" s="168" t="str">
        <f ca="1">IF(ISERROR($V1037),"",OFFSET('Smelter Look-up'!$C$4,$V1037-4,0)&amp;"")</f>
        <v/>
      </c>
      <c r="S1037" s="167" t="str">
        <f t="shared" ca="1" si="99"/>
        <v/>
      </c>
      <c r="T1037" s="167" t="str">
        <f ca="1">IF(B1037="","",IF(ISERROR(MATCH($J1037,SorP!$B$1:$B$6230,0)),"",INDIRECT("'SorP'!$A$"&amp;MATCH($J1037,SorP!$B$1:$B$6230,0))))</f>
        <v/>
      </c>
      <c r="U1037" s="176"/>
      <c r="V1037" s="177" t="e">
        <f>IF(C1037="",NA(),IF(OR(C1037="Smelter not listed",C1037="Smelter not yet identified"),MATCH($B1037&amp;$D1037,'Smelter Look-up'!$J:$J,0),MATCH($B1037&amp;$C1037,'Smelter Look-up'!$J:$J,0)))</f>
        <v>#N/A</v>
      </c>
      <c r="X1037" s="140">
        <f t="shared" ca="1" si="100"/>
        <v>0</v>
      </c>
      <c r="AB1037" s="178" t="str">
        <f t="shared" si="101"/>
        <v/>
      </c>
    </row>
    <row r="1038" spans="1:28" s="140" customFormat="1" ht="20.25">
      <c r="A1038" s="167"/>
      <c r="B1038" s="168" t="str">
        <f>IF(LEN(A1038)=0,"",INDEX('Smelter Look-up'!$A:$A,MATCH($A1038,'Smelter Look-up'!$E:$E,0)))</f>
        <v/>
      </c>
      <c r="C1038" s="169" t="str">
        <f>IF(LEN(A1038)=0,"",INDEX('Smelter Look-up'!$C:$C,MATCH($A1038,'Smelter Look-up'!$E:$E,0)))</f>
        <v/>
      </c>
      <c r="D1038" s="170"/>
      <c r="E1038" s="168" t="str">
        <f ca="1">IF(ISERROR($V1038),"",OFFSET('Smelter Look-up'!$D$4,$V1038-4,0)&amp;"")</f>
        <v/>
      </c>
      <c r="F1038" s="168" t="str">
        <f ca="1">IF(ISERROR($V1038),"",OFFSET('Smelter Look-up'!$E$4,$V1038-4,0))</f>
        <v/>
      </c>
      <c r="G1038" s="168" t="str">
        <f ca="1">IF(C1038=$X$4,IF(ISERROR($V1038),"Enter smelter details","RMI"),IF(ISERROR($V1038),"",OFFSET('Smelter Look-up'!$F$4,$V1038-4,0)))</f>
        <v/>
      </c>
      <c r="H1038" s="171" t="str">
        <f ca="1">IF(ISERROR($V1038),"",OFFSET('Smelter Look-up'!$G$4,$V1038-4,0))</f>
        <v/>
      </c>
      <c r="I1038" s="172" t="str">
        <f ca="1">IF(ISERROR($V1038),"",OFFSET('Smelter Look-up'!$H$4,$V1038-4,0))</f>
        <v/>
      </c>
      <c r="J1038" s="172" t="str">
        <f ca="1">IF(ISERROR($V1038),"",OFFSET('Smelter Look-up'!$I$4,$V1038-4,0))</f>
        <v/>
      </c>
      <c r="K1038" s="173"/>
      <c r="L1038" s="173"/>
      <c r="M1038" s="173"/>
      <c r="N1038" s="173"/>
      <c r="O1038" s="173"/>
      <c r="P1038" s="174"/>
      <c r="Q1038" s="175"/>
      <c r="R1038" s="168" t="str">
        <f ca="1">IF(ISERROR($V1038),"",OFFSET('Smelter Look-up'!$C$4,$V1038-4,0)&amp;"")</f>
        <v/>
      </c>
      <c r="S1038" s="167" t="str">
        <f t="shared" ca="1" si="99"/>
        <v/>
      </c>
      <c r="T1038" s="167" t="str">
        <f ca="1">IF(B1038="","",IF(ISERROR(MATCH($J1038,SorP!$B$1:$B$6230,0)),"",INDIRECT("'SorP'!$A$"&amp;MATCH($J1038,SorP!$B$1:$B$6230,0))))</f>
        <v/>
      </c>
      <c r="U1038" s="176"/>
      <c r="V1038" s="177" t="e">
        <f>IF(C1038="",NA(),IF(OR(C1038="Smelter not listed",C1038="Smelter not yet identified"),MATCH($B1038&amp;$D1038,'Smelter Look-up'!$J:$J,0),MATCH($B1038&amp;$C1038,'Smelter Look-up'!$J:$J,0)))</f>
        <v>#N/A</v>
      </c>
      <c r="X1038" s="140">
        <f t="shared" ca="1" si="100"/>
        <v>0</v>
      </c>
      <c r="AB1038" s="178" t="str">
        <f t="shared" si="101"/>
        <v/>
      </c>
    </row>
    <row r="1039" spans="1:28" s="140" customFormat="1" ht="20.25">
      <c r="A1039" s="167"/>
      <c r="B1039" s="168" t="str">
        <f>IF(LEN(A1039)=0,"",INDEX('Smelter Look-up'!$A:$A,MATCH($A1039,'Smelter Look-up'!$E:$E,0)))</f>
        <v/>
      </c>
      <c r="C1039" s="169" t="str">
        <f>IF(LEN(A1039)=0,"",INDEX('Smelter Look-up'!$C:$C,MATCH($A1039,'Smelter Look-up'!$E:$E,0)))</f>
        <v/>
      </c>
      <c r="D1039" s="170"/>
      <c r="E1039" s="168" t="str">
        <f ca="1">IF(ISERROR($V1039),"",OFFSET('Smelter Look-up'!$D$4,$V1039-4,0)&amp;"")</f>
        <v/>
      </c>
      <c r="F1039" s="168" t="str">
        <f ca="1">IF(ISERROR($V1039),"",OFFSET('Smelter Look-up'!$E$4,$V1039-4,0))</f>
        <v/>
      </c>
      <c r="G1039" s="168" t="str">
        <f ca="1">IF(C1039=$X$4,IF(ISERROR($V1039),"Enter smelter details","RMI"),IF(ISERROR($V1039),"",OFFSET('Smelter Look-up'!$F$4,$V1039-4,0)))</f>
        <v/>
      </c>
      <c r="H1039" s="171" t="str">
        <f ca="1">IF(ISERROR($V1039),"",OFFSET('Smelter Look-up'!$G$4,$V1039-4,0))</f>
        <v/>
      </c>
      <c r="I1039" s="172" t="str">
        <f ca="1">IF(ISERROR($V1039),"",OFFSET('Smelter Look-up'!$H$4,$V1039-4,0))</f>
        <v/>
      </c>
      <c r="J1039" s="172" t="str">
        <f ca="1">IF(ISERROR($V1039),"",OFFSET('Smelter Look-up'!$I$4,$V1039-4,0))</f>
        <v/>
      </c>
      <c r="K1039" s="173"/>
      <c r="L1039" s="173"/>
      <c r="M1039" s="173"/>
      <c r="N1039" s="173"/>
      <c r="O1039" s="173"/>
      <c r="P1039" s="174"/>
      <c r="Q1039" s="175"/>
      <c r="R1039" s="168" t="str">
        <f ca="1">IF(ISERROR($V1039),"",OFFSET('Smelter Look-up'!$C$4,$V1039-4,0)&amp;"")</f>
        <v/>
      </c>
      <c r="S1039" s="167" t="str">
        <f t="shared" ca="1" si="99"/>
        <v/>
      </c>
      <c r="T1039" s="167" t="str">
        <f ca="1">IF(B1039="","",IF(ISERROR(MATCH($J1039,SorP!$B$1:$B$6230,0)),"",INDIRECT("'SorP'!$A$"&amp;MATCH($J1039,SorP!$B$1:$B$6230,0))))</f>
        <v/>
      </c>
      <c r="U1039" s="176"/>
      <c r="V1039" s="177" t="e">
        <f>IF(C1039="",NA(),IF(OR(C1039="Smelter not listed",C1039="Smelter not yet identified"),MATCH($B1039&amp;$D1039,'Smelter Look-up'!$J:$J,0),MATCH($B1039&amp;$C1039,'Smelter Look-up'!$J:$J,0)))</f>
        <v>#N/A</v>
      </c>
      <c r="X1039" s="140">
        <f t="shared" ca="1" si="100"/>
        <v>0</v>
      </c>
      <c r="AB1039" s="178" t="str">
        <f t="shared" si="101"/>
        <v/>
      </c>
    </row>
    <row r="1040" spans="1:28" s="140" customFormat="1" ht="20.25">
      <c r="A1040" s="167"/>
      <c r="B1040" s="168" t="str">
        <f>IF(LEN(A1040)=0,"",INDEX('Smelter Look-up'!$A:$A,MATCH($A1040,'Smelter Look-up'!$E:$E,0)))</f>
        <v/>
      </c>
      <c r="C1040" s="169" t="str">
        <f>IF(LEN(A1040)=0,"",INDEX('Smelter Look-up'!$C:$C,MATCH($A1040,'Smelter Look-up'!$E:$E,0)))</f>
        <v/>
      </c>
      <c r="D1040" s="170"/>
      <c r="E1040" s="168" t="str">
        <f ca="1">IF(ISERROR($V1040),"",OFFSET('Smelter Look-up'!$D$4,$V1040-4,0)&amp;"")</f>
        <v/>
      </c>
      <c r="F1040" s="168" t="str">
        <f ca="1">IF(ISERROR($V1040),"",OFFSET('Smelter Look-up'!$E$4,$V1040-4,0))</f>
        <v/>
      </c>
      <c r="G1040" s="168" t="str">
        <f ca="1">IF(C1040=$X$4,IF(ISERROR($V1040),"Enter smelter details","RMI"),IF(ISERROR($V1040),"",OFFSET('Smelter Look-up'!$F$4,$V1040-4,0)))</f>
        <v/>
      </c>
      <c r="H1040" s="171" t="str">
        <f ca="1">IF(ISERROR($V1040),"",OFFSET('Smelter Look-up'!$G$4,$V1040-4,0))</f>
        <v/>
      </c>
      <c r="I1040" s="172" t="str">
        <f ca="1">IF(ISERROR($V1040),"",OFFSET('Smelter Look-up'!$H$4,$V1040-4,0))</f>
        <v/>
      </c>
      <c r="J1040" s="172" t="str">
        <f ca="1">IF(ISERROR($V1040),"",OFFSET('Smelter Look-up'!$I$4,$V1040-4,0))</f>
        <v/>
      </c>
      <c r="K1040" s="173"/>
      <c r="L1040" s="173"/>
      <c r="M1040" s="173"/>
      <c r="N1040" s="173"/>
      <c r="O1040" s="173"/>
      <c r="P1040" s="174"/>
      <c r="Q1040" s="175"/>
      <c r="R1040" s="168" t="str">
        <f ca="1">IF(ISERROR($V1040),"",OFFSET('Smelter Look-up'!$C$4,$V1040-4,0)&amp;"")</f>
        <v/>
      </c>
      <c r="S1040" s="167" t="str">
        <f t="shared" ca="1" si="99"/>
        <v/>
      </c>
      <c r="T1040" s="167" t="str">
        <f ca="1">IF(B1040="","",IF(ISERROR(MATCH($J1040,SorP!$B$1:$B$6230,0)),"",INDIRECT("'SorP'!$A$"&amp;MATCH($J1040,SorP!$B$1:$B$6230,0))))</f>
        <v/>
      </c>
      <c r="U1040" s="176"/>
      <c r="V1040" s="177" t="e">
        <f>IF(C1040="",NA(),IF(OR(C1040="Smelter not listed",C1040="Smelter not yet identified"),MATCH($B1040&amp;$D1040,'Smelter Look-up'!$J:$J,0),MATCH($B1040&amp;$C1040,'Smelter Look-up'!$J:$J,0)))</f>
        <v>#N/A</v>
      </c>
      <c r="X1040" s="140">
        <f t="shared" ca="1" si="100"/>
        <v>0</v>
      </c>
      <c r="AB1040" s="178" t="str">
        <f t="shared" si="101"/>
        <v/>
      </c>
    </row>
    <row r="1041" spans="1:28" s="140" customFormat="1" ht="20.25">
      <c r="A1041" s="167"/>
      <c r="B1041" s="168" t="str">
        <f>IF(LEN(A1041)=0,"",INDEX('Smelter Look-up'!$A:$A,MATCH($A1041,'Smelter Look-up'!$E:$E,0)))</f>
        <v/>
      </c>
      <c r="C1041" s="169" t="str">
        <f>IF(LEN(A1041)=0,"",INDEX('Smelter Look-up'!$C:$C,MATCH($A1041,'Smelter Look-up'!$E:$E,0)))</f>
        <v/>
      </c>
      <c r="D1041" s="170"/>
      <c r="E1041" s="168" t="str">
        <f ca="1">IF(ISERROR($V1041),"",OFFSET('Smelter Look-up'!$D$4,$V1041-4,0)&amp;"")</f>
        <v/>
      </c>
      <c r="F1041" s="168" t="str">
        <f ca="1">IF(ISERROR($V1041),"",OFFSET('Smelter Look-up'!$E$4,$V1041-4,0))</f>
        <v/>
      </c>
      <c r="G1041" s="168" t="str">
        <f ca="1">IF(C1041=$X$4,IF(ISERROR($V1041),"Enter smelter details","RMI"),IF(ISERROR($V1041),"",OFFSET('Smelter Look-up'!$F$4,$V1041-4,0)))</f>
        <v/>
      </c>
      <c r="H1041" s="171" t="str">
        <f ca="1">IF(ISERROR($V1041),"",OFFSET('Smelter Look-up'!$G$4,$V1041-4,0))</f>
        <v/>
      </c>
      <c r="I1041" s="172" t="str">
        <f ca="1">IF(ISERROR($V1041),"",OFFSET('Smelter Look-up'!$H$4,$V1041-4,0))</f>
        <v/>
      </c>
      <c r="J1041" s="172" t="str">
        <f ca="1">IF(ISERROR($V1041),"",OFFSET('Smelter Look-up'!$I$4,$V1041-4,0))</f>
        <v/>
      </c>
      <c r="K1041" s="173"/>
      <c r="L1041" s="173"/>
      <c r="M1041" s="173"/>
      <c r="N1041" s="173"/>
      <c r="O1041" s="173"/>
      <c r="P1041" s="174"/>
      <c r="Q1041" s="175"/>
      <c r="R1041" s="168" t="str">
        <f ca="1">IF(ISERROR($V1041),"",OFFSET('Smelter Look-up'!$C$4,$V1041-4,0)&amp;"")</f>
        <v/>
      </c>
      <c r="S1041" s="167" t="str">
        <f t="shared" ca="1" si="99"/>
        <v/>
      </c>
      <c r="T1041" s="167" t="str">
        <f ca="1">IF(B1041="","",IF(ISERROR(MATCH($J1041,SorP!$B$1:$B$6230,0)),"",INDIRECT("'SorP'!$A$"&amp;MATCH($J1041,SorP!$B$1:$B$6230,0))))</f>
        <v/>
      </c>
      <c r="U1041" s="176"/>
      <c r="V1041" s="177" t="e">
        <f>IF(C1041="",NA(),IF(OR(C1041="Smelter not listed",C1041="Smelter not yet identified"),MATCH($B1041&amp;$D1041,'Smelter Look-up'!$J:$J,0),MATCH($B1041&amp;$C1041,'Smelter Look-up'!$J:$J,0)))</f>
        <v>#N/A</v>
      </c>
      <c r="X1041" s="140">
        <f t="shared" ca="1" si="100"/>
        <v>0</v>
      </c>
      <c r="AB1041" s="178" t="str">
        <f t="shared" si="101"/>
        <v/>
      </c>
    </row>
    <row r="1042" spans="1:28" s="140" customFormat="1" ht="20.25">
      <c r="A1042" s="167"/>
      <c r="B1042" s="168" t="str">
        <f>IF(LEN(A1042)=0,"",INDEX('Smelter Look-up'!$A:$A,MATCH($A1042,'Smelter Look-up'!$E:$E,0)))</f>
        <v/>
      </c>
      <c r="C1042" s="169" t="str">
        <f>IF(LEN(A1042)=0,"",INDEX('Smelter Look-up'!$C:$C,MATCH($A1042,'Smelter Look-up'!$E:$E,0)))</f>
        <v/>
      </c>
      <c r="D1042" s="170"/>
      <c r="E1042" s="168" t="str">
        <f ca="1">IF(ISERROR($V1042),"",OFFSET('Smelter Look-up'!$D$4,$V1042-4,0)&amp;"")</f>
        <v/>
      </c>
      <c r="F1042" s="168" t="str">
        <f ca="1">IF(ISERROR($V1042),"",OFFSET('Smelter Look-up'!$E$4,$V1042-4,0))</f>
        <v/>
      </c>
      <c r="G1042" s="168" t="str">
        <f ca="1">IF(C1042=$X$4,IF(ISERROR($V1042),"Enter smelter details","RMI"),IF(ISERROR($V1042),"",OFFSET('Smelter Look-up'!$F$4,$V1042-4,0)))</f>
        <v/>
      </c>
      <c r="H1042" s="171" t="str">
        <f ca="1">IF(ISERROR($V1042),"",OFFSET('Smelter Look-up'!$G$4,$V1042-4,0))</f>
        <v/>
      </c>
      <c r="I1042" s="172" t="str">
        <f ca="1">IF(ISERROR($V1042),"",OFFSET('Smelter Look-up'!$H$4,$V1042-4,0))</f>
        <v/>
      </c>
      <c r="J1042" s="172" t="str">
        <f ca="1">IF(ISERROR($V1042),"",OFFSET('Smelter Look-up'!$I$4,$V1042-4,0))</f>
        <v/>
      </c>
      <c r="K1042" s="173"/>
      <c r="L1042" s="173"/>
      <c r="M1042" s="173"/>
      <c r="N1042" s="173"/>
      <c r="O1042" s="173"/>
      <c r="P1042" s="174"/>
      <c r="Q1042" s="175"/>
      <c r="R1042" s="168" t="str">
        <f ca="1">IF(ISERROR($V1042),"",OFFSET('Smelter Look-up'!$C$4,$V1042-4,0)&amp;"")</f>
        <v/>
      </c>
      <c r="S1042" s="167" t="str">
        <f t="shared" ca="1" si="99"/>
        <v/>
      </c>
      <c r="T1042" s="167" t="str">
        <f ca="1">IF(B1042="","",IF(ISERROR(MATCH($J1042,SorP!$B$1:$B$6230,0)),"",INDIRECT("'SorP'!$A$"&amp;MATCH($J1042,SorP!$B$1:$B$6230,0))))</f>
        <v/>
      </c>
      <c r="U1042" s="176"/>
      <c r="V1042" s="177" t="e">
        <f>IF(C1042="",NA(),IF(OR(C1042="Smelter not listed",C1042="Smelter not yet identified"),MATCH($B1042&amp;$D1042,'Smelter Look-up'!$J:$J,0),MATCH($B1042&amp;$C1042,'Smelter Look-up'!$J:$J,0)))</f>
        <v>#N/A</v>
      </c>
      <c r="X1042" s="140">
        <f t="shared" ca="1" si="100"/>
        <v>0</v>
      </c>
      <c r="AB1042" s="178" t="str">
        <f t="shared" si="101"/>
        <v/>
      </c>
    </row>
    <row r="1043" spans="1:28" s="140" customFormat="1" ht="20.25">
      <c r="A1043" s="167"/>
      <c r="B1043" s="168" t="str">
        <f>IF(LEN(A1043)=0,"",INDEX('Smelter Look-up'!$A:$A,MATCH($A1043,'Smelter Look-up'!$E:$E,0)))</f>
        <v/>
      </c>
      <c r="C1043" s="169" t="str">
        <f>IF(LEN(A1043)=0,"",INDEX('Smelter Look-up'!$C:$C,MATCH($A1043,'Smelter Look-up'!$E:$E,0)))</f>
        <v/>
      </c>
      <c r="D1043" s="170"/>
      <c r="E1043" s="168" t="str">
        <f ca="1">IF(ISERROR($V1043),"",OFFSET('Smelter Look-up'!$D$4,$V1043-4,0)&amp;"")</f>
        <v/>
      </c>
      <c r="F1043" s="168" t="str">
        <f ca="1">IF(ISERROR($V1043),"",OFFSET('Smelter Look-up'!$E$4,$V1043-4,0))</f>
        <v/>
      </c>
      <c r="G1043" s="168" t="str">
        <f ca="1">IF(C1043=$X$4,IF(ISERROR($V1043),"Enter smelter details","RMI"),IF(ISERROR($V1043),"",OFFSET('Smelter Look-up'!$F$4,$V1043-4,0)))</f>
        <v/>
      </c>
      <c r="H1043" s="171" t="str">
        <f ca="1">IF(ISERROR($V1043),"",OFFSET('Smelter Look-up'!$G$4,$V1043-4,0))</f>
        <v/>
      </c>
      <c r="I1043" s="172" t="str">
        <f ca="1">IF(ISERROR($V1043),"",OFFSET('Smelter Look-up'!$H$4,$V1043-4,0))</f>
        <v/>
      </c>
      <c r="J1043" s="172" t="str">
        <f ca="1">IF(ISERROR($V1043),"",OFFSET('Smelter Look-up'!$I$4,$V1043-4,0))</f>
        <v/>
      </c>
      <c r="K1043" s="173"/>
      <c r="L1043" s="173"/>
      <c r="M1043" s="173"/>
      <c r="N1043" s="173"/>
      <c r="O1043" s="173"/>
      <c r="P1043" s="174"/>
      <c r="Q1043" s="175"/>
      <c r="R1043" s="168" t="str">
        <f ca="1">IF(ISERROR($V1043),"",OFFSET('Smelter Look-up'!$C$4,$V1043-4,0)&amp;"")</f>
        <v/>
      </c>
      <c r="S1043" s="167" t="str">
        <f t="shared" ca="1" si="99"/>
        <v/>
      </c>
      <c r="T1043" s="167" t="str">
        <f ca="1">IF(B1043="","",IF(ISERROR(MATCH($J1043,SorP!$B$1:$B$6230,0)),"",INDIRECT("'SorP'!$A$"&amp;MATCH($J1043,SorP!$B$1:$B$6230,0))))</f>
        <v/>
      </c>
      <c r="U1043" s="176"/>
      <c r="V1043" s="177" t="e">
        <f>IF(C1043="",NA(),IF(OR(C1043="Smelter not listed",C1043="Smelter not yet identified"),MATCH($B1043&amp;$D1043,'Smelter Look-up'!$J:$J,0),MATCH($B1043&amp;$C1043,'Smelter Look-up'!$J:$J,0)))</f>
        <v>#N/A</v>
      </c>
      <c r="X1043" s="140">
        <f t="shared" ca="1" si="100"/>
        <v>0</v>
      </c>
      <c r="AB1043" s="178" t="str">
        <f t="shared" si="101"/>
        <v/>
      </c>
    </row>
    <row r="1044" spans="1:28" s="140" customFormat="1" ht="20.25">
      <c r="A1044" s="167"/>
      <c r="B1044" s="168" t="str">
        <f>IF(LEN(A1044)=0,"",INDEX('Smelter Look-up'!$A:$A,MATCH($A1044,'Smelter Look-up'!$E:$E,0)))</f>
        <v/>
      </c>
      <c r="C1044" s="169" t="str">
        <f>IF(LEN(A1044)=0,"",INDEX('Smelter Look-up'!$C:$C,MATCH($A1044,'Smelter Look-up'!$E:$E,0)))</f>
        <v/>
      </c>
      <c r="D1044" s="170"/>
      <c r="E1044" s="168" t="str">
        <f ca="1">IF(ISERROR($V1044),"",OFFSET('Smelter Look-up'!$D$4,$V1044-4,0)&amp;"")</f>
        <v/>
      </c>
      <c r="F1044" s="168" t="str">
        <f ca="1">IF(ISERROR($V1044),"",OFFSET('Smelter Look-up'!$E$4,$V1044-4,0))</f>
        <v/>
      </c>
      <c r="G1044" s="168" t="str">
        <f ca="1">IF(C1044=$X$4,IF(ISERROR($V1044),"Enter smelter details","RMI"),IF(ISERROR($V1044),"",OFFSET('Smelter Look-up'!$F$4,$V1044-4,0)))</f>
        <v/>
      </c>
      <c r="H1044" s="171" t="str">
        <f ca="1">IF(ISERROR($V1044),"",OFFSET('Smelter Look-up'!$G$4,$V1044-4,0))</f>
        <v/>
      </c>
      <c r="I1044" s="172" t="str">
        <f ca="1">IF(ISERROR($V1044),"",OFFSET('Smelter Look-up'!$H$4,$V1044-4,0))</f>
        <v/>
      </c>
      <c r="J1044" s="172" t="str">
        <f ca="1">IF(ISERROR($V1044),"",OFFSET('Smelter Look-up'!$I$4,$V1044-4,0))</f>
        <v/>
      </c>
      <c r="K1044" s="173"/>
      <c r="L1044" s="173"/>
      <c r="M1044" s="173"/>
      <c r="N1044" s="173"/>
      <c r="O1044" s="173"/>
      <c r="P1044" s="174"/>
      <c r="Q1044" s="175"/>
      <c r="R1044" s="168" t="str">
        <f ca="1">IF(ISERROR($V1044),"",OFFSET('Smelter Look-up'!$C$4,$V1044-4,0)&amp;"")</f>
        <v/>
      </c>
      <c r="S1044" s="167" t="str">
        <f t="shared" ca="1" si="99"/>
        <v/>
      </c>
      <c r="T1044" s="167" t="str">
        <f ca="1">IF(B1044="","",IF(ISERROR(MATCH($J1044,SorP!$B$1:$B$6230,0)),"",INDIRECT("'SorP'!$A$"&amp;MATCH($J1044,SorP!$B$1:$B$6230,0))))</f>
        <v/>
      </c>
      <c r="U1044" s="176"/>
      <c r="V1044" s="177" t="e">
        <f>IF(C1044="",NA(),IF(OR(C1044="Smelter not listed",C1044="Smelter not yet identified"),MATCH($B1044&amp;$D1044,'Smelter Look-up'!$J:$J,0),MATCH($B1044&amp;$C1044,'Smelter Look-up'!$J:$J,0)))</f>
        <v>#N/A</v>
      </c>
      <c r="X1044" s="140">
        <f t="shared" ca="1" si="100"/>
        <v>0</v>
      </c>
      <c r="AB1044" s="178" t="str">
        <f t="shared" si="101"/>
        <v/>
      </c>
    </row>
    <row r="1045" spans="1:28" s="140" customFormat="1" ht="20.25">
      <c r="A1045" s="167"/>
      <c r="B1045" s="168" t="str">
        <f>IF(LEN(A1045)=0,"",INDEX('Smelter Look-up'!$A:$A,MATCH($A1045,'Smelter Look-up'!$E:$E,0)))</f>
        <v/>
      </c>
      <c r="C1045" s="169" t="str">
        <f>IF(LEN(A1045)=0,"",INDEX('Smelter Look-up'!$C:$C,MATCH($A1045,'Smelter Look-up'!$E:$E,0)))</f>
        <v/>
      </c>
      <c r="D1045" s="170"/>
      <c r="E1045" s="168" t="str">
        <f ca="1">IF(ISERROR($V1045),"",OFFSET('Smelter Look-up'!$D$4,$V1045-4,0)&amp;"")</f>
        <v/>
      </c>
      <c r="F1045" s="168" t="str">
        <f ca="1">IF(ISERROR($V1045),"",OFFSET('Smelter Look-up'!$E$4,$V1045-4,0))</f>
        <v/>
      </c>
      <c r="G1045" s="168" t="str">
        <f ca="1">IF(C1045=$X$4,IF(ISERROR($V1045),"Enter smelter details","RMI"),IF(ISERROR($V1045),"",OFFSET('Smelter Look-up'!$F$4,$V1045-4,0)))</f>
        <v/>
      </c>
      <c r="H1045" s="171" t="str">
        <f ca="1">IF(ISERROR($V1045),"",OFFSET('Smelter Look-up'!$G$4,$V1045-4,0))</f>
        <v/>
      </c>
      <c r="I1045" s="172" t="str">
        <f ca="1">IF(ISERROR($V1045),"",OFFSET('Smelter Look-up'!$H$4,$V1045-4,0))</f>
        <v/>
      </c>
      <c r="J1045" s="172" t="str">
        <f ca="1">IF(ISERROR($V1045),"",OFFSET('Smelter Look-up'!$I$4,$V1045-4,0))</f>
        <v/>
      </c>
      <c r="K1045" s="173"/>
      <c r="L1045" s="173"/>
      <c r="M1045" s="173"/>
      <c r="N1045" s="173"/>
      <c r="O1045" s="173"/>
      <c r="P1045" s="174"/>
      <c r="Q1045" s="175"/>
      <c r="R1045" s="168" t="str">
        <f ca="1">IF(ISERROR($V1045),"",OFFSET('Smelter Look-up'!$C$4,$V1045-4,0)&amp;"")</f>
        <v/>
      </c>
      <c r="S1045" s="167" t="str">
        <f t="shared" ca="1" si="99"/>
        <v/>
      </c>
      <c r="T1045" s="167" t="str">
        <f ca="1">IF(B1045="","",IF(ISERROR(MATCH($J1045,SorP!$B$1:$B$6230,0)),"",INDIRECT("'SorP'!$A$"&amp;MATCH($J1045,SorP!$B$1:$B$6230,0))))</f>
        <v/>
      </c>
      <c r="U1045" s="176"/>
      <c r="V1045" s="177" t="e">
        <f>IF(C1045="",NA(),IF(OR(C1045="Smelter not listed",C1045="Smelter not yet identified"),MATCH($B1045&amp;$D1045,'Smelter Look-up'!$J:$J,0),MATCH($B1045&amp;$C1045,'Smelter Look-up'!$J:$J,0)))</f>
        <v>#N/A</v>
      </c>
      <c r="X1045" s="140">
        <f t="shared" ca="1" si="100"/>
        <v>0</v>
      </c>
      <c r="AB1045" s="178" t="str">
        <f t="shared" si="101"/>
        <v/>
      </c>
    </row>
    <row r="1046" spans="1:28" s="140" customFormat="1" ht="20.25">
      <c r="A1046" s="167"/>
      <c r="B1046" s="168" t="str">
        <f>IF(LEN(A1046)=0,"",INDEX('Smelter Look-up'!$A:$A,MATCH($A1046,'Smelter Look-up'!$E:$E,0)))</f>
        <v/>
      </c>
      <c r="C1046" s="169" t="str">
        <f>IF(LEN(A1046)=0,"",INDEX('Smelter Look-up'!$C:$C,MATCH($A1046,'Smelter Look-up'!$E:$E,0)))</f>
        <v/>
      </c>
      <c r="D1046" s="170"/>
      <c r="E1046" s="168" t="str">
        <f ca="1">IF(ISERROR($V1046),"",OFFSET('Smelter Look-up'!$D$4,$V1046-4,0)&amp;"")</f>
        <v/>
      </c>
      <c r="F1046" s="168" t="str">
        <f ca="1">IF(ISERROR($V1046),"",OFFSET('Smelter Look-up'!$E$4,$V1046-4,0))</f>
        <v/>
      </c>
      <c r="G1046" s="168" t="str">
        <f ca="1">IF(C1046=$X$4,IF(ISERROR($V1046),"Enter smelter details","RMI"),IF(ISERROR($V1046),"",OFFSET('Smelter Look-up'!$F$4,$V1046-4,0)))</f>
        <v/>
      </c>
      <c r="H1046" s="171" t="str">
        <f ca="1">IF(ISERROR($V1046),"",OFFSET('Smelter Look-up'!$G$4,$V1046-4,0))</f>
        <v/>
      </c>
      <c r="I1046" s="172" t="str">
        <f ca="1">IF(ISERROR($V1046),"",OFFSET('Smelter Look-up'!$H$4,$V1046-4,0))</f>
        <v/>
      </c>
      <c r="J1046" s="172" t="str">
        <f ca="1">IF(ISERROR($V1046),"",OFFSET('Smelter Look-up'!$I$4,$V1046-4,0))</f>
        <v/>
      </c>
      <c r="K1046" s="173"/>
      <c r="L1046" s="173"/>
      <c r="M1046" s="173"/>
      <c r="N1046" s="173"/>
      <c r="O1046" s="173"/>
      <c r="P1046" s="174"/>
      <c r="Q1046" s="175"/>
      <c r="R1046" s="168" t="str">
        <f ca="1">IF(ISERROR($V1046),"",OFFSET('Smelter Look-up'!$C$4,$V1046-4,0)&amp;"")</f>
        <v/>
      </c>
      <c r="S1046" s="167" t="str">
        <f t="shared" ca="1" si="99"/>
        <v/>
      </c>
      <c r="T1046" s="167" t="str">
        <f ca="1">IF(B1046="","",IF(ISERROR(MATCH($J1046,SorP!$B$1:$B$6230,0)),"",INDIRECT("'SorP'!$A$"&amp;MATCH($J1046,SorP!$B$1:$B$6230,0))))</f>
        <v/>
      </c>
      <c r="U1046" s="176"/>
      <c r="V1046" s="177" t="e">
        <f>IF(C1046="",NA(),IF(OR(C1046="Smelter not listed",C1046="Smelter not yet identified"),MATCH($B1046&amp;$D1046,'Smelter Look-up'!$J:$J,0),MATCH($B1046&amp;$C1046,'Smelter Look-up'!$J:$J,0)))</f>
        <v>#N/A</v>
      </c>
      <c r="X1046" s="140">
        <f t="shared" ca="1" si="100"/>
        <v>0</v>
      </c>
      <c r="AB1046" s="178" t="str">
        <f t="shared" si="101"/>
        <v/>
      </c>
    </row>
    <row r="1047" spans="1:28" s="140" customFormat="1" ht="20.25">
      <c r="A1047" s="167"/>
      <c r="B1047" s="168" t="str">
        <f>IF(LEN(A1047)=0,"",INDEX('Smelter Look-up'!$A:$A,MATCH($A1047,'Smelter Look-up'!$E:$E,0)))</f>
        <v/>
      </c>
      <c r="C1047" s="169" t="str">
        <f>IF(LEN(A1047)=0,"",INDEX('Smelter Look-up'!$C:$C,MATCH($A1047,'Smelter Look-up'!$E:$E,0)))</f>
        <v/>
      </c>
      <c r="D1047" s="170"/>
      <c r="E1047" s="168" t="str">
        <f ca="1">IF(ISERROR($V1047),"",OFFSET('Smelter Look-up'!$D$4,$V1047-4,0)&amp;"")</f>
        <v/>
      </c>
      <c r="F1047" s="168" t="str">
        <f ca="1">IF(ISERROR($V1047),"",OFFSET('Smelter Look-up'!$E$4,$V1047-4,0))</f>
        <v/>
      </c>
      <c r="G1047" s="168" t="str">
        <f ca="1">IF(C1047=$X$4,IF(ISERROR($V1047),"Enter smelter details","RMI"),IF(ISERROR($V1047),"",OFFSET('Smelter Look-up'!$F$4,$V1047-4,0)))</f>
        <v/>
      </c>
      <c r="H1047" s="171" t="str">
        <f ca="1">IF(ISERROR($V1047),"",OFFSET('Smelter Look-up'!$G$4,$V1047-4,0))</f>
        <v/>
      </c>
      <c r="I1047" s="172" t="str">
        <f ca="1">IF(ISERROR($V1047),"",OFFSET('Smelter Look-up'!$H$4,$V1047-4,0))</f>
        <v/>
      </c>
      <c r="J1047" s="172" t="str">
        <f ca="1">IF(ISERROR($V1047),"",OFFSET('Smelter Look-up'!$I$4,$V1047-4,0))</f>
        <v/>
      </c>
      <c r="K1047" s="173"/>
      <c r="L1047" s="173"/>
      <c r="M1047" s="173"/>
      <c r="N1047" s="173"/>
      <c r="O1047" s="173"/>
      <c r="P1047" s="174"/>
      <c r="Q1047" s="175"/>
      <c r="R1047" s="168" t="str">
        <f ca="1">IF(ISERROR($V1047),"",OFFSET('Smelter Look-up'!$C$4,$V1047-4,0)&amp;"")</f>
        <v/>
      </c>
      <c r="S1047" s="167" t="str">
        <f t="shared" ca="1" si="99"/>
        <v/>
      </c>
      <c r="T1047" s="167" t="str">
        <f ca="1">IF(B1047="","",IF(ISERROR(MATCH($J1047,SorP!$B$1:$B$6230,0)),"",INDIRECT("'SorP'!$A$"&amp;MATCH($J1047,SorP!$B$1:$B$6230,0))))</f>
        <v/>
      </c>
      <c r="U1047" s="176"/>
      <c r="V1047" s="177" t="e">
        <f>IF(C1047="",NA(),IF(OR(C1047="Smelter not listed",C1047="Smelter not yet identified"),MATCH($B1047&amp;$D1047,'Smelter Look-up'!$J:$J,0),MATCH($B1047&amp;$C1047,'Smelter Look-up'!$J:$J,0)))</f>
        <v>#N/A</v>
      </c>
      <c r="X1047" s="140">
        <f t="shared" ca="1" si="100"/>
        <v>0</v>
      </c>
      <c r="AB1047" s="178" t="str">
        <f t="shared" si="101"/>
        <v/>
      </c>
    </row>
    <row r="1048" spans="1:28" s="140" customFormat="1" ht="20.25">
      <c r="A1048" s="167"/>
      <c r="B1048" s="168" t="str">
        <f>IF(LEN(A1048)=0,"",INDEX('Smelter Look-up'!$A:$A,MATCH($A1048,'Smelter Look-up'!$E:$E,0)))</f>
        <v/>
      </c>
      <c r="C1048" s="169" t="str">
        <f>IF(LEN(A1048)=0,"",INDEX('Smelter Look-up'!$C:$C,MATCH($A1048,'Smelter Look-up'!$E:$E,0)))</f>
        <v/>
      </c>
      <c r="D1048" s="170"/>
      <c r="E1048" s="168" t="str">
        <f ca="1">IF(ISERROR($V1048),"",OFFSET('Smelter Look-up'!$D$4,$V1048-4,0)&amp;"")</f>
        <v/>
      </c>
      <c r="F1048" s="168" t="str">
        <f ca="1">IF(ISERROR($V1048),"",OFFSET('Smelter Look-up'!$E$4,$V1048-4,0))</f>
        <v/>
      </c>
      <c r="G1048" s="168" t="str">
        <f ca="1">IF(C1048=$X$4,IF(ISERROR($V1048),"Enter smelter details","RMI"),IF(ISERROR($V1048),"",OFFSET('Smelter Look-up'!$F$4,$V1048-4,0)))</f>
        <v/>
      </c>
      <c r="H1048" s="171" t="str">
        <f ca="1">IF(ISERROR($V1048),"",OFFSET('Smelter Look-up'!$G$4,$V1048-4,0))</f>
        <v/>
      </c>
      <c r="I1048" s="172" t="str">
        <f ca="1">IF(ISERROR($V1048),"",OFFSET('Smelter Look-up'!$H$4,$V1048-4,0))</f>
        <v/>
      </c>
      <c r="J1048" s="172" t="str">
        <f ca="1">IF(ISERROR($V1048),"",OFFSET('Smelter Look-up'!$I$4,$V1048-4,0))</f>
        <v/>
      </c>
      <c r="K1048" s="173"/>
      <c r="L1048" s="173"/>
      <c r="M1048" s="173"/>
      <c r="N1048" s="173"/>
      <c r="O1048" s="173"/>
      <c r="P1048" s="174"/>
      <c r="Q1048" s="175"/>
      <c r="R1048" s="168" t="str">
        <f ca="1">IF(ISERROR($V1048),"",OFFSET('Smelter Look-up'!$C$4,$V1048-4,0)&amp;"")</f>
        <v/>
      </c>
      <c r="S1048" s="167" t="str">
        <f t="shared" ca="1" si="99"/>
        <v/>
      </c>
      <c r="T1048" s="167" t="str">
        <f ca="1">IF(B1048="","",IF(ISERROR(MATCH($J1048,SorP!$B$1:$B$6230,0)),"",INDIRECT("'SorP'!$A$"&amp;MATCH($J1048,SorP!$B$1:$B$6230,0))))</f>
        <v/>
      </c>
      <c r="U1048" s="176"/>
      <c r="V1048" s="177" t="e">
        <f>IF(C1048="",NA(),IF(OR(C1048="Smelter not listed",C1048="Smelter not yet identified"),MATCH($B1048&amp;$D1048,'Smelter Look-up'!$J:$J,0),MATCH($B1048&amp;$C1048,'Smelter Look-up'!$J:$J,0)))</f>
        <v>#N/A</v>
      </c>
      <c r="X1048" s="140">
        <f t="shared" ca="1" si="100"/>
        <v>0</v>
      </c>
      <c r="AB1048" s="178" t="str">
        <f t="shared" si="101"/>
        <v/>
      </c>
    </row>
    <row r="1049" spans="1:28" s="140" customFormat="1" ht="20.25">
      <c r="A1049" s="167"/>
      <c r="B1049" s="168" t="str">
        <f>IF(LEN(A1049)=0,"",INDEX('Smelter Look-up'!$A:$A,MATCH($A1049,'Smelter Look-up'!$E:$E,0)))</f>
        <v/>
      </c>
      <c r="C1049" s="169" t="str">
        <f>IF(LEN(A1049)=0,"",INDEX('Smelter Look-up'!$C:$C,MATCH($A1049,'Smelter Look-up'!$E:$E,0)))</f>
        <v/>
      </c>
      <c r="D1049" s="170"/>
      <c r="E1049" s="168" t="str">
        <f ca="1">IF(ISERROR($V1049),"",OFFSET('Smelter Look-up'!$D$4,$V1049-4,0)&amp;"")</f>
        <v/>
      </c>
      <c r="F1049" s="168" t="str">
        <f ca="1">IF(ISERROR($V1049),"",OFFSET('Smelter Look-up'!$E$4,$V1049-4,0))</f>
        <v/>
      </c>
      <c r="G1049" s="168" t="str">
        <f ca="1">IF(C1049=$X$4,IF(ISERROR($V1049),"Enter smelter details","RMI"),IF(ISERROR($V1049),"",OFFSET('Smelter Look-up'!$F$4,$V1049-4,0)))</f>
        <v/>
      </c>
      <c r="H1049" s="171" t="str">
        <f ca="1">IF(ISERROR($V1049),"",OFFSET('Smelter Look-up'!$G$4,$V1049-4,0))</f>
        <v/>
      </c>
      <c r="I1049" s="172" t="str">
        <f ca="1">IF(ISERROR($V1049),"",OFFSET('Smelter Look-up'!$H$4,$V1049-4,0))</f>
        <v/>
      </c>
      <c r="J1049" s="172" t="str">
        <f ca="1">IF(ISERROR($V1049),"",OFFSET('Smelter Look-up'!$I$4,$V1049-4,0))</f>
        <v/>
      </c>
      <c r="K1049" s="173"/>
      <c r="L1049" s="173"/>
      <c r="M1049" s="173"/>
      <c r="N1049" s="173"/>
      <c r="O1049" s="173"/>
      <c r="P1049" s="174"/>
      <c r="Q1049" s="175"/>
      <c r="R1049" s="168" t="str">
        <f ca="1">IF(ISERROR($V1049),"",OFFSET('Smelter Look-up'!$C$4,$V1049-4,0)&amp;"")</f>
        <v/>
      </c>
      <c r="S1049" s="167" t="str">
        <f t="shared" ca="1" si="99"/>
        <v/>
      </c>
      <c r="T1049" s="167" t="str">
        <f ca="1">IF(B1049="","",IF(ISERROR(MATCH($J1049,SorP!$B$1:$B$6230,0)),"",INDIRECT("'SorP'!$A$"&amp;MATCH($J1049,SorP!$B$1:$B$6230,0))))</f>
        <v/>
      </c>
      <c r="U1049" s="176"/>
      <c r="V1049" s="177" t="e">
        <f>IF(C1049="",NA(),IF(OR(C1049="Smelter not listed",C1049="Smelter not yet identified"),MATCH($B1049&amp;$D1049,'Smelter Look-up'!$J:$J,0),MATCH($B1049&amp;$C1049,'Smelter Look-up'!$J:$J,0)))</f>
        <v>#N/A</v>
      </c>
      <c r="X1049" s="140">
        <f t="shared" ca="1" si="100"/>
        <v>0</v>
      </c>
      <c r="AB1049" s="178" t="str">
        <f t="shared" si="101"/>
        <v/>
      </c>
    </row>
    <row r="1050" spans="1:28" s="140" customFormat="1" ht="20.25">
      <c r="A1050" s="167"/>
      <c r="B1050" s="168" t="str">
        <f>IF(LEN(A1050)=0,"",INDEX('Smelter Look-up'!$A:$A,MATCH($A1050,'Smelter Look-up'!$E:$E,0)))</f>
        <v/>
      </c>
      <c r="C1050" s="169" t="str">
        <f>IF(LEN(A1050)=0,"",INDEX('Smelter Look-up'!$C:$C,MATCH($A1050,'Smelter Look-up'!$E:$E,0)))</f>
        <v/>
      </c>
      <c r="D1050" s="170"/>
      <c r="E1050" s="168" t="str">
        <f ca="1">IF(ISERROR($V1050),"",OFFSET('Smelter Look-up'!$D$4,$V1050-4,0)&amp;"")</f>
        <v/>
      </c>
      <c r="F1050" s="168" t="str">
        <f ca="1">IF(ISERROR($V1050),"",OFFSET('Smelter Look-up'!$E$4,$V1050-4,0))</f>
        <v/>
      </c>
      <c r="G1050" s="168" t="str">
        <f ca="1">IF(C1050=$X$4,IF(ISERROR($V1050),"Enter smelter details","RMI"),IF(ISERROR($V1050),"",OFFSET('Smelter Look-up'!$F$4,$V1050-4,0)))</f>
        <v/>
      </c>
      <c r="H1050" s="171" t="str">
        <f ca="1">IF(ISERROR($V1050),"",OFFSET('Smelter Look-up'!$G$4,$V1050-4,0))</f>
        <v/>
      </c>
      <c r="I1050" s="172" t="str">
        <f ca="1">IF(ISERROR($V1050),"",OFFSET('Smelter Look-up'!$H$4,$V1050-4,0))</f>
        <v/>
      </c>
      <c r="J1050" s="172" t="str">
        <f ca="1">IF(ISERROR($V1050),"",OFFSET('Smelter Look-up'!$I$4,$V1050-4,0))</f>
        <v/>
      </c>
      <c r="K1050" s="173"/>
      <c r="L1050" s="173"/>
      <c r="M1050" s="173"/>
      <c r="N1050" s="173"/>
      <c r="O1050" s="173"/>
      <c r="P1050" s="174"/>
      <c r="Q1050" s="175"/>
      <c r="R1050" s="168" t="str">
        <f ca="1">IF(ISERROR($V1050),"",OFFSET('Smelter Look-up'!$C$4,$V1050-4,0)&amp;"")</f>
        <v/>
      </c>
      <c r="S1050" s="167" t="str">
        <f t="shared" ca="1" si="99"/>
        <v/>
      </c>
      <c r="T1050" s="167" t="str">
        <f ca="1">IF(B1050="","",IF(ISERROR(MATCH($J1050,SorP!$B$1:$B$6230,0)),"",INDIRECT("'SorP'!$A$"&amp;MATCH($J1050,SorP!$B$1:$B$6230,0))))</f>
        <v/>
      </c>
      <c r="U1050" s="176"/>
      <c r="V1050" s="177" t="e">
        <f>IF(C1050="",NA(),IF(OR(C1050="Smelter not listed",C1050="Smelter not yet identified"),MATCH($B1050&amp;$D1050,'Smelter Look-up'!$J:$J,0),MATCH($B1050&amp;$C1050,'Smelter Look-up'!$J:$J,0)))</f>
        <v>#N/A</v>
      </c>
      <c r="X1050" s="140">
        <f t="shared" ca="1" si="100"/>
        <v>0</v>
      </c>
      <c r="AB1050" s="178" t="str">
        <f t="shared" si="101"/>
        <v/>
      </c>
    </row>
    <row r="1051" spans="1:28" s="140" customFormat="1" ht="20.25">
      <c r="A1051" s="167"/>
      <c r="B1051" s="168" t="str">
        <f>IF(LEN(A1051)=0,"",INDEX('Smelter Look-up'!$A:$A,MATCH($A1051,'Smelter Look-up'!$E:$E,0)))</f>
        <v/>
      </c>
      <c r="C1051" s="169" t="str">
        <f>IF(LEN(A1051)=0,"",INDEX('Smelter Look-up'!$C:$C,MATCH($A1051,'Smelter Look-up'!$E:$E,0)))</f>
        <v/>
      </c>
      <c r="D1051" s="170"/>
      <c r="E1051" s="168" t="str">
        <f ca="1">IF(ISERROR($V1051),"",OFFSET('Smelter Look-up'!$D$4,$V1051-4,0)&amp;"")</f>
        <v/>
      </c>
      <c r="F1051" s="168" t="str">
        <f ca="1">IF(ISERROR($V1051),"",OFFSET('Smelter Look-up'!$E$4,$V1051-4,0))</f>
        <v/>
      </c>
      <c r="G1051" s="168" t="str">
        <f ca="1">IF(C1051=$X$4,IF(ISERROR($V1051),"Enter smelter details","RMI"),IF(ISERROR($V1051),"",OFFSET('Smelter Look-up'!$F$4,$V1051-4,0)))</f>
        <v/>
      </c>
      <c r="H1051" s="171" t="str">
        <f ca="1">IF(ISERROR($V1051),"",OFFSET('Smelter Look-up'!$G$4,$V1051-4,0))</f>
        <v/>
      </c>
      <c r="I1051" s="172" t="str">
        <f ca="1">IF(ISERROR($V1051),"",OFFSET('Smelter Look-up'!$H$4,$V1051-4,0))</f>
        <v/>
      </c>
      <c r="J1051" s="172" t="str">
        <f ca="1">IF(ISERROR($V1051),"",OFFSET('Smelter Look-up'!$I$4,$V1051-4,0))</f>
        <v/>
      </c>
      <c r="K1051" s="173"/>
      <c r="L1051" s="173"/>
      <c r="M1051" s="173"/>
      <c r="N1051" s="173"/>
      <c r="O1051" s="173"/>
      <c r="P1051" s="174"/>
      <c r="Q1051" s="175"/>
      <c r="R1051" s="168" t="str">
        <f ca="1">IF(ISERROR($V1051),"",OFFSET('Smelter Look-up'!$C$4,$V1051-4,0)&amp;"")</f>
        <v/>
      </c>
      <c r="S1051" s="167" t="str">
        <f t="shared" ca="1" si="99"/>
        <v/>
      </c>
      <c r="T1051" s="167" t="str">
        <f ca="1">IF(B1051="","",IF(ISERROR(MATCH($J1051,SorP!$B$1:$B$6230,0)),"",INDIRECT("'SorP'!$A$"&amp;MATCH($J1051,SorP!$B$1:$B$6230,0))))</f>
        <v/>
      </c>
      <c r="U1051" s="176"/>
      <c r="V1051" s="177" t="e">
        <f>IF(C1051="",NA(),IF(OR(C1051="Smelter not listed",C1051="Smelter not yet identified"),MATCH($B1051&amp;$D1051,'Smelter Look-up'!$J:$J,0),MATCH($B1051&amp;$C1051,'Smelter Look-up'!$J:$J,0)))</f>
        <v>#N/A</v>
      </c>
      <c r="X1051" s="140">
        <f t="shared" ca="1" si="100"/>
        <v>0</v>
      </c>
      <c r="AB1051" s="178" t="str">
        <f t="shared" si="101"/>
        <v/>
      </c>
    </row>
    <row r="1052" spans="1:28" s="140" customFormat="1" ht="20.25">
      <c r="A1052" s="167"/>
      <c r="B1052" s="168" t="str">
        <f>IF(LEN(A1052)=0,"",INDEX('Smelter Look-up'!$A:$A,MATCH($A1052,'Smelter Look-up'!$E:$E,0)))</f>
        <v/>
      </c>
      <c r="C1052" s="169" t="str">
        <f>IF(LEN(A1052)=0,"",INDEX('Smelter Look-up'!$C:$C,MATCH($A1052,'Smelter Look-up'!$E:$E,0)))</f>
        <v/>
      </c>
      <c r="D1052" s="170"/>
      <c r="E1052" s="168" t="str">
        <f ca="1">IF(ISERROR($V1052),"",OFFSET('Smelter Look-up'!$D$4,$V1052-4,0)&amp;"")</f>
        <v/>
      </c>
      <c r="F1052" s="168" t="str">
        <f ca="1">IF(ISERROR($V1052),"",OFFSET('Smelter Look-up'!$E$4,$V1052-4,0))</f>
        <v/>
      </c>
      <c r="G1052" s="168" t="str">
        <f ca="1">IF(C1052=$X$4,IF(ISERROR($V1052),"Enter smelter details","RMI"),IF(ISERROR($V1052),"",OFFSET('Smelter Look-up'!$F$4,$V1052-4,0)))</f>
        <v/>
      </c>
      <c r="H1052" s="171" t="str">
        <f ca="1">IF(ISERROR($V1052),"",OFFSET('Smelter Look-up'!$G$4,$V1052-4,0))</f>
        <v/>
      </c>
      <c r="I1052" s="172" t="str">
        <f ca="1">IF(ISERROR($V1052),"",OFFSET('Smelter Look-up'!$H$4,$V1052-4,0))</f>
        <v/>
      </c>
      <c r="J1052" s="172" t="str">
        <f ca="1">IF(ISERROR($V1052),"",OFFSET('Smelter Look-up'!$I$4,$V1052-4,0))</f>
        <v/>
      </c>
      <c r="K1052" s="173"/>
      <c r="L1052" s="173"/>
      <c r="M1052" s="173"/>
      <c r="N1052" s="173"/>
      <c r="O1052" s="173"/>
      <c r="P1052" s="174"/>
      <c r="Q1052" s="175"/>
      <c r="R1052" s="168" t="str">
        <f ca="1">IF(ISERROR($V1052),"",OFFSET('Smelter Look-up'!$C$4,$V1052-4,0)&amp;"")</f>
        <v/>
      </c>
      <c r="S1052" s="167" t="str">
        <f t="shared" ca="1" si="99"/>
        <v/>
      </c>
      <c r="T1052" s="167" t="str">
        <f ca="1">IF(B1052="","",IF(ISERROR(MATCH($J1052,SorP!$B$1:$B$6230,0)),"",INDIRECT("'SorP'!$A$"&amp;MATCH($J1052,SorP!$B$1:$B$6230,0))))</f>
        <v/>
      </c>
      <c r="U1052" s="176"/>
      <c r="V1052" s="177" t="e">
        <f>IF(C1052="",NA(),IF(OR(C1052="Smelter not listed",C1052="Smelter not yet identified"),MATCH($B1052&amp;$D1052,'Smelter Look-up'!$J:$J,0),MATCH($B1052&amp;$C1052,'Smelter Look-up'!$J:$J,0)))</f>
        <v>#N/A</v>
      </c>
      <c r="X1052" s="140">
        <f t="shared" ca="1" si="100"/>
        <v>0</v>
      </c>
      <c r="AB1052" s="178" t="str">
        <f t="shared" si="101"/>
        <v/>
      </c>
    </row>
    <row r="1053" spans="1:28" s="140" customFormat="1" ht="20.25">
      <c r="A1053" s="167"/>
      <c r="B1053" s="168" t="str">
        <f>IF(LEN(A1053)=0,"",INDEX('Smelter Look-up'!$A:$A,MATCH($A1053,'Smelter Look-up'!$E:$E,0)))</f>
        <v/>
      </c>
      <c r="C1053" s="169" t="str">
        <f>IF(LEN(A1053)=0,"",INDEX('Smelter Look-up'!$C:$C,MATCH($A1053,'Smelter Look-up'!$E:$E,0)))</f>
        <v/>
      </c>
      <c r="D1053" s="170"/>
      <c r="E1053" s="168" t="str">
        <f ca="1">IF(ISERROR($V1053),"",OFFSET('Smelter Look-up'!$D$4,$V1053-4,0)&amp;"")</f>
        <v/>
      </c>
      <c r="F1053" s="168" t="str">
        <f ca="1">IF(ISERROR($V1053),"",OFFSET('Smelter Look-up'!$E$4,$V1053-4,0))</f>
        <v/>
      </c>
      <c r="G1053" s="168" t="str">
        <f ca="1">IF(C1053=$X$4,IF(ISERROR($V1053),"Enter smelter details","RMI"),IF(ISERROR($V1053),"",OFFSET('Smelter Look-up'!$F$4,$V1053-4,0)))</f>
        <v/>
      </c>
      <c r="H1053" s="171" t="str">
        <f ca="1">IF(ISERROR($V1053),"",OFFSET('Smelter Look-up'!$G$4,$V1053-4,0))</f>
        <v/>
      </c>
      <c r="I1053" s="172" t="str">
        <f ca="1">IF(ISERROR($V1053),"",OFFSET('Smelter Look-up'!$H$4,$V1053-4,0))</f>
        <v/>
      </c>
      <c r="J1053" s="172" t="str">
        <f ca="1">IF(ISERROR($V1053),"",OFFSET('Smelter Look-up'!$I$4,$V1053-4,0))</f>
        <v/>
      </c>
      <c r="K1053" s="173"/>
      <c r="L1053" s="173"/>
      <c r="M1053" s="173"/>
      <c r="N1053" s="173"/>
      <c r="O1053" s="173"/>
      <c r="P1053" s="174"/>
      <c r="Q1053" s="175"/>
      <c r="R1053" s="168" t="str">
        <f ca="1">IF(ISERROR($V1053),"",OFFSET('Smelter Look-up'!$C$4,$V1053-4,0)&amp;"")</f>
        <v/>
      </c>
      <c r="S1053" s="167" t="str">
        <f t="shared" ca="1" si="99"/>
        <v/>
      </c>
      <c r="T1053" s="167" t="str">
        <f ca="1">IF(B1053="","",IF(ISERROR(MATCH($J1053,SorP!$B$1:$B$6230,0)),"",INDIRECT("'SorP'!$A$"&amp;MATCH($J1053,SorP!$B$1:$B$6230,0))))</f>
        <v/>
      </c>
      <c r="U1053" s="176"/>
      <c r="V1053" s="177" t="e">
        <f>IF(C1053="",NA(),IF(OR(C1053="Smelter not listed",C1053="Smelter not yet identified"),MATCH($B1053&amp;$D1053,'Smelter Look-up'!$J:$J,0),MATCH($B1053&amp;$C1053,'Smelter Look-up'!$J:$J,0)))</f>
        <v>#N/A</v>
      </c>
      <c r="X1053" s="140">
        <f t="shared" ca="1" si="100"/>
        <v>0</v>
      </c>
      <c r="AB1053" s="178" t="str">
        <f t="shared" si="101"/>
        <v/>
      </c>
    </row>
    <row r="1054" spans="1:28" s="140" customFormat="1" ht="20.25">
      <c r="A1054" s="167"/>
      <c r="B1054" s="168" t="str">
        <f>IF(LEN(A1054)=0,"",INDEX('Smelter Look-up'!$A:$A,MATCH($A1054,'Smelter Look-up'!$E:$E,0)))</f>
        <v/>
      </c>
      <c r="C1054" s="169" t="str">
        <f>IF(LEN(A1054)=0,"",INDEX('Smelter Look-up'!$C:$C,MATCH($A1054,'Smelter Look-up'!$E:$E,0)))</f>
        <v/>
      </c>
      <c r="D1054" s="170"/>
      <c r="E1054" s="168" t="str">
        <f ca="1">IF(ISERROR($V1054),"",OFFSET('Smelter Look-up'!$D$4,$V1054-4,0)&amp;"")</f>
        <v/>
      </c>
      <c r="F1054" s="168" t="str">
        <f ca="1">IF(ISERROR($V1054),"",OFFSET('Smelter Look-up'!$E$4,$V1054-4,0))</f>
        <v/>
      </c>
      <c r="G1054" s="168" t="str">
        <f ca="1">IF(C1054=$X$4,IF(ISERROR($V1054),"Enter smelter details","RMI"),IF(ISERROR($V1054),"",OFFSET('Smelter Look-up'!$F$4,$V1054-4,0)))</f>
        <v/>
      </c>
      <c r="H1054" s="171" t="str">
        <f ca="1">IF(ISERROR($V1054),"",OFFSET('Smelter Look-up'!$G$4,$V1054-4,0))</f>
        <v/>
      </c>
      <c r="I1054" s="172" t="str">
        <f ca="1">IF(ISERROR($V1054),"",OFFSET('Smelter Look-up'!$H$4,$V1054-4,0))</f>
        <v/>
      </c>
      <c r="J1054" s="172" t="str">
        <f ca="1">IF(ISERROR($V1054),"",OFFSET('Smelter Look-up'!$I$4,$V1054-4,0))</f>
        <v/>
      </c>
      <c r="K1054" s="173"/>
      <c r="L1054" s="173"/>
      <c r="M1054" s="173"/>
      <c r="N1054" s="173"/>
      <c r="O1054" s="173"/>
      <c r="P1054" s="174"/>
      <c r="Q1054" s="175"/>
      <c r="R1054" s="168" t="str">
        <f ca="1">IF(ISERROR($V1054),"",OFFSET('Smelter Look-up'!$C$4,$V1054-4,0)&amp;"")</f>
        <v/>
      </c>
      <c r="S1054" s="167" t="str">
        <f t="shared" ca="1" si="99"/>
        <v/>
      </c>
      <c r="T1054" s="167" t="str">
        <f ca="1">IF(B1054="","",IF(ISERROR(MATCH($J1054,SorP!$B$1:$B$6230,0)),"",INDIRECT("'SorP'!$A$"&amp;MATCH($J1054,SorP!$B$1:$B$6230,0))))</f>
        <v/>
      </c>
      <c r="U1054" s="176"/>
      <c r="V1054" s="177" t="e">
        <f>IF(C1054="",NA(),IF(OR(C1054="Smelter not listed",C1054="Smelter not yet identified"),MATCH($B1054&amp;$D1054,'Smelter Look-up'!$J:$J,0),MATCH($B1054&amp;$C1054,'Smelter Look-up'!$J:$J,0)))</f>
        <v>#N/A</v>
      </c>
      <c r="X1054" s="140">
        <f t="shared" ca="1" si="100"/>
        <v>0</v>
      </c>
      <c r="AB1054" s="178" t="str">
        <f t="shared" si="101"/>
        <v/>
      </c>
    </row>
    <row r="1055" spans="1:28" s="140" customFormat="1" ht="20.25">
      <c r="A1055" s="167"/>
      <c r="B1055" s="168" t="str">
        <f>IF(LEN(A1055)=0,"",INDEX('Smelter Look-up'!$A:$A,MATCH($A1055,'Smelter Look-up'!$E:$E,0)))</f>
        <v/>
      </c>
      <c r="C1055" s="169" t="str">
        <f>IF(LEN(A1055)=0,"",INDEX('Smelter Look-up'!$C:$C,MATCH($A1055,'Smelter Look-up'!$E:$E,0)))</f>
        <v/>
      </c>
      <c r="D1055" s="170"/>
      <c r="E1055" s="168" t="str">
        <f ca="1">IF(ISERROR($V1055),"",OFFSET('Smelter Look-up'!$D$4,$V1055-4,0)&amp;"")</f>
        <v/>
      </c>
      <c r="F1055" s="168" t="str">
        <f ca="1">IF(ISERROR($V1055),"",OFFSET('Smelter Look-up'!$E$4,$V1055-4,0))</f>
        <v/>
      </c>
      <c r="G1055" s="168" t="str">
        <f ca="1">IF(C1055=$X$4,IF(ISERROR($V1055),"Enter smelter details","RMI"),IF(ISERROR($V1055),"",OFFSET('Smelter Look-up'!$F$4,$V1055-4,0)))</f>
        <v/>
      </c>
      <c r="H1055" s="171" t="str">
        <f ca="1">IF(ISERROR($V1055),"",OFFSET('Smelter Look-up'!$G$4,$V1055-4,0))</f>
        <v/>
      </c>
      <c r="I1055" s="172" t="str">
        <f ca="1">IF(ISERROR($V1055),"",OFFSET('Smelter Look-up'!$H$4,$V1055-4,0))</f>
        <v/>
      </c>
      <c r="J1055" s="172" t="str">
        <f ca="1">IF(ISERROR($V1055),"",OFFSET('Smelter Look-up'!$I$4,$V1055-4,0))</f>
        <v/>
      </c>
      <c r="K1055" s="173"/>
      <c r="L1055" s="173"/>
      <c r="M1055" s="173"/>
      <c r="N1055" s="173"/>
      <c r="O1055" s="173"/>
      <c r="P1055" s="174"/>
      <c r="Q1055" s="175"/>
      <c r="R1055" s="168" t="str">
        <f ca="1">IF(ISERROR($V1055),"",OFFSET('Smelter Look-up'!$C$4,$V1055-4,0)&amp;"")</f>
        <v/>
      </c>
      <c r="S1055" s="167" t="str">
        <f t="shared" ca="1" si="99"/>
        <v/>
      </c>
      <c r="T1055" s="167" t="str">
        <f ca="1">IF(B1055="","",IF(ISERROR(MATCH($J1055,SorP!$B$1:$B$6230,0)),"",INDIRECT("'SorP'!$A$"&amp;MATCH($J1055,SorP!$B$1:$B$6230,0))))</f>
        <v/>
      </c>
      <c r="U1055" s="176"/>
      <c r="V1055" s="177" t="e">
        <f>IF(C1055="",NA(),IF(OR(C1055="Smelter not listed",C1055="Smelter not yet identified"),MATCH($B1055&amp;$D1055,'Smelter Look-up'!$J:$J,0),MATCH($B1055&amp;$C1055,'Smelter Look-up'!$J:$J,0)))</f>
        <v>#N/A</v>
      </c>
      <c r="X1055" s="140">
        <f t="shared" ca="1" si="100"/>
        <v>0</v>
      </c>
      <c r="AB1055" s="178" t="str">
        <f t="shared" si="101"/>
        <v/>
      </c>
    </row>
    <row r="1056" spans="1:28" s="140" customFormat="1" ht="20.25">
      <c r="A1056" s="167"/>
      <c r="B1056" s="168" t="str">
        <f>IF(LEN(A1056)=0,"",INDEX('Smelter Look-up'!$A:$A,MATCH($A1056,'Smelter Look-up'!$E:$E,0)))</f>
        <v/>
      </c>
      <c r="C1056" s="169" t="str">
        <f>IF(LEN(A1056)=0,"",INDEX('Smelter Look-up'!$C:$C,MATCH($A1056,'Smelter Look-up'!$E:$E,0)))</f>
        <v/>
      </c>
      <c r="D1056" s="170"/>
      <c r="E1056" s="168" t="str">
        <f ca="1">IF(ISERROR($V1056),"",OFFSET('Smelter Look-up'!$D$4,$V1056-4,0)&amp;"")</f>
        <v/>
      </c>
      <c r="F1056" s="168" t="str">
        <f ca="1">IF(ISERROR($V1056),"",OFFSET('Smelter Look-up'!$E$4,$V1056-4,0))</f>
        <v/>
      </c>
      <c r="G1056" s="168" t="str">
        <f ca="1">IF(C1056=$X$4,IF(ISERROR($V1056),"Enter smelter details","RMI"),IF(ISERROR($V1056),"",OFFSET('Smelter Look-up'!$F$4,$V1056-4,0)))</f>
        <v/>
      </c>
      <c r="H1056" s="171" t="str">
        <f ca="1">IF(ISERROR($V1056),"",OFFSET('Smelter Look-up'!$G$4,$V1056-4,0))</f>
        <v/>
      </c>
      <c r="I1056" s="172" t="str">
        <f ca="1">IF(ISERROR($V1056),"",OFFSET('Smelter Look-up'!$H$4,$V1056-4,0))</f>
        <v/>
      </c>
      <c r="J1056" s="172" t="str">
        <f ca="1">IF(ISERROR($V1056),"",OFFSET('Smelter Look-up'!$I$4,$V1056-4,0))</f>
        <v/>
      </c>
      <c r="K1056" s="173"/>
      <c r="L1056" s="173"/>
      <c r="M1056" s="173"/>
      <c r="N1056" s="173"/>
      <c r="O1056" s="173"/>
      <c r="P1056" s="174"/>
      <c r="Q1056" s="175"/>
      <c r="R1056" s="168" t="str">
        <f ca="1">IF(ISERROR($V1056),"",OFFSET('Smelter Look-up'!$C$4,$V1056-4,0)&amp;"")</f>
        <v/>
      </c>
      <c r="S1056" s="167" t="str">
        <f t="shared" ca="1" si="99"/>
        <v/>
      </c>
      <c r="T1056" s="167" t="str">
        <f ca="1">IF(B1056="","",IF(ISERROR(MATCH($J1056,SorP!$B$1:$B$6230,0)),"",INDIRECT("'SorP'!$A$"&amp;MATCH($J1056,SorP!$B$1:$B$6230,0))))</f>
        <v/>
      </c>
      <c r="U1056" s="176"/>
      <c r="V1056" s="177" t="e">
        <f>IF(C1056="",NA(),IF(OR(C1056="Smelter not listed",C1056="Smelter not yet identified"),MATCH($B1056&amp;$D1056,'Smelter Look-up'!$J:$J,0),MATCH($B1056&amp;$C1056,'Smelter Look-up'!$J:$J,0)))</f>
        <v>#N/A</v>
      </c>
      <c r="X1056" s="140">
        <f t="shared" ca="1" si="100"/>
        <v>0</v>
      </c>
      <c r="AB1056" s="178" t="str">
        <f t="shared" si="101"/>
        <v/>
      </c>
    </row>
    <row r="1057" spans="1:28" s="140" customFormat="1" ht="20.25">
      <c r="A1057" s="167"/>
      <c r="B1057" s="168" t="str">
        <f>IF(LEN(A1057)=0,"",INDEX('Smelter Look-up'!$A:$A,MATCH($A1057,'Smelter Look-up'!$E:$E,0)))</f>
        <v/>
      </c>
      <c r="C1057" s="169" t="str">
        <f>IF(LEN(A1057)=0,"",INDEX('Smelter Look-up'!$C:$C,MATCH($A1057,'Smelter Look-up'!$E:$E,0)))</f>
        <v/>
      </c>
      <c r="D1057" s="170"/>
      <c r="E1057" s="168" t="str">
        <f ca="1">IF(ISERROR($V1057),"",OFFSET('Smelter Look-up'!$D$4,$V1057-4,0)&amp;"")</f>
        <v/>
      </c>
      <c r="F1057" s="168" t="str">
        <f ca="1">IF(ISERROR($V1057),"",OFFSET('Smelter Look-up'!$E$4,$V1057-4,0))</f>
        <v/>
      </c>
      <c r="G1057" s="168" t="str">
        <f ca="1">IF(C1057=$X$4,IF(ISERROR($V1057),"Enter smelter details","RMI"),IF(ISERROR($V1057),"",OFFSET('Smelter Look-up'!$F$4,$V1057-4,0)))</f>
        <v/>
      </c>
      <c r="H1057" s="171" t="str">
        <f ca="1">IF(ISERROR($V1057),"",OFFSET('Smelter Look-up'!$G$4,$V1057-4,0))</f>
        <v/>
      </c>
      <c r="I1057" s="172" t="str">
        <f ca="1">IF(ISERROR($V1057),"",OFFSET('Smelter Look-up'!$H$4,$V1057-4,0))</f>
        <v/>
      </c>
      <c r="J1057" s="172" t="str">
        <f ca="1">IF(ISERROR($V1057),"",OFFSET('Smelter Look-up'!$I$4,$V1057-4,0))</f>
        <v/>
      </c>
      <c r="K1057" s="173"/>
      <c r="L1057" s="173"/>
      <c r="M1057" s="173"/>
      <c r="N1057" s="173"/>
      <c r="O1057" s="173"/>
      <c r="P1057" s="174"/>
      <c r="Q1057" s="175"/>
      <c r="R1057" s="168" t="str">
        <f ca="1">IF(ISERROR($V1057),"",OFFSET('Smelter Look-up'!$C$4,$V1057-4,0)&amp;"")</f>
        <v/>
      </c>
      <c r="S1057" s="167" t="str">
        <f t="shared" ca="1" si="99"/>
        <v/>
      </c>
      <c r="T1057" s="167" t="str">
        <f ca="1">IF(B1057="","",IF(ISERROR(MATCH($J1057,SorP!$B$1:$B$6230,0)),"",INDIRECT("'SorP'!$A$"&amp;MATCH($J1057,SorP!$B$1:$B$6230,0))))</f>
        <v/>
      </c>
      <c r="U1057" s="176"/>
      <c r="V1057" s="177" t="e">
        <f>IF(C1057="",NA(),IF(OR(C1057="Smelter not listed",C1057="Smelter not yet identified"),MATCH($B1057&amp;$D1057,'Smelter Look-up'!$J:$J,0),MATCH($B1057&amp;$C1057,'Smelter Look-up'!$J:$J,0)))</f>
        <v>#N/A</v>
      </c>
      <c r="X1057" s="140">
        <f t="shared" ca="1" si="100"/>
        <v>0</v>
      </c>
      <c r="AB1057" s="178" t="str">
        <f t="shared" si="101"/>
        <v/>
      </c>
    </row>
    <row r="1058" spans="1:28" s="140" customFormat="1" ht="20.25">
      <c r="A1058" s="167"/>
      <c r="B1058" s="168" t="str">
        <f>IF(LEN(A1058)=0,"",INDEX('Smelter Look-up'!$A:$A,MATCH($A1058,'Smelter Look-up'!$E:$E,0)))</f>
        <v/>
      </c>
      <c r="C1058" s="169" t="str">
        <f>IF(LEN(A1058)=0,"",INDEX('Smelter Look-up'!$C:$C,MATCH($A1058,'Smelter Look-up'!$E:$E,0)))</f>
        <v/>
      </c>
      <c r="D1058" s="170"/>
      <c r="E1058" s="168" t="str">
        <f ca="1">IF(ISERROR($V1058),"",OFFSET('Smelter Look-up'!$D$4,$V1058-4,0)&amp;"")</f>
        <v/>
      </c>
      <c r="F1058" s="168" t="str">
        <f ca="1">IF(ISERROR($V1058),"",OFFSET('Smelter Look-up'!$E$4,$V1058-4,0))</f>
        <v/>
      </c>
      <c r="G1058" s="168" t="str">
        <f ca="1">IF(C1058=$X$4,IF(ISERROR($V1058),"Enter smelter details","RMI"),IF(ISERROR($V1058),"",OFFSET('Smelter Look-up'!$F$4,$V1058-4,0)))</f>
        <v/>
      </c>
      <c r="H1058" s="171" t="str">
        <f ca="1">IF(ISERROR($V1058),"",OFFSET('Smelter Look-up'!$G$4,$V1058-4,0))</f>
        <v/>
      </c>
      <c r="I1058" s="172" t="str">
        <f ca="1">IF(ISERROR($V1058),"",OFFSET('Smelter Look-up'!$H$4,$V1058-4,0))</f>
        <v/>
      </c>
      <c r="J1058" s="172" t="str">
        <f ca="1">IF(ISERROR($V1058),"",OFFSET('Smelter Look-up'!$I$4,$V1058-4,0))</f>
        <v/>
      </c>
      <c r="K1058" s="173"/>
      <c r="L1058" s="173"/>
      <c r="M1058" s="173"/>
      <c r="N1058" s="173"/>
      <c r="O1058" s="173"/>
      <c r="P1058" s="174"/>
      <c r="Q1058" s="175"/>
      <c r="R1058" s="168" t="str">
        <f ca="1">IF(ISERROR($V1058),"",OFFSET('Smelter Look-up'!$C$4,$V1058-4,0)&amp;"")</f>
        <v/>
      </c>
      <c r="S1058" s="167" t="str">
        <f t="shared" ca="1" si="99"/>
        <v/>
      </c>
      <c r="T1058" s="167" t="str">
        <f ca="1">IF(B1058="","",IF(ISERROR(MATCH($J1058,SorP!$B$1:$B$6230,0)),"",INDIRECT("'SorP'!$A$"&amp;MATCH($J1058,SorP!$B$1:$B$6230,0))))</f>
        <v/>
      </c>
      <c r="U1058" s="176"/>
      <c r="V1058" s="177" t="e">
        <f>IF(C1058="",NA(),IF(OR(C1058="Smelter not listed",C1058="Smelter not yet identified"),MATCH($B1058&amp;$D1058,'Smelter Look-up'!$J:$J,0),MATCH($B1058&amp;$C1058,'Smelter Look-up'!$J:$J,0)))</f>
        <v>#N/A</v>
      </c>
      <c r="X1058" s="140">
        <f t="shared" ca="1" si="100"/>
        <v>0</v>
      </c>
      <c r="AB1058" s="178" t="str">
        <f t="shared" si="101"/>
        <v/>
      </c>
    </row>
    <row r="1059" spans="1:28" s="140" customFormat="1" ht="20.25">
      <c r="A1059" s="167"/>
      <c r="B1059" s="168" t="str">
        <f>IF(LEN(A1059)=0,"",INDEX('Smelter Look-up'!$A:$A,MATCH($A1059,'Smelter Look-up'!$E:$E,0)))</f>
        <v/>
      </c>
      <c r="C1059" s="169" t="str">
        <f>IF(LEN(A1059)=0,"",INDEX('Smelter Look-up'!$C:$C,MATCH($A1059,'Smelter Look-up'!$E:$E,0)))</f>
        <v/>
      </c>
      <c r="D1059" s="170"/>
      <c r="E1059" s="168" t="str">
        <f ca="1">IF(ISERROR($V1059),"",OFFSET('Smelter Look-up'!$D$4,$V1059-4,0)&amp;"")</f>
        <v/>
      </c>
      <c r="F1059" s="168" t="str">
        <f ca="1">IF(ISERROR($V1059),"",OFFSET('Smelter Look-up'!$E$4,$V1059-4,0))</f>
        <v/>
      </c>
      <c r="G1059" s="168" t="str">
        <f ca="1">IF(C1059=$X$4,IF(ISERROR($V1059),"Enter smelter details","RMI"),IF(ISERROR($V1059),"",OFFSET('Smelter Look-up'!$F$4,$V1059-4,0)))</f>
        <v/>
      </c>
      <c r="H1059" s="171" t="str">
        <f ca="1">IF(ISERROR($V1059),"",OFFSET('Smelter Look-up'!$G$4,$V1059-4,0))</f>
        <v/>
      </c>
      <c r="I1059" s="172" t="str">
        <f ca="1">IF(ISERROR($V1059),"",OFFSET('Smelter Look-up'!$H$4,$V1059-4,0))</f>
        <v/>
      </c>
      <c r="J1059" s="172" t="str">
        <f ca="1">IF(ISERROR($V1059),"",OFFSET('Smelter Look-up'!$I$4,$V1059-4,0))</f>
        <v/>
      </c>
      <c r="K1059" s="173"/>
      <c r="L1059" s="173"/>
      <c r="M1059" s="173"/>
      <c r="N1059" s="173"/>
      <c r="O1059" s="173"/>
      <c r="P1059" s="174"/>
      <c r="Q1059" s="175"/>
      <c r="R1059" s="168" t="str">
        <f ca="1">IF(ISERROR($V1059),"",OFFSET('Smelter Look-up'!$C$4,$V1059-4,0)&amp;"")</f>
        <v/>
      </c>
      <c r="S1059" s="167" t="str">
        <f t="shared" ca="1" si="99"/>
        <v/>
      </c>
      <c r="T1059" s="167" t="str">
        <f ca="1">IF(B1059="","",IF(ISERROR(MATCH($J1059,SorP!$B$1:$B$6230,0)),"",INDIRECT("'SorP'!$A$"&amp;MATCH($J1059,SorP!$B$1:$B$6230,0))))</f>
        <v/>
      </c>
      <c r="U1059" s="176"/>
      <c r="V1059" s="177" t="e">
        <f>IF(C1059="",NA(),IF(OR(C1059="Smelter not listed",C1059="Smelter not yet identified"),MATCH($B1059&amp;$D1059,'Smelter Look-up'!$J:$J,0),MATCH($B1059&amp;$C1059,'Smelter Look-up'!$J:$J,0)))</f>
        <v>#N/A</v>
      </c>
      <c r="X1059" s="140">
        <f t="shared" ca="1" si="100"/>
        <v>0</v>
      </c>
      <c r="AB1059" s="178" t="str">
        <f t="shared" si="101"/>
        <v/>
      </c>
    </row>
    <row r="1060" spans="1:28" s="140" customFormat="1" ht="20.25">
      <c r="A1060" s="167"/>
      <c r="B1060" s="168" t="str">
        <f>IF(LEN(A1060)=0,"",INDEX('Smelter Look-up'!$A:$A,MATCH($A1060,'Smelter Look-up'!$E:$E,0)))</f>
        <v/>
      </c>
      <c r="C1060" s="169" t="str">
        <f>IF(LEN(A1060)=0,"",INDEX('Smelter Look-up'!$C:$C,MATCH($A1060,'Smelter Look-up'!$E:$E,0)))</f>
        <v/>
      </c>
      <c r="D1060" s="170"/>
      <c r="E1060" s="168" t="str">
        <f ca="1">IF(ISERROR($V1060),"",OFFSET('Smelter Look-up'!$D$4,$V1060-4,0)&amp;"")</f>
        <v/>
      </c>
      <c r="F1060" s="168" t="str">
        <f ca="1">IF(ISERROR($V1060),"",OFFSET('Smelter Look-up'!$E$4,$V1060-4,0))</f>
        <v/>
      </c>
      <c r="G1060" s="168" t="str">
        <f ca="1">IF(C1060=$X$4,IF(ISERROR($V1060),"Enter smelter details","RMI"),IF(ISERROR($V1060),"",OFFSET('Smelter Look-up'!$F$4,$V1060-4,0)))</f>
        <v/>
      </c>
      <c r="H1060" s="171" t="str">
        <f ca="1">IF(ISERROR($V1060),"",OFFSET('Smelter Look-up'!$G$4,$V1060-4,0))</f>
        <v/>
      </c>
      <c r="I1060" s="172" t="str">
        <f ca="1">IF(ISERROR($V1060),"",OFFSET('Smelter Look-up'!$H$4,$V1060-4,0))</f>
        <v/>
      </c>
      <c r="J1060" s="172" t="str">
        <f ca="1">IF(ISERROR($V1060),"",OFFSET('Smelter Look-up'!$I$4,$V1060-4,0))</f>
        <v/>
      </c>
      <c r="K1060" s="173"/>
      <c r="L1060" s="173"/>
      <c r="M1060" s="173"/>
      <c r="N1060" s="173"/>
      <c r="O1060" s="173"/>
      <c r="P1060" s="174"/>
      <c r="Q1060" s="175"/>
      <c r="R1060" s="168" t="str">
        <f ca="1">IF(ISERROR($V1060),"",OFFSET('Smelter Look-up'!$C$4,$V1060-4,0)&amp;"")</f>
        <v/>
      </c>
      <c r="S1060" s="167" t="str">
        <f t="shared" ca="1" si="99"/>
        <v/>
      </c>
      <c r="T1060" s="167" t="str">
        <f ca="1">IF(B1060="","",IF(ISERROR(MATCH($J1060,SorP!$B$1:$B$6230,0)),"",INDIRECT("'SorP'!$A$"&amp;MATCH($J1060,SorP!$B$1:$B$6230,0))))</f>
        <v/>
      </c>
      <c r="U1060" s="176"/>
      <c r="V1060" s="177" t="e">
        <f>IF(C1060="",NA(),IF(OR(C1060="Smelter not listed",C1060="Smelter not yet identified"),MATCH($B1060&amp;$D1060,'Smelter Look-up'!$J:$J,0),MATCH($B1060&amp;$C1060,'Smelter Look-up'!$J:$J,0)))</f>
        <v>#N/A</v>
      </c>
      <c r="X1060" s="140">
        <f t="shared" ca="1" si="100"/>
        <v>0</v>
      </c>
      <c r="AB1060" s="178" t="str">
        <f t="shared" si="101"/>
        <v/>
      </c>
    </row>
    <row r="1061" spans="1:28" s="140" customFormat="1" ht="20.25">
      <c r="A1061" s="167"/>
      <c r="B1061" s="168" t="str">
        <f>IF(LEN(A1061)=0,"",INDEX('Smelter Look-up'!$A:$A,MATCH($A1061,'Smelter Look-up'!$E:$E,0)))</f>
        <v/>
      </c>
      <c r="C1061" s="169" t="str">
        <f>IF(LEN(A1061)=0,"",INDEX('Smelter Look-up'!$C:$C,MATCH($A1061,'Smelter Look-up'!$E:$E,0)))</f>
        <v/>
      </c>
      <c r="D1061" s="170"/>
      <c r="E1061" s="168" t="str">
        <f ca="1">IF(ISERROR($V1061),"",OFFSET('Smelter Look-up'!$D$4,$V1061-4,0)&amp;"")</f>
        <v/>
      </c>
      <c r="F1061" s="168" t="str">
        <f ca="1">IF(ISERROR($V1061),"",OFFSET('Smelter Look-up'!$E$4,$V1061-4,0))</f>
        <v/>
      </c>
      <c r="G1061" s="168" t="str">
        <f ca="1">IF(C1061=$X$4,IF(ISERROR($V1061),"Enter smelter details","RMI"),IF(ISERROR($V1061),"",OFFSET('Smelter Look-up'!$F$4,$V1061-4,0)))</f>
        <v/>
      </c>
      <c r="H1061" s="171" t="str">
        <f ca="1">IF(ISERROR($V1061),"",OFFSET('Smelter Look-up'!$G$4,$V1061-4,0))</f>
        <v/>
      </c>
      <c r="I1061" s="172" t="str">
        <f ca="1">IF(ISERROR($V1061),"",OFFSET('Smelter Look-up'!$H$4,$V1061-4,0))</f>
        <v/>
      </c>
      <c r="J1061" s="172" t="str">
        <f ca="1">IF(ISERROR($V1061),"",OFFSET('Smelter Look-up'!$I$4,$V1061-4,0))</f>
        <v/>
      </c>
      <c r="K1061" s="173"/>
      <c r="L1061" s="173"/>
      <c r="M1061" s="173"/>
      <c r="N1061" s="173"/>
      <c r="O1061" s="173"/>
      <c r="P1061" s="174"/>
      <c r="Q1061" s="175"/>
      <c r="R1061" s="168" t="str">
        <f ca="1">IF(ISERROR($V1061),"",OFFSET('Smelter Look-up'!$C$4,$V1061-4,0)&amp;"")</f>
        <v/>
      </c>
      <c r="S1061" s="167" t="str">
        <f t="shared" ref="S1061:S1124" ca="1" si="102">IF(B1061="","",IF(ISERROR(MATCH($E1061,CL,0)),"Unknown",INDIRECT("'C'!$A$"&amp;MATCH($E1061,CL,0)+1)))</f>
        <v/>
      </c>
      <c r="T1061" s="167" t="str">
        <f ca="1">IF(B1061="","",IF(ISERROR(MATCH($J1061,SorP!$B$1:$B$6230,0)),"",INDIRECT("'SorP'!$A$"&amp;MATCH($J1061,SorP!$B$1:$B$6230,0))))</f>
        <v/>
      </c>
      <c r="U1061" s="176"/>
      <c r="V1061" s="177" t="e">
        <f>IF(C1061="",NA(),IF(OR(C1061="Smelter not listed",C1061="Smelter not yet identified"),MATCH($B1061&amp;$D1061,'Smelter Look-up'!$J:$J,0),MATCH($B1061&amp;$C1061,'Smelter Look-up'!$J:$J,0)))</f>
        <v>#N/A</v>
      </c>
      <c r="X1061" s="140">
        <f t="shared" ref="X1061:X1124" ca="1" si="103">IF(AND(C1061="Smelter not listed",OR(LEN(D1061)=0,LEN(E1061)=0)),1,0)</f>
        <v>0</v>
      </c>
      <c r="AB1061" s="178" t="str">
        <f t="shared" ref="AB1061:AB1124" si="104">B1061&amp;C1061</f>
        <v/>
      </c>
    </row>
    <row r="1062" spans="1:28" s="140" customFormat="1" ht="20.25">
      <c r="A1062" s="167"/>
      <c r="B1062" s="168" t="str">
        <f>IF(LEN(A1062)=0,"",INDEX('Smelter Look-up'!$A:$A,MATCH($A1062,'Smelter Look-up'!$E:$E,0)))</f>
        <v/>
      </c>
      <c r="C1062" s="169" t="str">
        <f>IF(LEN(A1062)=0,"",INDEX('Smelter Look-up'!$C:$C,MATCH($A1062,'Smelter Look-up'!$E:$E,0)))</f>
        <v/>
      </c>
      <c r="D1062" s="170"/>
      <c r="E1062" s="168" t="str">
        <f ca="1">IF(ISERROR($V1062),"",OFFSET('Smelter Look-up'!$D$4,$V1062-4,0)&amp;"")</f>
        <v/>
      </c>
      <c r="F1062" s="168" t="str">
        <f ca="1">IF(ISERROR($V1062),"",OFFSET('Smelter Look-up'!$E$4,$V1062-4,0))</f>
        <v/>
      </c>
      <c r="G1062" s="168" t="str">
        <f ca="1">IF(C1062=$X$4,IF(ISERROR($V1062),"Enter smelter details","RMI"),IF(ISERROR($V1062),"",OFFSET('Smelter Look-up'!$F$4,$V1062-4,0)))</f>
        <v/>
      </c>
      <c r="H1062" s="171" t="str">
        <f ca="1">IF(ISERROR($V1062),"",OFFSET('Smelter Look-up'!$G$4,$V1062-4,0))</f>
        <v/>
      </c>
      <c r="I1062" s="172" t="str">
        <f ca="1">IF(ISERROR($V1062),"",OFFSET('Smelter Look-up'!$H$4,$V1062-4,0))</f>
        <v/>
      </c>
      <c r="J1062" s="172" t="str">
        <f ca="1">IF(ISERROR($V1062),"",OFFSET('Smelter Look-up'!$I$4,$V1062-4,0))</f>
        <v/>
      </c>
      <c r="K1062" s="173"/>
      <c r="L1062" s="173"/>
      <c r="M1062" s="173"/>
      <c r="N1062" s="173"/>
      <c r="O1062" s="173"/>
      <c r="P1062" s="174"/>
      <c r="Q1062" s="175"/>
      <c r="R1062" s="168" t="str">
        <f ca="1">IF(ISERROR($V1062),"",OFFSET('Smelter Look-up'!$C$4,$V1062-4,0)&amp;"")</f>
        <v/>
      </c>
      <c r="S1062" s="167" t="str">
        <f t="shared" ca="1" si="102"/>
        <v/>
      </c>
      <c r="T1062" s="167" t="str">
        <f ca="1">IF(B1062="","",IF(ISERROR(MATCH($J1062,SorP!$B$1:$B$6230,0)),"",INDIRECT("'SorP'!$A$"&amp;MATCH($J1062,SorP!$B$1:$B$6230,0))))</f>
        <v/>
      </c>
      <c r="U1062" s="176"/>
      <c r="V1062" s="177" t="e">
        <f>IF(C1062="",NA(),IF(OR(C1062="Smelter not listed",C1062="Smelter not yet identified"),MATCH($B1062&amp;$D1062,'Smelter Look-up'!$J:$J,0),MATCH($B1062&amp;$C1062,'Smelter Look-up'!$J:$J,0)))</f>
        <v>#N/A</v>
      </c>
      <c r="X1062" s="140">
        <f t="shared" ca="1" si="103"/>
        <v>0</v>
      </c>
      <c r="AB1062" s="178" t="str">
        <f t="shared" si="104"/>
        <v/>
      </c>
    </row>
    <row r="1063" spans="1:28" s="140" customFormat="1" ht="20.25">
      <c r="A1063" s="167"/>
      <c r="B1063" s="168" t="str">
        <f>IF(LEN(A1063)=0,"",INDEX('Smelter Look-up'!$A:$A,MATCH($A1063,'Smelter Look-up'!$E:$E,0)))</f>
        <v/>
      </c>
      <c r="C1063" s="169" t="str">
        <f>IF(LEN(A1063)=0,"",INDEX('Smelter Look-up'!$C:$C,MATCH($A1063,'Smelter Look-up'!$E:$E,0)))</f>
        <v/>
      </c>
      <c r="D1063" s="170"/>
      <c r="E1063" s="168" t="str">
        <f ca="1">IF(ISERROR($V1063),"",OFFSET('Smelter Look-up'!$D$4,$V1063-4,0)&amp;"")</f>
        <v/>
      </c>
      <c r="F1063" s="168" t="str">
        <f ca="1">IF(ISERROR($V1063),"",OFFSET('Smelter Look-up'!$E$4,$V1063-4,0))</f>
        <v/>
      </c>
      <c r="G1063" s="168" t="str">
        <f ca="1">IF(C1063=$X$4,IF(ISERROR($V1063),"Enter smelter details","RMI"),IF(ISERROR($V1063),"",OFFSET('Smelter Look-up'!$F$4,$V1063-4,0)))</f>
        <v/>
      </c>
      <c r="H1063" s="171" t="str">
        <f ca="1">IF(ISERROR($V1063),"",OFFSET('Smelter Look-up'!$G$4,$V1063-4,0))</f>
        <v/>
      </c>
      <c r="I1063" s="172" t="str">
        <f ca="1">IF(ISERROR($V1063),"",OFFSET('Smelter Look-up'!$H$4,$V1063-4,0))</f>
        <v/>
      </c>
      <c r="J1063" s="172" t="str">
        <f ca="1">IF(ISERROR($V1063),"",OFFSET('Smelter Look-up'!$I$4,$V1063-4,0))</f>
        <v/>
      </c>
      <c r="K1063" s="173"/>
      <c r="L1063" s="173"/>
      <c r="M1063" s="173"/>
      <c r="N1063" s="173"/>
      <c r="O1063" s="173"/>
      <c r="P1063" s="174"/>
      <c r="Q1063" s="175"/>
      <c r="R1063" s="168" t="str">
        <f ca="1">IF(ISERROR($V1063),"",OFFSET('Smelter Look-up'!$C$4,$V1063-4,0)&amp;"")</f>
        <v/>
      </c>
      <c r="S1063" s="167" t="str">
        <f t="shared" ca="1" si="102"/>
        <v/>
      </c>
      <c r="T1063" s="167" t="str">
        <f ca="1">IF(B1063="","",IF(ISERROR(MATCH($J1063,SorP!$B$1:$B$6230,0)),"",INDIRECT("'SorP'!$A$"&amp;MATCH($J1063,SorP!$B$1:$B$6230,0))))</f>
        <v/>
      </c>
      <c r="U1063" s="176"/>
      <c r="V1063" s="177" t="e">
        <f>IF(C1063="",NA(),IF(OR(C1063="Smelter not listed",C1063="Smelter not yet identified"),MATCH($B1063&amp;$D1063,'Smelter Look-up'!$J:$J,0),MATCH($B1063&amp;$C1063,'Smelter Look-up'!$J:$J,0)))</f>
        <v>#N/A</v>
      </c>
      <c r="X1063" s="140">
        <f t="shared" ca="1" si="103"/>
        <v>0</v>
      </c>
      <c r="AB1063" s="178" t="str">
        <f t="shared" si="104"/>
        <v/>
      </c>
    </row>
    <row r="1064" spans="1:28" s="140" customFormat="1" ht="20.25">
      <c r="A1064" s="167"/>
      <c r="B1064" s="168" t="str">
        <f>IF(LEN(A1064)=0,"",INDEX('Smelter Look-up'!$A:$A,MATCH($A1064,'Smelter Look-up'!$E:$E,0)))</f>
        <v/>
      </c>
      <c r="C1064" s="169" t="str">
        <f>IF(LEN(A1064)=0,"",INDEX('Smelter Look-up'!$C:$C,MATCH($A1064,'Smelter Look-up'!$E:$E,0)))</f>
        <v/>
      </c>
      <c r="D1064" s="170"/>
      <c r="E1064" s="168" t="str">
        <f ca="1">IF(ISERROR($V1064),"",OFFSET('Smelter Look-up'!$D$4,$V1064-4,0)&amp;"")</f>
        <v/>
      </c>
      <c r="F1064" s="168" t="str">
        <f ca="1">IF(ISERROR($V1064),"",OFFSET('Smelter Look-up'!$E$4,$V1064-4,0))</f>
        <v/>
      </c>
      <c r="G1064" s="168" t="str">
        <f ca="1">IF(C1064=$X$4,IF(ISERROR($V1064),"Enter smelter details","RMI"),IF(ISERROR($V1064),"",OFFSET('Smelter Look-up'!$F$4,$V1064-4,0)))</f>
        <v/>
      </c>
      <c r="H1064" s="171" t="str">
        <f ca="1">IF(ISERROR($V1064),"",OFFSET('Smelter Look-up'!$G$4,$V1064-4,0))</f>
        <v/>
      </c>
      <c r="I1064" s="172" t="str">
        <f ca="1">IF(ISERROR($V1064),"",OFFSET('Smelter Look-up'!$H$4,$V1064-4,0))</f>
        <v/>
      </c>
      <c r="J1064" s="172" t="str">
        <f ca="1">IF(ISERROR($V1064),"",OFFSET('Smelter Look-up'!$I$4,$V1064-4,0))</f>
        <v/>
      </c>
      <c r="K1064" s="173"/>
      <c r="L1064" s="173"/>
      <c r="M1064" s="173"/>
      <c r="N1064" s="173"/>
      <c r="O1064" s="173"/>
      <c r="P1064" s="174"/>
      <c r="Q1064" s="175"/>
      <c r="R1064" s="168" t="str">
        <f ca="1">IF(ISERROR($V1064),"",OFFSET('Smelter Look-up'!$C$4,$V1064-4,0)&amp;"")</f>
        <v/>
      </c>
      <c r="S1064" s="167" t="str">
        <f t="shared" ca="1" si="102"/>
        <v/>
      </c>
      <c r="T1064" s="167" t="str">
        <f ca="1">IF(B1064="","",IF(ISERROR(MATCH($J1064,SorP!$B$1:$B$6230,0)),"",INDIRECT("'SorP'!$A$"&amp;MATCH($J1064,SorP!$B$1:$B$6230,0))))</f>
        <v/>
      </c>
      <c r="U1064" s="176"/>
      <c r="V1064" s="177" t="e">
        <f>IF(C1064="",NA(),IF(OR(C1064="Smelter not listed",C1064="Smelter not yet identified"),MATCH($B1064&amp;$D1064,'Smelter Look-up'!$J:$J,0),MATCH($B1064&amp;$C1064,'Smelter Look-up'!$J:$J,0)))</f>
        <v>#N/A</v>
      </c>
      <c r="X1064" s="140">
        <f t="shared" ca="1" si="103"/>
        <v>0</v>
      </c>
      <c r="AB1064" s="178" t="str">
        <f t="shared" si="104"/>
        <v/>
      </c>
    </row>
    <row r="1065" spans="1:28" s="140" customFormat="1" ht="20.25">
      <c r="A1065" s="167"/>
      <c r="B1065" s="168" t="str">
        <f>IF(LEN(A1065)=0,"",INDEX('Smelter Look-up'!$A:$A,MATCH($A1065,'Smelter Look-up'!$E:$E,0)))</f>
        <v/>
      </c>
      <c r="C1065" s="169" t="str">
        <f>IF(LEN(A1065)=0,"",INDEX('Smelter Look-up'!$C:$C,MATCH($A1065,'Smelter Look-up'!$E:$E,0)))</f>
        <v/>
      </c>
      <c r="D1065" s="170"/>
      <c r="E1065" s="168" t="str">
        <f ca="1">IF(ISERROR($V1065),"",OFFSET('Smelter Look-up'!$D$4,$V1065-4,0)&amp;"")</f>
        <v/>
      </c>
      <c r="F1065" s="168" t="str">
        <f ca="1">IF(ISERROR($V1065),"",OFFSET('Smelter Look-up'!$E$4,$V1065-4,0))</f>
        <v/>
      </c>
      <c r="G1065" s="168" t="str">
        <f ca="1">IF(C1065=$X$4,IF(ISERROR($V1065),"Enter smelter details","RMI"),IF(ISERROR($V1065),"",OFFSET('Smelter Look-up'!$F$4,$V1065-4,0)))</f>
        <v/>
      </c>
      <c r="H1065" s="171" t="str">
        <f ca="1">IF(ISERROR($V1065),"",OFFSET('Smelter Look-up'!$G$4,$V1065-4,0))</f>
        <v/>
      </c>
      <c r="I1065" s="172" t="str">
        <f ca="1">IF(ISERROR($V1065),"",OFFSET('Smelter Look-up'!$H$4,$V1065-4,0))</f>
        <v/>
      </c>
      <c r="J1065" s="172" t="str">
        <f ca="1">IF(ISERROR($V1065),"",OFFSET('Smelter Look-up'!$I$4,$V1065-4,0))</f>
        <v/>
      </c>
      <c r="K1065" s="173"/>
      <c r="L1065" s="173"/>
      <c r="M1065" s="173"/>
      <c r="N1065" s="173"/>
      <c r="O1065" s="173"/>
      <c r="P1065" s="174"/>
      <c r="Q1065" s="175"/>
      <c r="R1065" s="168" t="str">
        <f ca="1">IF(ISERROR($V1065),"",OFFSET('Smelter Look-up'!$C$4,$V1065-4,0)&amp;"")</f>
        <v/>
      </c>
      <c r="S1065" s="167" t="str">
        <f t="shared" ca="1" si="102"/>
        <v/>
      </c>
      <c r="T1065" s="167" t="str">
        <f ca="1">IF(B1065="","",IF(ISERROR(MATCH($J1065,SorP!$B$1:$B$6230,0)),"",INDIRECT("'SorP'!$A$"&amp;MATCH($J1065,SorP!$B$1:$B$6230,0))))</f>
        <v/>
      </c>
      <c r="U1065" s="176"/>
      <c r="V1065" s="177" t="e">
        <f>IF(C1065="",NA(),IF(OR(C1065="Smelter not listed",C1065="Smelter not yet identified"),MATCH($B1065&amp;$D1065,'Smelter Look-up'!$J:$J,0),MATCH($B1065&amp;$C1065,'Smelter Look-up'!$J:$J,0)))</f>
        <v>#N/A</v>
      </c>
      <c r="X1065" s="140">
        <f t="shared" ca="1" si="103"/>
        <v>0</v>
      </c>
      <c r="AB1065" s="178" t="str">
        <f t="shared" si="104"/>
        <v/>
      </c>
    </row>
    <row r="1066" spans="1:28" s="140" customFormat="1" ht="20.25">
      <c r="A1066" s="167"/>
      <c r="B1066" s="168" t="str">
        <f>IF(LEN(A1066)=0,"",INDEX('Smelter Look-up'!$A:$A,MATCH($A1066,'Smelter Look-up'!$E:$E,0)))</f>
        <v/>
      </c>
      <c r="C1066" s="169" t="str">
        <f>IF(LEN(A1066)=0,"",INDEX('Smelter Look-up'!$C:$C,MATCH($A1066,'Smelter Look-up'!$E:$E,0)))</f>
        <v/>
      </c>
      <c r="D1066" s="170"/>
      <c r="E1066" s="168" t="str">
        <f ca="1">IF(ISERROR($V1066),"",OFFSET('Smelter Look-up'!$D$4,$V1066-4,0)&amp;"")</f>
        <v/>
      </c>
      <c r="F1066" s="168" t="str">
        <f ca="1">IF(ISERROR($V1066),"",OFFSET('Smelter Look-up'!$E$4,$V1066-4,0))</f>
        <v/>
      </c>
      <c r="G1066" s="168" t="str">
        <f ca="1">IF(C1066=$X$4,IF(ISERROR($V1066),"Enter smelter details","RMI"),IF(ISERROR($V1066),"",OFFSET('Smelter Look-up'!$F$4,$V1066-4,0)))</f>
        <v/>
      </c>
      <c r="H1066" s="171" t="str">
        <f ca="1">IF(ISERROR($V1066),"",OFFSET('Smelter Look-up'!$G$4,$V1066-4,0))</f>
        <v/>
      </c>
      <c r="I1066" s="172" t="str">
        <f ca="1">IF(ISERROR($V1066),"",OFFSET('Smelter Look-up'!$H$4,$V1066-4,0))</f>
        <v/>
      </c>
      <c r="J1066" s="172" t="str">
        <f ca="1">IF(ISERROR($V1066),"",OFFSET('Smelter Look-up'!$I$4,$V1066-4,0))</f>
        <v/>
      </c>
      <c r="K1066" s="173"/>
      <c r="L1066" s="173"/>
      <c r="M1066" s="173"/>
      <c r="N1066" s="173"/>
      <c r="O1066" s="173"/>
      <c r="P1066" s="174"/>
      <c r="Q1066" s="175"/>
      <c r="R1066" s="168" t="str">
        <f ca="1">IF(ISERROR($V1066),"",OFFSET('Smelter Look-up'!$C$4,$V1066-4,0)&amp;"")</f>
        <v/>
      </c>
      <c r="S1066" s="167" t="str">
        <f t="shared" ca="1" si="102"/>
        <v/>
      </c>
      <c r="T1066" s="167" t="str">
        <f ca="1">IF(B1066="","",IF(ISERROR(MATCH($J1066,SorP!$B$1:$B$6230,0)),"",INDIRECT("'SorP'!$A$"&amp;MATCH($J1066,SorP!$B$1:$B$6230,0))))</f>
        <v/>
      </c>
      <c r="U1066" s="176"/>
      <c r="V1066" s="177" t="e">
        <f>IF(C1066="",NA(),IF(OR(C1066="Smelter not listed",C1066="Smelter not yet identified"),MATCH($B1066&amp;$D1066,'Smelter Look-up'!$J:$J,0),MATCH($B1066&amp;$C1066,'Smelter Look-up'!$J:$J,0)))</f>
        <v>#N/A</v>
      </c>
      <c r="X1066" s="140">
        <f t="shared" ca="1" si="103"/>
        <v>0</v>
      </c>
      <c r="AB1066" s="178" t="str">
        <f t="shared" si="104"/>
        <v/>
      </c>
    </row>
    <row r="1067" spans="1:28" s="140" customFormat="1" ht="20.25">
      <c r="A1067" s="167"/>
      <c r="B1067" s="168" t="str">
        <f>IF(LEN(A1067)=0,"",INDEX('Smelter Look-up'!$A:$A,MATCH($A1067,'Smelter Look-up'!$E:$E,0)))</f>
        <v/>
      </c>
      <c r="C1067" s="169" t="str">
        <f>IF(LEN(A1067)=0,"",INDEX('Smelter Look-up'!$C:$C,MATCH($A1067,'Smelter Look-up'!$E:$E,0)))</f>
        <v/>
      </c>
      <c r="D1067" s="170"/>
      <c r="E1067" s="168" t="str">
        <f ca="1">IF(ISERROR($V1067),"",OFFSET('Smelter Look-up'!$D$4,$V1067-4,0)&amp;"")</f>
        <v/>
      </c>
      <c r="F1067" s="168" t="str">
        <f ca="1">IF(ISERROR($V1067),"",OFFSET('Smelter Look-up'!$E$4,$V1067-4,0))</f>
        <v/>
      </c>
      <c r="G1067" s="168" t="str">
        <f ca="1">IF(C1067=$X$4,IF(ISERROR($V1067),"Enter smelter details","RMI"),IF(ISERROR($V1067),"",OFFSET('Smelter Look-up'!$F$4,$V1067-4,0)))</f>
        <v/>
      </c>
      <c r="H1067" s="171" t="str">
        <f ca="1">IF(ISERROR($V1067),"",OFFSET('Smelter Look-up'!$G$4,$V1067-4,0))</f>
        <v/>
      </c>
      <c r="I1067" s="172" t="str">
        <f ca="1">IF(ISERROR($V1067),"",OFFSET('Smelter Look-up'!$H$4,$V1067-4,0))</f>
        <v/>
      </c>
      <c r="J1067" s="172" t="str">
        <f ca="1">IF(ISERROR($V1067),"",OFFSET('Smelter Look-up'!$I$4,$V1067-4,0))</f>
        <v/>
      </c>
      <c r="K1067" s="173"/>
      <c r="L1067" s="173"/>
      <c r="M1067" s="173"/>
      <c r="N1067" s="173"/>
      <c r="O1067" s="173"/>
      <c r="P1067" s="174"/>
      <c r="Q1067" s="175"/>
      <c r="R1067" s="168" t="str">
        <f ca="1">IF(ISERROR($V1067),"",OFFSET('Smelter Look-up'!$C$4,$V1067-4,0)&amp;"")</f>
        <v/>
      </c>
      <c r="S1067" s="167" t="str">
        <f t="shared" ca="1" si="102"/>
        <v/>
      </c>
      <c r="T1067" s="167" t="str">
        <f ca="1">IF(B1067="","",IF(ISERROR(MATCH($J1067,SorP!$B$1:$B$6230,0)),"",INDIRECT("'SorP'!$A$"&amp;MATCH($J1067,SorP!$B$1:$B$6230,0))))</f>
        <v/>
      </c>
      <c r="U1067" s="176"/>
      <c r="V1067" s="177" t="e">
        <f>IF(C1067="",NA(),IF(OR(C1067="Smelter not listed",C1067="Smelter not yet identified"),MATCH($B1067&amp;$D1067,'Smelter Look-up'!$J:$J,0),MATCH($B1067&amp;$C1067,'Smelter Look-up'!$J:$J,0)))</f>
        <v>#N/A</v>
      </c>
      <c r="X1067" s="140">
        <f t="shared" ca="1" si="103"/>
        <v>0</v>
      </c>
      <c r="AB1067" s="178" t="str">
        <f t="shared" si="104"/>
        <v/>
      </c>
    </row>
    <row r="1068" spans="1:28" s="140" customFormat="1" ht="20.25">
      <c r="A1068" s="167"/>
      <c r="B1068" s="168" t="str">
        <f>IF(LEN(A1068)=0,"",INDEX('Smelter Look-up'!$A:$A,MATCH($A1068,'Smelter Look-up'!$E:$E,0)))</f>
        <v/>
      </c>
      <c r="C1068" s="169" t="str">
        <f>IF(LEN(A1068)=0,"",INDEX('Smelter Look-up'!$C:$C,MATCH($A1068,'Smelter Look-up'!$E:$E,0)))</f>
        <v/>
      </c>
      <c r="D1068" s="170"/>
      <c r="E1068" s="168" t="str">
        <f ca="1">IF(ISERROR($V1068),"",OFFSET('Smelter Look-up'!$D$4,$V1068-4,0)&amp;"")</f>
        <v/>
      </c>
      <c r="F1068" s="168" t="str">
        <f ca="1">IF(ISERROR($V1068),"",OFFSET('Smelter Look-up'!$E$4,$V1068-4,0))</f>
        <v/>
      </c>
      <c r="G1068" s="168" t="str">
        <f ca="1">IF(C1068=$X$4,IF(ISERROR($V1068),"Enter smelter details","RMI"),IF(ISERROR($V1068),"",OFFSET('Smelter Look-up'!$F$4,$V1068-4,0)))</f>
        <v/>
      </c>
      <c r="H1068" s="171" t="str">
        <f ca="1">IF(ISERROR($V1068),"",OFFSET('Smelter Look-up'!$G$4,$V1068-4,0))</f>
        <v/>
      </c>
      <c r="I1068" s="172" t="str">
        <f ca="1">IF(ISERROR($V1068),"",OFFSET('Smelter Look-up'!$H$4,$V1068-4,0))</f>
        <v/>
      </c>
      <c r="J1068" s="172" t="str">
        <f ca="1">IF(ISERROR($V1068),"",OFFSET('Smelter Look-up'!$I$4,$V1068-4,0))</f>
        <v/>
      </c>
      <c r="K1068" s="173"/>
      <c r="L1068" s="173"/>
      <c r="M1068" s="173"/>
      <c r="N1068" s="173"/>
      <c r="O1068" s="173"/>
      <c r="P1068" s="174"/>
      <c r="Q1068" s="175"/>
      <c r="R1068" s="168" t="str">
        <f ca="1">IF(ISERROR($V1068),"",OFFSET('Smelter Look-up'!$C$4,$V1068-4,0)&amp;"")</f>
        <v/>
      </c>
      <c r="S1068" s="167" t="str">
        <f t="shared" ca="1" si="102"/>
        <v/>
      </c>
      <c r="T1068" s="167" t="str">
        <f ca="1">IF(B1068="","",IF(ISERROR(MATCH($J1068,SorP!$B$1:$B$6230,0)),"",INDIRECT("'SorP'!$A$"&amp;MATCH($J1068,SorP!$B$1:$B$6230,0))))</f>
        <v/>
      </c>
      <c r="U1068" s="176"/>
      <c r="V1068" s="177" t="e">
        <f>IF(C1068="",NA(),IF(OR(C1068="Smelter not listed",C1068="Smelter not yet identified"),MATCH($B1068&amp;$D1068,'Smelter Look-up'!$J:$J,0),MATCH($B1068&amp;$C1068,'Smelter Look-up'!$J:$J,0)))</f>
        <v>#N/A</v>
      </c>
      <c r="X1068" s="140">
        <f t="shared" ca="1" si="103"/>
        <v>0</v>
      </c>
      <c r="AB1068" s="178" t="str">
        <f t="shared" si="104"/>
        <v/>
      </c>
    </row>
    <row r="1069" spans="1:28" s="140" customFormat="1" ht="20.25">
      <c r="A1069" s="167"/>
      <c r="B1069" s="168" t="str">
        <f>IF(LEN(A1069)=0,"",INDEX('Smelter Look-up'!$A:$A,MATCH($A1069,'Smelter Look-up'!$E:$E,0)))</f>
        <v/>
      </c>
      <c r="C1069" s="169" t="str">
        <f>IF(LEN(A1069)=0,"",INDEX('Smelter Look-up'!$C:$C,MATCH($A1069,'Smelter Look-up'!$E:$E,0)))</f>
        <v/>
      </c>
      <c r="D1069" s="170"/>
      <c r="E1069" s="168" t="str">
        <f ca="1">IF(ISERROR($V1069),"",OFFSET('Smelter Look-up'!$D$4,$V1069-4,0)&amp;"")</f>
        <v/>
      </c>
      <c r="F1069" s="168" t="str">
        <f ca="1">IF(ISERROR($V1069),"",OFFSET('Smelter Look-up'!$E$4,$V1069-4,0))</f>
        <v/>
      </c>
      <c r="G1069" s="168" t="str">
        <f ca="1">IF(C1069=$X$4,IF(ISERROR($V1069),"Enter smelter details","RMI"),IF(ISERROR($V1069),"",OFFSET('Smelter Look-up'!$F$4,$V1069-4,0)))</f>
        <v/>
      </c>
      <c r="H1069" s="171" t="str">
        <f ca="1">IF(ISERROR($V1069),"",OFFSET('Smelter Look-up'!$G$4,$V1069-4,0))</f>
        <v/>
      </c>
      <c r="I1069" s="172" t="str">
        <f ca="1">IF(ISERROR($V1069),"",OFFSET('Smelter Look-up'!$H$4,$V1069-4,0))</f>
        <v/>
      </c>
      <c r="J1069" s="172" t="str">
        <f ca="1">IF(ISERROR($V1069),"",OFFSET('Smelter Look-up'!$I$4,$V1069-4,0))</f>
        <v/>
      </c>
      <c r="K1069" s="173"/>
      <c r="L1069" s="173"/>
      <c r="M1069" s="173"/>
      <c r="N1069" s="173"/>
      <c r="O1069" s="173"/>
      <c r="P1069" s="174"/>
      <c r="Q1069" s="175"/>
      <c r="R1069" s="168" t="str">
        <f ca="1">IF(ISERROR($V1069),"",OFFSET('Smelter Look-up'!$C$4,$V1069-4,0)&amp;"")</f>
        <v/>
      </c>
      <c r="S1069" s="167" t="str">
        <f t="shared" ca="1" si="102"/>
        <v/>
      </c>
      <c r="T1069" s="167" t="str">
        <f ca="1">IF(B1069="","",IF(ISERROR(MATCH($J1069,SorP!$B$1:$B$6230,0)),"",INDIRECT("'SorP'!$A$"&amp;MATCH($J1069,SorP!$B$1:$B$6230,0))))</f>
        <v/>
      </c>
      <c r="U1069" s="176"/>
      <c r="V1069" s="177" t="e">
        <f>IF(C1069="",NA(),IF(OR(C1069="Smelter not listed",C1069="Smelter not yet identified"),MATCH($B1069&amp;$D1069,'Smelter Look-up'!$J:$J,0),MATCH($B1069&amp;$C1069,'Smelter Look-up'!$J:$J,0)))</f>
        <v>#N/A</v>
      </c>
      <c r="X1069" s="140">
        <f t="shared" ca="1" si="103"/>
        <v>0</v>
      </c>
      <c r="AB1069" s="178" t="str">
        <f t="shared" si="104"/>
        <v/>
      </c>
    </row>
    <row r="1070" spans="1:28" s="140" customFormat="1" ht="20.25">
      <c r="A1070" s="167"/>
      <c r="B1070" s="168" t="str">
        <f>IF(LEN(A1070)=0,"",INDEX('Smelter Look-up'!$A:$A,MATCH($A1070,'Smelter Look-up'!$E:$E,0)))</f>
        <v/>
      </c>
      <c r="C1070" s="169" t="str">
        <f>IF(LEN(A1070)=0,"",INDEX('Smelter Look-up'!$C:$C,MATCH($A1070,'Smelter Look-up'!$E:$E,0)))</f>
        <v/>
      </c>
      <c r="D1070" s="170"/>
      <c r="E1070" s="168" t="str">
        <f ca="1">IF(ISERROR($V1070),"",OFFSET('Smelter Look-up'!$D$4,$V1070-4,0)&amp;"")</f>
        <v/>
      </c>
      <c r="F1070" s="168" t="str">
        <f ca="1">IF(ISERROR($V1070),"",OFFSET('Smelter Look-up'!$E$4,$V1070-4,0))</f>
        <v/>
      </c>
      <c r="G1070" s="168" t="str">
        <f ca="1">IF(C1070=$X$4,IF(ISERROR($V1070),"Enter smelter details","RMI"),IF(ISERROR($V1070),"",OFFSET('Smelter Look-up'!$F$4,$V1070-4,0)))</f>
        <v/>
      </c>
      <c r="H1070" s="171" t="str">
        <f ca="1">IF(ISERROR($V1070),"",OFFSET('Smelter Look-up'!$G$4,$V1070-4,0))</f>
        <v/>
      </c>
      <c r="I1070" s="172" t="str">
        <f ca="1">IF(ISERROR($V1070),"",OFFSET('Smelter Look-up'!$H$4,$V1070-4,0))</f>
        <v/>
      </c>
      <c r="J1070" s="172" t="str">
        <f ca="1">IF(ISERROR($V1070),"",OFFSET('Smelter Look-up'!$I$4,$V1070-4,0))</f>
        <v/>
      </c>
      <c r="K1070" s="173"/>
      <c r="L1070" s="173"/>
      <c r="M1070" s="173"/>
      <c r="N1070" s="173"/>
      <c r="O1070" s="173"/>
      <c r="P1070" s="174"/>
      <c r="Q1070" s="175"/>
      <c r="R1070" s="168" t="str">
        <f ca="1">IF(ISERROR($V1070),"",OFFSET('Smelter Look-up'!$C$4,$V1070-4,0)&amp;"")</f>
        <v/>
      </c>
      <c r="S1070" s="167" t="str">
        <f t="shared" ca="1" si="102"/>
        <v/>
      </c>
      <c r="T1070" s="167" t="str">
        <f ca="1">IF(B1070="","",IF(ISERROR(MATCH($J1070,SorP!$B$1:$B$6230,0)),"",INDIRECT("'SorP'!$A$"&amp;MATCH($J1070,SorP!$B$1:$B$6230,0))))</f>
        <v/>
      </c>
      <c r="U1070" s="176"/>
      <c r="V1070" s="177" t="e">
        <f>IF(C1070="",NA(),IF(OR(C1070="Smelter not listed",C1070="Smelter not yet identified"),MATCH($B1070&amp;$D1070,'Smelter Look-up'!$J:$J,0),MATCH($B1070&amp;$C1070,'Smelter Look-up'!$J:$J,0)))</f>
        <v>#N/A</v>
      </c>
      <c r="X1070" s="140">
        <f t="shared" ca="1" si="103"/>
        <v>0</v>
      </c>
      <c r="AB1070" s="178" t="str">
        <f t="shared" si="104"/>
        <v/>
      </c>
    </row>
    <row r="1071" spans="1:28" s="140" customFormat="1" ht="20.25">
      <c r="A1071" s="167"/>
      <c r="B1071" s="168" t="str">
        <f>IF(LEN(A1071)=0,"",INDEX('Smelter Look-up'!$A:$A,MATCH($A1071,'Smelter Look-up'!$E:$E,0)))</f>
        <v/>
      </c>
      <c r="C1071" s="169" t="str">
        <f>IF(LEN(A1071)=0,"",INDEX('Smelter Look-up'!$C:$C,MATCH($A1071,'Smelter Look-up'!$E:$E,0)))</f>
        <v/>
      </c>
      <c r="D1071" s="170"/>
      <c r="E1071" s="168" t="str">
        <f ca="1">IF(ISERROR($V1071),"",OFFSET('Smelter Look-up'!$D$4,$V1071-4,0)&amp;"")</f>
        <v/>
      </c>
      <c r="F1071" s="168" t="str">
        <f ca="1">IF(ISERROR($V1071),"",OFFSET('Smelter Look-up'!$E$4,$V1071-4,0))</f>
        <v/>
      </c>
      <c r="G1071" s="168" t="str">
        <f ca="1">IF(C1071=$X$4,IF(ISERROR($V1071),"Enter smelter details","RMI"),IF(ISERROR($V1071),"",OFFSET('Smelter Look-up'!$F$4,$V1071-4,0)))</f>
        <v/>
      </c>
      <c r="H1071" s="171" t="str">
        <f ca="1">IF(ISERROR($V1071),"",OFFSET('Smelter Look-up'!$G$4,$V1071-4,0))</f>
        <v/>
      </c>
      <c r="I1071" s="172" t="str">
        <f ca="1">IF(ISERROR($V1071),"",OFFSET('Smelter Look-up'!$H$4,$V1071-4,0))</f>
        <v/>
      </c>
      <c r="J1071" s="172" t="str">
        <f ca="1">IF(ISERROR($V1071),"",OFFSET('Smelter Look-up'!$I$4,$V1071-4,0))</f>
        <v/>
      </c>
      <c r="K1071" s="173"/>
      <c r="L1071" s="173"/>
      <c r="M1071" s="173"/>
      <c r="N1071" s="173"/>
      <c r="O1071" s="173"/>
      <c r="P1071" s="174"/>
      <c r="Q1071" s="175"/>
      <c r="R1071" s="168" t="str">
        <f ca="1">IF(ISERROR($V1071),"",OFFSET('Smelter Look-up'!$C$4,$V1071-4,0)&amp;"")</f>
        <v/>
      </c>
      <c r="S1071" s="167" t="str">
        <f t="shared" ca="1" si="102"/>
        <v/>
      </c>
      <c r="T1071" s="167" t="str">
        <f ca="1">IF(B1071="","",IF(ISERROR(MATCH($J1071,SorP!$B$1:$B$6230,0)),"",INDIRECT("'SorP'!$A$"&amp;MATCH($J1071,SorP!$B$1:$B$6230,0))))</f>
        <v/>
      </c>
      <c r="U1071" s="176"/>
      <c r="V1071" s="177" t="e">
        <f>IF(C1071="",NA(),IF(OR(C1071="Smelter not listed",C1071="Smelter not yet identified"),MATCH($B1071&amp;$D1071,'Smelter Look-up'!$J:$J,0),MATCH($B1071&amp;$C1071,'Smelter Look-up'!$J:$J,0)))</f>
        <v>#N/A</v>
      </c>
      <c r="X1071" s="140">
        <f t="shared" ca="1" si="103"/>
        <v>0</v>
      </c>
      <c r="AB1071" s="178" t="str">
        <f t="shared" si="104"/>
        <v/>
      </c>
    </row>
    <row r="1072" spans="1:28" s="140" customFormat="1" ht="20.25">
      <c r="A1072" s="167"/>
      <c r="B1072" s="168" t="str">
        <f>IF(LEN(A1072)=0,"",INDEX('Smelter Look-up'!$A:$A,MATCH($A1072,'Smelter Look-up'!$E:$E,0)))</f>
        <v/>
      </c>
      <c r="C1072" s="169" t="str">
        <f>IF(LEN(A1072)=0,"",INDEX('Smelter Look-up'!$C:$C,MATCH($A1072,'Smelter Look-up'!$E:$E,0)))</f>
        <v/>
      </c>
      <c r="D1072" s="170"/>
      <c r="E1072" s="168" t="str">
        <f ca="1">IF(ISERROR($V1072),"",OFFSET('Smelter Look-up'!$D$4,$V1072-4,0)&amp;"")</f>
        <v/>
      </c>
      <c r="F1072" s="168" t="str">
        <f ca="1">IF(ISERROR($V1072),"",OFFSET('Smelter Look-up'!$E$4,$V1072-4,0))</f>
        <v/>
      </c>
      <c r="G1072" s="168" t="str">
        <f ca="1">IF(C1072=$X$4,IF(ISERROR($V1072),"Enter smelter details","RMI"),IF(ISERROR($V1072),"",OFFSET('Smelter Look-up'!$F$4,$V1072-4,0)))</f>
        <v/>
      </c>
      <c r="H1072" s="171" t="str">
        <f ca="1">IF(ISERROR($V1072),"",OFFSET('Smelter Look-up'!$G$4,$V1072-4,0))</f>
        <v/>
      </c>
      <c r="I1072" s="172" t="str">
        <f ca="1">IF(ISERROR($V1072),"",OFFSET('Smelter Look-up'!$H$4,$V1072-4,0))</f>
        <v/>
      </c>
      <c r="J1072" s="172" t="str">
        <f ca="1">IF(ISERROR($V1072),"",OFFSET('Smelter Look-up'!$I$4,$V1072-4,0))</f>
        <v/>
      </c>
      <c r="K1072" s="173"/>
      <c r="L1072" s="173"/>
      <c r="M1072" s="173"/>
      <c r="N1072" s="173"/>
      <c r="O1072" s="173"/>
      <c r="P1072" s="174"/>
      <c r="Q1072" s="175"/>
      <c r="R1072" s="168" t="str">
        <f ca="1">IF(ISERROR($V1072),"",OFFSET('Smelter Look-up'!$C$4,$V1072-4,0)&amp;"")</f>
        <v/>
      </c>
      <c r="S1072" s="167" t="str">
        <f t="shared" ca="1" si="102"/>
        <v/>
      </c>
      <c r="T1072" s="167" t="str">
        <f ca="1">IF(B1072="","",IF(ISERROR(MATCH($J1072,SorP!$B$1:$B$6230,0)),"",INDIRECT("'SorP'!$A$"&amp;MATCH($J1072,SorP!$B$1:$B$6230,0))))</f>
        <v/>
      </c>
      <c r="U1072" s="176"/>
      <c r="V1072" s="177" t="e">
        <f>IF(C1072="",NA(),IF(OR(C1072="Smelter not listed",C1072="Smelter not yet identified"),MATCH($B1072&amp;$D1072,'Smelter Look-up'!$J:$J,0),MATCH($B1072&amp;$C1072,'Smelter Look-up'!$J:$J,0)))</f>
        <v>#N/A</v>
      </c>
      <c r="X1072" s="140">
        <f t="shared" ca="1" si="103"/>
        <v>0</v>
      </c>
      <c r="AB1072" s="178" t="str">
        <f t="shared" si="104"/>
        <v/>
      </c>
    </row>
    <row r="1073" spans="1:28" s="140" customFormat="1" ht="20.25">
      <c r="A1073" s="167"/>
      <c r="B1073" s="168" t="str">
        <f>IF(LEN(A1073)=0,"",INDEX('Smelter Look-up'!$A:$A,MATCH($A1073,'Smelter Look-up'!$E:$E,0)))</f>
        <v/>
      </c>
      <c r="C1073" s="169" t="str">
        <f>IF(LEN(A1073)=0,"",INDEX('Smelter Look-up'!$C:$C,MATCH($A1073,'Smelter Look-up'!$E:$E,0)))</f>
        <v/>
      </c>
      <c r="D1073" s="170"/>
      <c r="E1073" s="168" t="str">
        <f ca="1">IF(ISERROR($V1073),"",OFFSET('Smelter Look-up'!$D$4,$V1073-4,0)&amp;"")</f>
        <v/>
      </c>
      <c r="F1073" s="168" t="str">
        <f ca="1">IF(ISERROR($V1073),"",OFFSET('Smelter Look-up'!$E$4,$V1073-4,0))</f>
        <v/>
      </c>
      <c r="G1073" s="168" t="str">
        <f ca="1">IF(C1073=$X$4,IF(ISERROR($V1073),"Enter smelter details","RMI"),IF(ISERROR($V1073),"",OFFSET('Smelter Look-up'!$F$4,$V1073-4,0)))</f>
        <v/>
      </c>
      <c r="H1073" s="171" t="str">
        <f ca="1">IF(ISERROR($V1073),"",OFFSET('Smelter Look-up'!$G$4,$V1073-4,0))</f>
        <v/>
      </c>
      <c r="I1073" s="172" t="str">
        <f ca="1">IF(ISERROR($V1073),"",OFFSET('Smelter Look-up'!$H$4,$V1073-4,0))</f>
        <v/>
      </c>
      <c r="J1073" s="172" t="str">
        <f ca="1">IF(ISERROR($V1073),"",OFFSET('Smelter Look-up'!$I$4,$V1073-4,0))</f>
        <v/>
      </c>
      <c r="K1073" s="173"/>
      <c r="L1073" s="173"/>
      <c r="M1073" s="173"/>
      <c r="N1073" s="173"/>
      <c r="O1073" s="173"/>
      <c r="P1073" s="174"/>
      <c r="Q1073" s="175"/>
      <c r="R1073" s="168" t="str">
        <f ca="1">IF(ISERROR($V1073),"",OFFSET('Smelter Look-up'!$C$4,$V1073-4,0)&amp;"")</f>
        <v/>
      </c>
      <c r="S1073" s="167" t="str">
        <f t="shared" ca="1" si="102"/>
        <v/>
      </c>
      <c r="T1073" s="167" t="str">
        <f ca="1">IF(B1073="","",IF(ISERROR(MATCH($J1073,SorP!$B$1:$B$6230,0)),"",INDIRECT("'SorP'!$A$"&amp;MATCH($J1073,SorP!$B$1:$B$6230,0))))</f>
        <v/>
      </c>
      <c r="U1073" s="176"/>
      <c r="V1073" s="177" t="e">
        <f>IF(C1073="",NA(),IF(OR(C1073="Smelter not listed",C1073="Smelter not yet identified"),MATCH($B1073&amp;$D1073,'Smelter Look-up'!$J:$J,0),MATCH($B1073&amp;$C1073,'Smelter Look-up'!$J:$J,0)))</f>
        <v>#N/A</v>
      </c>
      <c r="X1073" s="140">
        <f t="shared" ca="1" si="103"/>
        <v>0</v>
      </c>
      <c r="AB1073" s="178" t="str">
        <f t="shared" si="104"/>
        <v/>
      </c>
    </row>
    <row r="1074" spans="1:28" s="140" customFormat="1" ht="20.25">
      <c r="A1074" s="167"/>
      <c r="B1074" s="168" t="str">
        <f>IF(LEN(A1074)=0,"",INDEX('Smelter Look-up'!$A:$A,MATCH($A1074,'Smelter Look-up'!$E:$E,0)))</f>
        <v/>
      </c>
      <c r="C1074" s="169" t="str">
        <f>IF(LEN(A1074)=0,"",INDEX('Smelter Look-up'!$C:$C,MATCH($A1074,'Smelter Look-up'!$E:$E,0)))</f>
        <v/>
      </c>
      <c r="D1074" s="170"/>
      <c r="E1074" s="168" t="str">
        <f ca="1">IF(ISERROR($V1074),"",OFFSET('Smelter Look-up'!$D$4,$V1074-4,0)&amp;"")</f>
        <v/>
      </c>
      <c r="F1074" s="168" t="str">
        <f ca="1">IF(ISERROR($V1074),"",OFFSET('Smelter Look-up'!$E$4,$V1074-4,0))</f>
        <v/>
      </c>
      <c r="G1074" s="168" t="str">
        <f ca="1">IF(C1074=$X$4,IF(ISERROR($V1074),"Enter smelter details","RMI"),IF(ISERROR($V1074),"",OFFSET('Smelter Look-up'!$F$4,$V1074-4,0)))</f>
        <v/>
      </c>
      <c r="H1074" s="171" t="str">
        <f ca="1">IF(ISERROR($V1074),"",OFFSET('Smelter Look-up'!$G$4,$V1074-4,0))</f>
        <v/>
      </c>
      <c r="I1074" s="172" t="str">
        <f ca="1">IF(ISERROR($V1074),"",OFFSET('Smelter Look-up'!$H$4,$V1074-4,0))</f>
        <v/>
      </c>
      <c r="J1074" s="172" t="str">
        <f ca="1">IF(ISERROR($V1074),"",OFFSET('Smelter Look-up'!$I$4,$V1074-4,0))</f>
        <v/>
      </c>
      <c r="K1074" s="173"/>
      <c r="L1074" s="173"/>
      <c r="M1074" s="173"/>
      <c r="N1074" s="173"/>
      <c r="O1074" s="173"/>
      <c r="P1074" s="174"/>
      <c r="Q1074" s="175"/>
      <c r="R1074" s="168" t="str">
        <f ca="1">IF(ISERROR($V1074),"",OFFSET('Smelter Look-up'!$C$4,$V1074-4,0)&amp;"")</f>
        <v/>
      </c>
      <c r="S1074" s="167" t="str">
        <f t="shared" ca="1" si="102"/>
        <v/>
      </c>
      <c r="T1074" s="167" t="str">
        <f ca="1">IF(B1074="","",IF(ISERROR(MATCH($J1074,SorP!$B$1:$B$6230,0)),"",INDIRECT("'SorP'!$A$"&amp;MATCH($J1074,SorP!$B$1:$B$6230,0))))</f>
        <v/>
      </c>
      <c r="U1074" s="176"/>
      <c r="V1074" s="177" t="e">
        <f>IF(C1074="",NA(),IF(OR(C1074="Smelter not listed",C1074="Smelter not yet identified"),MATCH($B1074&amp;$D1074,'Smelter Look-up'!$J:$J,0),MATCH($B1074&amp;$C1074,'Smelter Look-up'!$J:$J,0)))</f>
        <v>#N/A</v>
      </c>
      <c r="X1074" s="140">
        <f t="shared" ca="1" si="103"/>
        <v>0</v>
      </c>
      <c r="AB1074" s="178" t="str">
        <f t="shared" si="104"/>
        <v/>
      </c>
    </row>
    <row r="1075" spans="1:28" s="140" customFormat="1" ht="20.25">
      <c r="A1075" s="167"/>
      <c r="B1075" s="168" t="str">
        <f>IF(LEN(A1075)=0,"",INDEX('Smelter Look-up'!$A:$A,MATCH($A1075,'Smelter Look-up'!$E:$E,0)))</f>
        <v/>
      </c>
      <c r="C1075" s="169" t="str">
        <f>IF(LEN(A1075)=0,"",INDEX('Smelter Look-up'!$C:$C,MATCH($A1075,'Smelter Look-up'!$E:$E,0)))</f>
        <v/>
      </c>
      <c r="D1075" s="170"/>
      <c r="E1075" s="168" t="str">
        <f ca="1">IF(ISERROR($V1075),"",OFFSET('Smelter Look-up'!$D$4,$V1075-4,0)&amp;"")</f>
        <v/>
      </c>
      <c r="F1075" s="168" t="str">
        <f ca="1">IF(ISERROR($V1075),"",OFFSET('Smelter Look-up'!$E$4,$V1075-4,0))</f>
        <v/>
      </c>
      <c r="G1075" s="168" t="str">
        <f ca="1">IF(C1075=$X$4,IF(ISERROR($V1075),"Enter smelter details","RMI"),IF(ISERROR($V1075),"",OFFSET('Smelter Look-up'!$F$4,$V1075-4,0)))</f>
        <v/>
      </c>
      <c r="H1075" s="171" t="str">
        <f ca="1">IF(ISERROR($V1075),"",OFFSET('Smelter Look-up'!$G$4,$V1075-4,0))</f>
        <v/>
      </c>
      <c r="I1075" s="172" t="str">
        <f ca="1">IF(ISERROR($V1075),"",OFFSET('Smelter Look-up'!$H$4,$V1075-4,0))</f>
        <v/>
      </c>
      <c r="J1075" s="172" t="str">
        <f ca="1">IF(ISERROR($V1075),"",OFFSET('Smelter Look-up'!$I$4,$V1075-4,0))</f>
        <v/>
      </c>
      <c r="K1075" s="173"/>
      <c r="L1075" s="173"/>
      <c r="M1075" s="173"/>
      <c r="N1075" s="173"/>
      <c r="O1075" s="173"/>
      <c r="P1075" s="174"/>
      <c r="Q1075" s="175"/>
      <c r="R1075" s="168" t="str">
        <f ca="1">IF(ISERROR($V1075),"",OFFSET('Smelter Look-up'!$C$4,$V1075-4,0)&amp;"")</f>
        <v/>
      </c>
      <c r="S1075" s="167" t="str">
        <f t="shared" ca="1" si="102"/>
        <v/>
      </c>
      <c r="T1075" s="167" t="str">
        <f ca="1">IF(B1075="","",IF(ISERROR(MATCH($J1075,SorP!$B$1:$B$6230,0)),"",INDIRECT("'SorP'!$A$"&amp;MATCH($J1075,SorP!$B$1:$B$6230,0))))</f>
        <v/>
      </c>
      <c r="U1075" s="176"/>
      <c r="V1075" s="177" t="e">
        <f>IF(C1075="",NA(),IF(OR(C1075="Smelter not listed",C1075="Smelter not yet identified"),MATCH($B1075&amp;$D1075,'Smelter Look-up'!$J:$J,0),MATCH($B1075&amp;$C1075,'Smelter Look-up'!$J:$J,0)))</f>
        <v>#N/A</v>
      </c>
      <c r="X1075" s="140">
        <f t="shared" ca="1" si="103"/>
        <v>0</v>
      </c>
      <c r="AB1075" s="178" t="str">
        <f t="shared" si="104"/>
        <v/>
      </c>
    </row>
    <row r="1076" spans="1:28" s="140" customFormat="1" ht="20.25">
      <c r="A1076" s="167"/>
      <c r="B1076" s="168" t="str">
        <f>IF(LEN(A1076)=0,"",INDEX('Smelter Look-up'!$A:$A,MATCH($A1076,'Smelter Look-up'!$E:$E,0)))</f>
        <v/>
      </c>
      <c r="C1076" s="169" t="str">
        <f>IF(LEN(A1076)=0,"",INDEX('Smelter Look-up'!$C:$C,MATCH($A1076,'Smelter Look-up'!$E:$E,0)))</f>
        <v/>
      </c>
      <c r="D1076" s="170"/>
      <c r="E1076" s="168" t="str">
        <f ca="1">IF(ISERROR($V1076),"",OFFSET('Smelter Look-up'!$D$4,$V1076-4,0)&amp;"")</f>
        <v/>
      </c>
      <c r="F1076" s="168" t="str">
        <f ca="1">IF(ISERROR($V1076),"",OFFSET('Smelter Look-up'!$E$4,$V1076-4,0))</f>
        <v/>
      </c>
      <c r="G1076" s="168" t="str">
        <f ca="1">IF(C1076=$X$4,IF(ISERROR($V1076),"Enter smelter details","RMI"),IF(ISERROR($V1076),"",OFFSET('Smelter Look-up'!$F$4,$V1076-4,0)))</f>
        <v/>
      </c>
      <c r="H1076" s="171" t="str">
        <f ca="1">IF(ISERROR($V1076),"",OFFSET('Smelter Look-up'!$G$4,$V1076-4,0))</f>
        <v/>
      </c>
      <c r="I1076" s="172" t="str">
        <f ca="1">IF(ISERROR($V1076),"",OFFSET('Smelter Look-up'!$H$4,$V1076-4,0))</f>
        <v/>
      </c>
      <c r="J1076" s="172" t="str">
        <f ca="1">IF(ISERROR($V1076),"",OFFSET('Smelter Look-up'!$I$4,$V1076-4,0))</f>
        <v/>
      </c>
      <c r="K1076" s="173"/>
      <c r="L1076" s="173"/>
      <c r="M1076" s="173"/>
      <c r="N1076" s="173"/>
      <c r="O1076" s="173"/>
      <c r="P1076" s="174"/>
      <c r="Q1076" s="175"/>
      <c r="R1076" s="168" t="str">
        <f ca="1">IF(ISERROR($V1076),"",OFFSET('Smelter Look-up'!$C$4,$V1076-4,0)&amp;"")</f>
        <v/>
      </c>
      <c r="S1076" s="167" t="str">
        <f t="shared" ca="1" si="102"/>
        <v/>
      </c>
      <c r="T1076" s="167" t="str">
        <f ca="1">IF(B1076="","",IF(ISERROR(MATCH($J1076,SorP!$B$1:$B$6230,0)),"",INDIRECT("'SorP'!$A$"&amp;MATCH($J1076,SorP!$B$1:$B$6230,0))))</f>
        <v/>
      </c>
      <c r="U1076" s="176"/>
      <c r="V1076" s="177" t="e">
        <f>IF(C1076="",NA(),IF(OR(C1076="Smelter not listed",C1076="Smelter not yet identified"),MATCH($B1076&amp;$D1076,'Smelter Look-up'!$J:$J,0),MATCH($B1076&amp;$C1076,'Smelter Look-up'!$J:$J,0)))</f>
        <v>#N/A</v>
      </c>
      <c r="X1076" s="140">
        <f t="shared" ca="1" si="103"/>
        <v>0</v>
      </c>
      <c r="AB1076" s="178" t="str">
        <f t="shared" si="104"/>
        <v/>
      </c>
    </row>
    <row r="1077" spans="1:28" s="140" customFormat="1" ht="20.25">
      <c r="A1077" s="167"/>
      <c r="B1077" s="168" t="str">
        <f>IF(LEN(A1077)=0,"",INDEX('Smelter Look-up'!$A:$A,MATCH($A1077,'Smelter Look-up'!$E:$E,0)))</f>
        <v/>
      </c>
      <c r="C1077" s="169" t="str">
        <f>IF(LEN(A1077)=0,"",INDEX('Smelter Look-up'!$C:$C,MATCH($A1077,'Smelter Look-up'!$E:$E,0)))</f>
        <v/>
      </c>
      <c r="D1077" s="170"/>
      <c r="E1077" s="168" t="str">
        <f ca="1">IF(ISERROR($V1077),"",OFFSET('Smelter Look-up'!$D$4,$V1077-4,0)&amp;"")</f>
        <v/>
      </c>
      <c r="F1077" s="168" t="str">
        <f ca="1">IF(ISERROR($V1077),"",OFFSET('Smelter Look-up'!$E$4,$V1077-4,0))</f>
        <v/>
      </c>
      <c r="G1077" s="168" t="str">
        <f ca="1">IF(C1077=$X$4,IF(ISERROR($V1077),"Enter smelter details","RMI"),IF(ISERROR($V1077),"",OFFSET('Smelter Look-up'!$F$4,$V1077-4,0)))</f>
        <v/>
      </c>
      <c r="H1077" s="171" t="str">
        <f ca="1">IF(ISERROR($V1077),"",OFFSET('Smelter Look-up'!$G$4,$V1077-4,0))</f>
        <v/>
      </c>
      <c r="I1077" s="172" t="str">
        <f ca="1">IF(ISERROR($V1077),"",OFFSET('Smelter Look-up'!$H$4,$V1077-4,0))</f>
        <v/>
      </c>
      <c r="J1077" s="172" t="str">
        <f ca="1">IF(ISERROR($V1077),"",OFFSET('Smelter Look-up'!$I$4,$V1077-4,0))</f>
        <v/>
      </c>
      <c r="K1077" s="173"/>
      <c r="L1077" s="173"/>
      <c r="M1077" s="173"/>
      <c r="N1077" s="173"/>
      <c r="O1077" s="173"/>
      <c r="P1077" s="174"/>
      <c r="Q1077" s="175"/>
      <c r="R1077" s="168" t="str">
        <f ca="1">IF(ISERROR($V1077),"",OFFSET('Smelter Look-up'!$C$4,$V1077-4,0)&amp;"")</f>
        <v/>
      </c>
      <c r="S1077" s="167" t="str">
        <f t="shared" ca="1" si="102"/>
        <v/>
      </c>
      <c r="T1077" s="167" t="str">
        <f ca="1">IF(B1077="","",IF(ISERROR(MATCH($J1077,SorP!$B$1:$B$6230,0)),"",INDIRECT("'SorP'!$A$"&amp;MATCH($J1077,SorP!$B$1:$B$6230,0))))</f>
        <v/>
      </c>
      <c r="U1077" s="176"/>
      <c r="V1077" s="177" t="e">
        <f>IF(C1077="",NA(),IF(OR(C1077="Smelter not listed",C1077="Smelter not yet identified"),MATCH($B1077&amp;$D1077,'Smelter Look-up'!$J:$J,0),MATCH($B1077&amp;$C1077,'Smelter Look-up'!$J:$J,0)))</f>
        <v>#N/A</v>
      </c>
      <c r="X1077" s="140">
        <f t="shared" ca="1" si="103"/>
        <v>0</v>
      </c>
      <c r="AB1077" s="178" t="str">
        <f t="shared" si="104"/>
        <v/>
      </c>
    </row>
    <row r="1078" spans="1:28" s="140" customFormat="1" ht="20.25">
      <c r="A1078" s="167"/>
      <c r="B1078" s="168" t="str">
        <f>IF(LEN(A1078)=0,"",INDEX('Smelter Look-up'!$A:$A,MATCH($A1078,'Smelter Look-up'!$E:$E,0)))</f>
        <v/>
      </c>
      <c r="C1078" s="169" t="str">
        <f>IF(LEN(A1078)=0,"",INDEX('Smelter Look-up'!$C:$C,MATCH($A1078,'Smelter Look-up'!$E:$E,0)))</f>
        <v/>
      </c>
      <c r="D1078" s="170"/>
      <c r="E1078" s="168" t="str">
        <f ca="1">IF(ISERROR($V1078),"",OFFSET('Smelter Look-up'!$D$4,$V1078-4,0)&amp;"")</f>
        <v/>
      </c>
      <c r="F1078" s="168" t="str">
        <f ca="1">IF(ISERROR($V1078),"",OFFSET('Smelter Look-up'!$E$4,$V1078-4,0))</f>
        <v/>
      </c>
      <c r="G1078" s="168" t="str">
        <f ca="1">IF(C1078=$X$4,IF(ISERROR($V1078),"Enter smelter details","RMI"),IF(ISERROR($V1078),"",OFFSET('Smelter Look-up'!$F$4,$V1078-4,0)))</f>
        <v/>
      </c>
      <c r="H1078" s="171" t="str">
        <f ca="1">IF(ISERROR($V1078),"",OFFSET('Smelter Look-up'!$G$4,$V1078-4,0))</f>
        <v/>
      </c>
      <c r="I1078" s="172" t="str">
        <f ca="1">IF(ISERROR($V1078),"",OFFSET('Smelter Look-up'!$H$4,$V1078-4,0))</f>
        <v/>
      </c>
      <c r="J1078" s="172" t="str">
        <f ca="1">IF(ISERROR($V1078),"",OFFSET('Smelter Look-up'!$I$4,$V1078-4,0))</f>
        <v/>
      </c>
      <c r="K1078" s="173"/>
      <c r="L1078" s="173"/>
      <c r="M1078" s="173"/>
      <c r="N1078" s="173"/>
      <c r="O1078" s="173"/>
      <c r="P1078" s="174"/>
      <c r="Q1078" s="175"/>
      <c r="R1078" s="168" t="str">
        <f ca="1">IF(ISERROR($V1078),"",OFFSET('Smelter Look-up'!$C$4,$V1078-4,0)&amp;"")</f>
        <v/>
      </c>
      <c r="S1078" s="167" t="str">
        <f t="shared" ca="1" si="102"/>
        <v/>
      </c>
      <c r="T1078" s="167" t="str">
        <f ca="1">IF(B1078="","",IF(ISERROR(MATCH($J1078,SorP!$B$1:$B$6230,0)),"",INDIRECT("'SorP'!$A$"&amp;MATCH($J1078,SorP!$B$1:$B$6230,0))))</f>
        <v/>
      </c>
      <c r="U1078" s="176"/>
      <c r="V1078" s="177" t="e">
        <f>IF(C1078="",NA(),IF(OR(C1078="Smelter not listed",C1078="Smelter not yet identified"),MATCH($B1078&amp;$D1078,'Smelter Look-up'!$J:$J,0),MATCH($B1078&amp;$C1078,'Smelter Look-up'!$J:$J,0)))</f>
        <v>#N/A</v>
      </c>
      <c r="X1078" s="140">
        <f t="shared" ca="1" si="103"/>
        <v>0</v>
      </c>
      <c r="AB1078" s="178" t="str">
        <f t="shared" si="104"/>
        <v/>
      </c>
    </row>
    <row r="1079" spans="1:28" s="140" customFormat="1" ht="20.25">
      <c r="A1079" s="167"/>
      <c r="B1079" s="168" t="str">
        <f>IF(LEN(A1079)=0,"",INDEX('Smelter Look-up'!$A:$A,MATCH($A1079,'Smelter Look-up'!$E:$E,0)))</f>
        <v/>
      </c>
      <c r="C1079" s="169" t="str">
        <f>IF(LEN(A1079)=0,"",INDEX('Smelter Look-up'!$C:$C,MATCH($A1079,'Smelter Look-up'!$E:$E,0)))</f>
        <v/>
      </c>
      <c r="D1079" s="170"/>
      <c r="E1079" s="168" t="str">
        <f ca="1">IF(ISERROR($V1079),"",OFFSET('Smelter Look-up'!$D$4,$V1079-4,0)&amp;"")</f>
        <v/>
      </c>
      <c r="F1079" s="168" t="str">
        <f ca="1">IF(ISERROR($V1079),"",OFFSET('Smelter Look-up'!$E$4,$V1079-4,0))</f>
        <v/>
      </c>
      <c r="G1079" s="168" t="str">
        <f ca="1">IF(C1079=$X$4,IF(ISERROR($V1079),"Enter smelter details","RMI"),IF(ISERROR($V1079),"",OFFSET('Smelter Look-up'!$F$4,$V1079-4,0)))</f>
        <v/>
      </c>
      <c r="H1079" s="171" t="str">
        <f ca="1">IF(ISERROR($V1079),"",OFFSET('Smelter Look-up'!$G$4,$V1079-4,0))</f>
        <v/>
      </c>
      <c r="I1079" s="172" t="str">
        <f ca="1">IF(ISERROR($V1079),"",OFFSET('Smelter Look-up'!$H$4,$V1079-4,0))</f>
        <v/>
      </c>
      <c r="J1079" s="172" t="str">
        <f ca="1">IF(ISERROR($V1079),"",OFFSET('Smelter Look-up'!$I$4,$V1079-4,0))</f>
        <v/>
      </c>
      <c r="K1079" s="173"/>
      <c r="L1079" s="173"/>
      <c r="M1079" s="173"/>
      <c r="N1079" s="173"/>
      <c r="O1079" s="173"/>
      <c r="P1079" s="174"/>
      <c r="Q1079" s="175"/>
      <c r="R1079" s="168" t="str">
        <f ca="1">IF(ISERROR($V1079),"",OFFSET('Smelter Look-up'!$C$4,$V1079-4,0)&amp;"")</f>
        <v/>
      </c>
      <c r="S1079" s="167" t="str">
        <f t="shared" ca="1" si="102"/>
        <v/>
      </c>
      <c r="T1079" s="167" t="str">
        <f ca="1">IF(B1079="","",IF(ISERROR(MATCH($J1079,SorP!$B$1:$B$6230,0)),"",INDIRECT("'SorP'!$A$"&amp;MATCH($J1079,SorP!$B$1:$B$6230,0))))</f>
        <v/>
      </c>
      <c r="U1079" s="176"/>
      <c r="V1079" s="177" t="e">
        <f>IF(C1079="",NA(),IF(OR(C1079="Smelter not listed",C1079="Smelter not yet identified"),MATCH($B1079&amp;$D1079,'Smelter Look-up'!$J:$J,0),MATCH($B1079&amp;$C1079,'Smelter Look-up'!$J:$J,0)))</f>
        <v>#N/A</v>
      </c>
      <c r="X1079" s="140">
        <f t="shared" ca="1" si="103"/>
        <v>0</v>
      </c>
      <c r="AB1079" s="178" t="str">
        <f t="shared" si="104"/>
        <v/>
      </c>
    </row>
    <row r="1080" spans="1:28" s="140" customFormat="1" ht="20.25">
      <c r="A1080" s="167"/>
      <c r="B1080" s="168" t="str">
        <f>IF(LEN(A1080)=0,"",INDEX('Smelter Look-up'!$A:$A,MATCH($A1080,'Smelter Look-up'!$E:$E,0)))</f>
        <v/>
      </c>
      <c r="C1080" s="169" t="str">
        <f>IF(LEN(A1080)=0,"",INDEX('Smelter Look-up'!$C:$C,MATCH($A1080,'Smelter Look-up'!$E:$E,0)))</f>
        <v/>
      </c>
      <c r="D1080" s="170"/>
      <c r="E1080" s="168" t="str">
        <f ca="1">IF(ISERROR($V1080),"",OFFSET('Smelter Look-up'!$D$4,$V1080-4,0)&amp;"")</f>
        <v/>
      </c>
      <c r="F1080" s="168" t="str">
        <f ca="1">IF(ISERROR($V1080),"",OFFSET('Smelter Look-up'!$E$4,$V1080-4,0))</f>
        <v/>
      </c>
      <c r="G1080" s="168" t="str">
        <f ca="1">IF(C1080=$X$4,IF(ISERROR($V1080),"Enter smelter details","RMI"),IF(ISERROR($V1080),"",OFFSET('Smelter Look-up'!$F$4,$V1080-4,0)))</f>
        <v/>
      </c>
      <c r="H1080" s="171" t="str">
        <f ca="1">IF(ISERROR($V1080),"",OFFSET('Smelter Look-up'!$G$4,$V1080-4,0))</f>
        <v/>
      </c>
      <c r="I1080" s="172" t="str">
        <f ca="1">IF(ISERROR($V1080),"",OFFSET('Smelter Look-up'!$H$4,$V1080-4,0))</f>
        <v/>
      </c>
      <c r="J1080" s="172" t="str">
        <f ca="1">IF(ISERROR($V1080),"",OFFSET('Smelter Look-up'!$I$4,$V1080-4,0))</f>
        <v/>
      </c>
      <c r="K1080" s="173"/>
      <c r="L1080" s="173"/>
      <c r="M1080" s="173"/>
      <c r="N1080" s="173"/>
      <c r="O1080" s="173"/>
      <c r="P1080" s="174"/>
      <c r="Q1080" s="175"/>
      <c r="R1080" s="168" t="str">
        <f ca="1">IF(ISERROR($V1080),"",OFFSET('Smelter Look-up'!$C$4,$V1080-4,0)&amp;"")</f>
        <v/>
      </c>
      <c r="S1080" s="167" t="str">
        <f t="shared" ca="1" si="102"/>
        <v/>
      </c>
      <c r="T1080" s="167" t="str">
        <f ca="1">IF(B1080="","",IF(ISERROR(MATCH($J1080,SorP!$B$1:$B$6230,0)),"",INDIRECT("'SorP'!$A$"&amp;MATCH($J1080,SorP!$B$1:$B$6230,0))))</f>
        <v/>
      </c>
      <c r="U1080" s="176"/>
      <c r="V1080" s="177" t="e">
        <f>IF(C1080="",NA(),IF(OR(C1080="Smelter not listed",C1080="Smelter not yet identified"),MATCH($B1080&amp;$D1080,'Smelter Look-up'!$J:$J,0),MATCH($B1080&amp;$C1080,'Smelter Look-up'!$J:$J,0)))</f>
        <v>#N/A</v>
      </c>
      <c r="X1080" s="140">
        <f t="shared" ca="1" si="103"/>
        <v>0</v>
      </c>
      <c r="AB1080" s="178" t="str">
        <f t="shared" si="104"/>
        <v/>
      </c>
    </row>
    <row r="1081" spans="1:28" s="140" customFormat="1" ht="20.25">
      <c r="A1081" s="167"/>
      <c r="B1081" s="168" t="str">
        <f>IF(LEN(A1081)=0,"",INDEX('Smelter Look-up'!$A:$A,MATCH($A1081,'Smelter Look-up'!$E:$E,0)))</f>
        <v/>
      </c>
      <c r="C1081" s="169" t="str">
        <f>IF(LEN(A1081)=0,"",INDEX('Smelter Look-up'!$C:$C,MATCH($A1081,'Smelter Look-up'!$E:$E,0)))</f>
        <v/>
      </c>
      <c r="D1081" s="170"/>
      <c r="E1081" s="168" t="str">
        <f ca="1">IF(ISERROR($V1081),"",OFFSET('Smelter Look-up'!$D$4,$V1081-4,0)&amp;"")</f>
        <v/>
      </c>
      <c r="F1081" s="168" t="str">
        <f ca="1">IF(ISERROR($V1081),"",OFFSET('Smelter Look-up'!$E$4,$V1081-4,0))</f>
        <v/>
      </c>
      <c r="G1081" s="168" t="str">
        <f ca="1">IF(C1081=$X$4,IF(ISERROR($V1081),"Enter smelter details","RMI"),IF(ISERROR($V1081),"",OFFSET('Smelter Look-up'!$F$4,$V1081-4,0)))</f>
        <v/>
      </c>
      <c r="H1081" s="171" t="str">
        <f ca="1">IF(ISERROR($V1081),"",OFFSET('Smelter Look-up'!$G$4,$V1081-4,0))</f>
        <v/>
      </c>
      <c r="I1081" s="172" t="str">
        <f ca="1">IF(ISERROR($V1081),"",OFFSET('Smelter Look-up'!$H$4,$V1081-4,0))</f>
        <v/>
      </c>
      <c r="J1081" s="172" t="str">
        <f ca="1">IF(ISERROR($V1081),"",OFFSET('Smelter Look-up'!$I$4,$V1081-4,0))</f>
        <v/>
      </c>
      <c r="K1081" s="173"/>
      <c r="L1081" s="173"/>
      <c r="M1081" s="173"/>
      <c r="N1081" s="173"/>
      <c r="O1081" s="173"/>
      <c r="P1081" s="174"/>
      <c r="Q1081" s="175"/>
      <c r="R1081" s="168" t="str">
        <f ca="1">IF(ISERROR($V1081),"",OFFSET('Smelter Look-up'!$C$4,$V1081-4,0)&amp;"")</f>
        <v/>
      </c>
      <c r="S1081" s="167" t="str">
        <f t="shared" ca="1" si="102"/>
        <v/>
      </c>
      <c r="T1081" s="167" t="str">
        <f ca="1">IF(B1081="","",IF(ISERROR(MATCH($J1081,SorP!$B$1:$B$6230,0)),"",INDIRECT("'SorP'!$A$"&amp;MATCH($J1081,SorP!$B$1:$B$6230,0))))</f>
        <v/>
      </c>
      <c r="U1081" s="176"/>
      <c r="V1081" s="177" t="e">
        <f>IF(C1081="",NA(),IF(OR(C1081="Smelter not listed",C1081="Smelter not yet identified"),MATCH($B1081&amp;$D1081,'Smelter Look-up'!$J:$J,0),MATCH($B1081&amp;$C1081,'Smelter Look-up'!$J:$J,0)))</f>
        <v>#N/A</v>
      </c>
      <c r="X1081" s="140">
        <f t="shared" ca="1" si="103"/>
        <v>0</v>
      </c>
      <c r="AB1081" s="178" t="str">
        <f t="shared" si="104"/>
        <v/>
      </c>
    </row>
    <row r="1082" spans="1:28" s="140" customFormat="1" ht="20.25">
      <c r="A1082" s="167"/>
      <c r="B1082" s="168" t="str">
        <f>IF(LEN(A1082)=0,"",INDEX('Smelter Look-up'!$A:$A,MATCH($A1082,'Smelter Look-up'!$E:$E,0)))</f>
        <v/>
      </c>
      <c r="C1082" s="169" t="str">
        <f>IF(LEN(A1082)=0,"",INDEX('Smelter Look-up'!$C:$C,MATCH($A1082,'Smelter Look-up'!$E:$E,0)))</f>
        <v/>
      </c>
      <c r="D1082" s="170"/>
      <c r="E1082" s="168" t="str">
        <f ca="1">IF(ISERROR($V1082),"",OFFSET('Smelter Look-up'!$D$4,$V1082-4,0)&amp;"")</f>
        <v/>
      </c>
      <c r="F1082" s="168" t="str">
        <f ca="1">IF(ISERROR($V1082),"",OFFSET('Smelter Look-up'!$E$4,$V1082-4,0))</f>
        <v/>
      </c>
      <c r="G1082" s="168" t="str">
        <f ca="1">IF(C1082=$X$4,IF(ISERROR($V1082),"Enter smelter details","RMI"),IF(ISERROR($V1082),"",OFFSET('Smelter Look-up'!$F$4,$V1082-4,0)))</f>
        <v/>
      </c>
      <c r="H1082" s="171" t="str">
        <f ca="1">IF(ISERROR($V1082),"",OFFSET('Smelter Look-up'!$G$4,$V1082-4,0))</f>
        <v/>
      </c>
      <c r="I1082" s="172" t="str">
        <f ca="1">IF(ISERROR($V1082),"",OFFSET('Smelter Look-up'!$H$4,$V1082-4,0))</f>
        <v/>
      </c>
      <c r="J1082" s="172" t="str">
        <f ca="1">IF(ISERROR($V1082),"",OFFSET('Smelter Look-up'!$I$4,$V1082-4,0))</f>
        <v/>
      </c>
      <c r="K1082" s="173"/>
      <c r="L1082" s="173"/>
      <c r="M1082" s="173"/>
      <c r="N1082" s="173"/>
      <c r="O1082" s="173"/>
      <c r="P1082" s="174"/>
      <c r="Q1082" s="175"/>
      <c r="R1082" s="168" t="str">
        <f ca="1">IF(ISERROR($V1082),"",OFFSET('Smelter Look-up'!$C$4,$V1082-4,0)&amp;"")</f>
        <v/>
      </c>
      <c r="S1082" s="167" t="str">
        <f t="shared" ca="1" si="102"/>
        <v/>
      </c>
      <c r="T1082" s="167" t="str">
        <f ca="1">IF(B1082="","",IF(ISERROR(MATCH($J1082,SorP!$B$1:$B$6230,0)),"",INDIRECT("'SorP'!$A$"&amp;MATCH($J1082,SorP!$B$1:$B$6230,0))))</f>
        <v/>
      </c>
      <c r="U1082" s="176"/>
      <c r="V1082" s="177" t="e">
        <f>IF(C1082="",NA(),IF(OR(C1082="Smelter not listed",C1082="Smelter not yet identified"),MATCH($B1082&amp;$D1082,'Smelter Look-up'!$J:$J,0),MATCH($B1082&amp;$C1082,'Smelter Look-up'!$J:$J,0)))</f>
        <v>#N/A</v>
      </c>
      <c r="X1082" s="140">
        <f t="shared" ca="1" si="103"/>
        <v>0</v>
      </c>
      <c r="AB1082" s="178" t="str">
        <f t="shared" si="104"/>
        <v/>
      </c>
    </row>
    <row r="1083" spans="1:28" s="140" customFormat="1" ht="20.25">
      <c r="A1083" s="167"/>
      <c r="B1083" s="168" t="str">
        <f>IF(LEN(A1083)=0,"",INDEX('Smelter Look-up'!$A:$A,MATCH($A1083,'Smelter Look-up'!$E:$E,0)))</f>
        <v/>
      </c>
      <c r="C1083" s="169" t="str">
        <f>IF(LEN(A1083)=0,"",INDEX('Smelter Look-up'!$C:$C,MATCH($A1083,'Smelter Look-up'!$E:$E,0)))</f>
        <v/>
      </c>
      <c r="D1083" s="170"/>
      <c r="E1083" s="168" t="str">
        <f ca="1">IF(ISERROR($V1083),"",OFFSET('Smelter Look-up'!$D$4,$V1083-4,0)&amp;"")</f>
        <v/>
      </c>
      <c r="F1083" s="168" t="str">
        <f ca="1">IF(ISERROR($V1083),"",OFFSET('Smelter Look-up'!$E$4,$V1083-4,0))</f>
        <v/>
      </c>
      <c r="G1083" s="168" t="str">
        <f ca="1">IF(C1083=$X$4,IF(ISERROR($V1083),"Enter smelter details","RMI"),IF(ISERROR($V1083),"",OFFSET('Smelter Look-up'!$F$4,$V1083-4,0)))</f>
        <v/>
      </c>
      <c r="H1083" s="171" t="str">
        <f ca="1">IF(ISERROR($V1083),"",OFFSET('Smelter Look-up'!$G$4,$V1083-4,0))</f>
        <v/>
      </c>
      <c r="I1083" s="172" t="str">
        <f ca="1">IF(ISERROR($V1083),"",OFFSET('Smelter Look-up'!$H$4,$V1083-4,0))</f>
        <v/>
      </c>
      <c r="J1083" s="172" t="str">
        <f ca="1">IF(ISERROR($V1083),"",OFFSET('Smelter Look-up'!$I$4,$V1083-4,0))</f>
        <v/>
      </c>
      <c r="K1083" s="173"/>
      <c r="L1083" s="173"/>
      <c r="M1083" s="173"/>
      <c r="N1083" s="173"/>
      <c r="O1083" s="173"/>
      <c r="P1083" s="174"/>
      <c r="Q1083" s="175"/>
      <c r="R1083" s="168" t="str">
        <f ca="1">IF(ISERROR($V1083),"",OFFSET('Smelter Look-up'!$C$4,$V1083-4,0)&amp;"")</f>
        <v/>
      </c>
      <c r="S1083" s="167" t="str">
        <f t="shared" ca="1" si="102"/>
        <v/>
      </c>
      <c r="T1083" s="167" t="str">
        <f ca="1">IF(B1083="","",IF(ISERROR(MATCH($J1083,SorP!$B$1:$B$6230,0)),"",INDIRECT("'SorP'!$A$"&amp;MATCH($J1083,SorP!$B$1:$B$6230,0))))</f>
        <v/>
      </c>
      <c r="U1083" s="176"/>
      <c r="V1083" s="177" t="e">
        <f>IF(C1083="",NA(),IF(OR(C1083="Smelter not listed",C1083="Smelter not yet identified"),MATCH($B1083&amp;$D1083,'Smelter Look-up'!$J:$J,0),MATCH($B1083&amp;$C1083,'Smelter Look-up'!$J:$J,0)))</f>
        <v>#N/A</v>
      </c>
      <c r="X1083" s="140">
        <f t="shared" ca="1" si="103"/>
        <v>0</v>
      </c>
      <c r="AB1083" s="178" t="str">
        <f t="shared" si="104"/>
        <v/>
      </c>
    </row>
    <row r="1084" spans="1:28" s="140" customFormat="1" ht="20.25">
      <c r="A1084" s="167"/>
      <c r="B1084" s="168" t="str">
        <f>IF(LEN(A1084)=0,"",INDEX('Smelter Look-up'!$A:$A,MATCH($A1084,'Smelter Look-up'!$E:$E,0)))</f>
        <v/>
      </c>
      <c r="C1084" s="169" t="str">
        <f>IF(LEN(A1084)=0,"",INDEX('Smelter Look-up'!$C:$C,MATCH($A1084,'Smelter Look-up'!$E:$E,0)))</f>
        <v/>
      </c>
      <c r="D1084" s="170"/>
      <c r="E1084" s="168" t="str">
        <f ca="1">IF(ISERROR($V1084),"",OFFSET('Smelter Look-up'!$D$4,$V1084-4,0)&amp;"")</f>
        <v/>
      </c>
      <c r="F1084" s="168" t="str">
        <f ca="1">IF(ISERROR($V1084),"",OFFSET('Smelter Look-up'!$E$4,$V1084-4,0))</f>
        <v/>
      </c>
      <c r="G1084" s="168" t="str">
        <f ca="1">IF(C1084=$X$4,IF(ISERROR($V1084),"Enter smelter details","RMI"),IF(ISERROR($V1084),"",OFFSET('Smelter Look-up'!$F$4,$V1084-4,0)))</f>
        <v/>
      </c>
      <c r="H1084" s="171" t="str">
        <f ca="1">IF(ISERROR($V1084),"",OFFSET('Smelter Look-up'!$G$4,$V1084-4,0))</f>
        <v/>
      </c>
      <c r="I1084" s="172" t="str">
        <f ca="1">IF(ISERROR($V1084),"",OFFSET('Smelter Look-up'!$H$4,$V1084-4,0))</f>
        <v/>
      </c>
      <c r="J1084" s="172" t="str">
        <f ca="1">IF(ISERROR($V1084),"",OFFSET('Smelter Look-up'!$I$4,$V1084-4,0))</f>
        <v/>
      </c>
      <c r="K1084" s="173"/>
      <c r="L1084" s="173"/>
      <c r="M1084" s="173"/>
      <c r="N1084" s="173"/>
      <c r="O1084" s="173"/>
      <c r="P1084" s="174"/>
      <c r="Q1084" s="175"/>
      <c r="R1084" s="168" t="str">
        <f ca="1">IF(ISERROR($V1084),"",OFFSET('Smelter Look-up'!$C$4,$V1084-4,0)&amp;"")</f>
        <v/>
      </c>
      <c r="S1084" s="167" t="str">
        <f t="shared" ca="1" si="102"/>
        <v/>
      </c>
      <c r="T1084" s="167" t="str">
        <f ca="1">IF(B1084="","",IF(ISERROR(MATCH($J1084,SorP!$B$1:$B$6230,0)),"",INDIRECT("'SorP'!$A$"&amp;MATCH($J1084,SorP!$B$1:$B$6230,0))))</f>
        <v/>
      </c>
      <c r="U1084" s="176"/>
      <c r="V1084" s="177" t="e">
        <f>IF(C1084="",NA(),IF(OR(C1084="Smelter not listed",C1084="Smelter not yet identified"),MATCH($B1084&amp;$D1084,'Smelter Look-up'!$J:$J,0),MATCH($B1084&amp;$C1084,'Smelter Look-up'!$J:$J,0)))</f>
        <v>#N/A</v>
      </c>
      <c r="X1084" s="140">
        <f t="shared" ca="1" si="103"/>
        <v>0</v>
      </c>
      <c r="AB1084" s="178" t="str">
        <f t="shared" si="104"/>
        <v/>
      </c>
    </row>
    <row r="1085" spans="1:28" s="140" customFormat="1" ht="20.25">
      <c r="A1085" s="167"/>
      <c r="B1085" s="168" t="str">
        <f>IF(LEN(A1085)=0,"",INDEX('Smelter Look-up'!$A:$A,MATCH($A1085,'Smelter Look-up'!$E:$E,0)))</f>
        <v/>
      </c>
      <c r="C1085" s="169" t="str">
        <f>IF(LEN(A1085)=0,"",INDEX('Smelter Look-up'!$C:$C,MATCH($A1085,'Smelter Look-up'!$E:$E,0)))</f>
        <v/>
      </c>
      <c r="D1085" s="170"/>
      <c r="E1085" s="168" t="str">
        <f ca="1">IF(ISERROR($V1085),"",OFFSET('Smelter Look-up'!$D$4,$V1085-4,0)&amp;"")</f>
        <v/>
      </c>
      <c r="F1085" s="168" t="str">
        <f ca="1">IF(ISERROR($V1085),"",OFFSET('Smelter Look-up'!$E$4,$V1085-4,0))</f>
        <v/>
      </c>
      <c r="G1085" s="168" t="str">
        <f ca="1">IF(C1085=$X$4,IF(ISERROR($V1085),"Enter smelter details","RMI"),IF(ISERROR($V1085),"",OFFSET('Smelter Look-up'!$F$4,$V1085-4,0)))</f>
        <v/>
      </c>
      <c r="H1085" s="171" t="str">
        <f ca="1">IF(ISERROR($V1085),"",OFFSET('Smelter Look-up'!$G$4,$V1085-4,0))</f>
        <v/>
      </c>
      <c r="I1085" s="172" t="str">
        <f ca="1">IF(ISERROR($V1085),"",OFFSET('Smelter Look-up'!$H$4,$V1085-4,0))</f>
        <v/>
      </c>
      <c r="J1085" s="172" t="str">
        <f ca="1">IF(ISERROR($V1085),"",OFFSET('Smelter Look-up'!$I$4,$V1085-4,0))</f>
        <v/>
      </c>
      <c r="K1085" s="173"/>
      <c r="L1085" s="173"/>
      <c r="M1085" s="173"/>
      <c r="N1085" s="173"/>
      <c r="O1085" s="173"/>
      <c r="P1085" s="174"/>
      <c r="Q1085" s="175"/>
      <c r="R1085" s="168" t="str">
        <f ca="1">IF(ISERROR($V1085),"",OFFSET('Smelter Look-up'!$C$4,$V1085-4,0)&amp;"")</f>
        <v/>
      </c>
      <c r="S1085" s="167" t="str">
        <f t="shared" ca="1" si="102"/>
        <v/>
      </c>
      <c r="T1085" s="167" t="str">
        <f ca="1">IF(B1085="","",IF(ISERROR(MATCH($J1085,SorP!$B$1:$B$6230,0)),"",INDIRECT("'SorP'!$A$"&amp;MATCH($J1085,SorP!$B$1:$B$6230,0))))</f>
        <v/>
      </c>
      <c r="U1085" s="176"/>
      <c r="V1085" s="177" t="e">
        <f>IF(C1085="",NA(),IF(OR(C1085="Smelter not listed",C1085="Smelter not yet identified"),MATCH($B1085&amp;$D1085,'Smelter Look-up'!$J:$J,0),MATCH($B1085&amp;$C1085,'Smelter Look-up'!$J:$J,0)))</f>
        <v>#N/A</v>
      </c>
      <c r="X1085" s="140">
        <f t="shared" ca="1" si="103"/>
        <v>0</v>
      </c>
      <c r="AB1085" s="178" t="str">
        <f t="shared" si="104"/>
        <v/>
      </c>
    </row>
    <row r="1086" spans="1:28" s="140" customFormat="1" ht="20.25">
      <c r="A1086" s="167"/>
      <c r="B1086" s="168" t="str">
        <f>IF(LEN(A1086)=0,"",INDEX('Smelter Look-up'!$A:$A,MATCH($A1086,'Smelter Look-up'!$E:$E,0)))</f>
        <v/>
      </c>
      <c r="C1086" s="169" t="str">
        <f>IF(LEN(A1086)=0,"",INDEX('Smelter Look-up'!$C:$C,MATCH($A1086,'Smelter Look-up'!$E:$E,0)))</f>
        <v/>
      </c>
      <c r="D1086" s="170"/>
      <c r="E1086" s="168" t="str">
        <f ca="1">IF(ISERROR($V1086),"",OFFSET('Smelter Look-up'!$D$4,$V1086-4,0)&amp;"")</f>
        <v/>
      </c>
      <c r="F1086" s="168" t="str">
        <f ca="1">IF(ISERROR($V1086),"",OFFSET('Smelter Look-up'!$E$4,$V1086-4,0))</f>
        <v/>
      </c>
      <c r="G1086" s="168" t="str">
        <f ca="1">IF(C1086=$X$4,IF(ISERROR($V1086),"Enter smelter details","RMI"),IF(ISERROR($V1086),"",OFFSET('Smelter Look-up'!$F$4,$V1086-4,0)))</f>
        <v/>
      </c>
      <c r="H1086" s="171" t="str">
        <f ca="1">IF(ISERROR($V1086),"",OFFSET('Smelter Look-up'!$G$4,$V1086-4,0))</f>
        <v/>
      </c>
      <c r="I1086" s="172" t="str">
        <f ca="1">IF(ISERROR($V1086),"",OFFSET('Smelter Look-up'!$H$4,$V1086-4,0))</f>
        <v/>
      </c>
      <c r="J1086" s="172" t="str">
        <f ca="1">IF(ISERROR($V1086),"",OFFSET('Smelter Look-up'!$I$4,$V1086-4,0))</f>
        <v/>
      </c>
      <c r="K1086" s="173"/>
      <c r="L1086" s="173"/>
      <c r="M1086" s="173"/>
      <c r="N1086" s="173"/>
      <c r="O1086" s="173"/>
      <c r="P1086" s="174"/>
      <c r="Q1086" s="175"/>
      <c r="R1086" s="168" t="str">
        <f ca="1">IF(ISERROR($V1086),"",OFFSET('Smelter Look-up'!$C$4,$V1086-4,0)&amp;"")</f>
        <v/>
      </c>
      <c r="S1086" s="167" t="str">
        <f t="shared" ca="1" si="102"/>
        <v/>
      </c>
      <c r="T1086" s="167" t="str">
        <f ca="1">IF(B1086="","",IF(ISERROR(MATCH($J1086,SorP!$B$1:$B$6230,0)),"",INDIRECT("'SorP'!$A$"&amp;MATCH($J1086,SorP!$B$1:$B$6230,0))))</f>
        <v/>
      </c>
      <c r="U1086" s="176"/>
      <c r="V1086" s="177" t="e">
        <f>IF(C1086="",NA(),IF(OR(C1086="Smelter not listed",C1086="Smelter not yet identified"),MATCH($B1086&amp;$D1086,'Smelter Look-up'!$J:$J,0),MATCH($B1086&amp;$C1086,'Smelter Look-up'!$J:$J,0)))</f>
        <v>#N/A</v>
      </c>
      <c r="X1086" s="140">
        <f t="shared" ca="1" si="103"/>
        <v>0</v>
      </c>
      <c r="AB1086" s="178" t="str">
        <f t="shared" si="104"/>
        <v/>
      </c>
    </row>
    <row r="1087" spans="1:28" s="140" customFormat="1" ht="20.25">
      <c r="A1087" s="167"/>
      <c r="B1087" s="168" t="str">
        <f>IF(LEN(A1087)=0,"",INDEX('Smelter Look-up'!$A:$A,MATCH($A1087,'Smelter Look-up'!$E:$E,0)))</f>
        <v/>
      </c>
      <c r="C1087" s="169" t="str">
        <f>IF(LEN(A1087)=0,"",INDEX('Smelter Look-up'!$C:$C,MATCH($A1087,'Smelter Look-up'!$E:$E,0)))</f>
        <v/>
      </c>
      <c r="D1087" s="170"/>
      <c r="E1087" s="168" t="str">
        <f ca="1">IF(ISERROR($V1087),"",OFFSET('Smelter Look-up'!$D$4,$V1087-4,0)&amp;"")</f>
        <v/>
      </c>
      <c r="F1087" s="168" t="str">
        <f ca="1">IF(ISERROR($V1087),"",OFFSET('Smelter Look-up'!$E$4,$V1087-4,0))</f>
        <v/>
      </c>
      <c r="G1087" s="168" t="str">
        <f ca="1">IF(C1087=$X$4,IF(ISERROR($V1087),"Enter smelter details","RMI"),IF(ISERROR($V1087),"",OFFSET('Smelter Look-up'!$F$4,$V1087-4,0)))</f>
        <v/>
      </c>
      <c r="H1087" s="171" t="str">
        <f ca="1">IF(ISERROR($V1087),"",OFFSET('Smelter Look-up'!$G$4,$V1087-4,0))</f>
        <v/>
      </c>
      <c r="I1087" s="172" t="str">
        <f ca="1">IF(ISERROR($V1087),"",OFFSET('Smelter Look-up'!$H$4,$V1087-4,0))</f>
        <v/>
      </c>
      <c r="J1087" s="172" t="str">
        <f ca="1">IF(ISERROR($V1087),"",OFFSET('Smelter Look-up'!$I$4,$V1087-4,0))</f>
        <v/>
      </c>
      <c r="K1087" s="173"/>
      <c r="L1087" s="173"/>
      <c r="M1087" s="173"/>
      <c r="N1087" s="173"/>
      <c r="O1087" s="173"/>
      <c r="P1087" s="174"/>
      <c r="Q1087" s="175"/>
      <c r="R1087" s="168" t="str">
        <f ca="1">IF(ISERROR($V1087),"",OFFSET('Smelter Look-up'!$C$4,$V1087-4,0)&amp;"")</f>
        <v/>
      </c>
      <c r="S1087" s="167" t="str">
        <f t="shared" ca="1" si="102"/>
        <v/>
      </c>
      <c r="T1087" s="167" t="str">
        <f ca="1">IF(B1087="","",IF(ISERROR(MATCH($J1087,SorP!$B$1:$B$6230,0)),"",INDIRECT("'SorP'!$A$"&amp;MATCH($J1087,SorP!$B$1:$B$6230,0))))</f>
        <v/>
      </c>
      <c r="U1087" s="176"/>
      <c r="V1087" s="177" t="e">
        <f>IF(C1087="",NA(),IF(OR(C1087="Smelter not listed",C1087="Smelter not yet identified"),MATCH($B1087&amp;$D1087,'Smelter Look-up'!$J:$J,0),MATCH($B1087&amp;$C1087,'Smelter Look-up'!$J:$J,0)))</f>
        <v>#N/A</v>
      </c>
      <c r="X1087" s="140">
        <f t="shared" ca="1" si="103"/>
        <v>0</v>
      </c>
      <c r="AB1087" s="178" t="str">
        <f t="shared" si="104"/>
        <v/>
      </c>
    </row>
    <row r="1088" spans="1:28" s="140" customFormat="1" ht="20.25">
      <c r="A1088" s="167"/>
      <c r="B1088" s="168" t="str">
        <f>IF(LEN(A1088)=0,"",INDEX('Smelter Look-up'!$A:$A,MATCH($A1088,'Smelter Look-up'!$E:$E,0)))</f>
        <v/>
      </c>
      <c r="C1088" s="169" t="str">
        <f>IF(LEN(A1088)=0,"",INDEX('Smelter Look-up'!$C:$C,MATCH($A1088,'Smelter Look-up'!$E:$E,0)))</f>
        <v/>
      </c>
      <c r="D1088" s="170"/>
      <c r="E1088" s="168" t="str">
        <f ca="1">IF(ISERROR($V1088),"",OFFSET('Smelter Look-up'!$D$4,$V1088-4,0)&amp;"")</f>
        <v/>
      </c>
      <c r="F1088" s="168" t="str">
        <f ca="1">IF(ISERROR($V1088),"",OFFSET('Smelter Look-up'!$E$4,$V1088-4,0))</f>
        <v/>
      </c>
      <c r="G1088" s="168" t="str">
        <f ca="1">IF(C1088=$X$4,IF(ISERROR($V1088),"Enter smelter details","RMI"),IF(ISERROR($V1088),"",OFFSET('Smelter Look-up'!$F$4,$V1088-4,0)))</f>
        <v/>
      </c>
      <c r="H1088" s="171" t="str">
        <f ca="1">IF(ISERROR($V1088),"",OFFSET('Smelter Look-up'!$G$4,$V1088-4,0))</f>
        <v/>
      </c>
      <c r="I1088" s="172" t="str">
        <f ca="1">IF(ISERROR($V1088),"",OFFSET('Smelter Look-up'!$H$4,$V1088-4,0))</f>
        <v/>
      </c>
      <c r="J1088" s="172" t="str">
        <f ca="1">IF(ISERROR($V1088),"",OFFSET('Smelter Look-up'!$I$4,$V1088-4,0))</f>
        <v/>
      </c>
      <c r="K1088" s="173"/>
      <c r="L1088" s="173"/>
      <c r="M1088" s="173"/>
      <c r="N1088" s="173"/>
      <c r="O1088" s="173"/>
      <c r="P1088" s="174"/>
      <c r="Q1088" s="175"/>
      <c r="R1088" s="168" t="str">
        <f ca="1">IF(ISERROR($V1088),"",OFFSET('Smelter Look-up'!$C$4,$V1088-4,0)&amp;"")</f>
        <v/>
      </c>
      <c r="S1088" s="167" t="str">
        <f t="shared" ca="1" si="102"/>
        <v/>
      </c>
      <c r="T1088" s="167" t="str">
        <f ca="1">IF(B1088="","",IF(ISERROR(MATCH($J1088,SorP!$B$1:$B$6230,0)),"",INDIRECT("'SorP'!$A$"&amp;MATCH($J1088,SorP!$B$1:$B$6230,0))))</f>
        <v/>
      </c>
      <c r="U1088" s="176"/>
      <c r="V1088" s="177" t="e">
        <f>IF(C1088="",NA(),IF(OR(C1088="Smelter not listed",C1088="Smelter not yet identified"),MATCH($B1088&amp;$D1088,'Smelter Look-up'!$J:$J,0),MATCH($B1088&amp;$C1088,'Smelter Look-up'!$J:$J,0)))</f>
        <v>#N/A</v>
      </c>
      <c r="X1088" s="140">
        <f t="shared" ca="1" si="103"/>
        <v>0</v>
      </c>
      <c r="AB1088" s="178" t="str">
        <f t="shared" si="104"/>
        <v/>
      </c>
    </row>
    <row r="1089" spans="1:28" s="140" customFormat="1" ht="20.25">
      <c r="A1089" s="167"/>
      <c r="B1089" s="168" t="str">
        <f>IF(LEN(A1089)=0,"",INDEX('Smelter Look-up'!$A:$A,MATCH($A1089,'Smelter Look-up'!$E:$E,0)))</f>
        <v/>
      </c>
      <c r="C1089" s="169" t="str">
        <f>IF(LEN(A1089)=0,"",INDEX('Smelter Look-up'!$C:$C,MATCH($A1089,'Smelter Look-up'!$E:$E,0)))</f>
        <v/>
      </c>
      <c r="D1089" s="170"/>
      <c r="E1089" s="168" t="str">
        <f ca="1">IF(ISERROR($V1089),"",OFFSET('Smelter Look-up'!$D$4,$V1089-4,0)&amp;"")</f>
        <v/>
      </c>
      <c r="F1089" s="168" t="str">
        <f ca="1">IF(ISERROR($V1089),"",OFFSET('Smelter Look-up'!$E$4,$V1089-4,0))</f>
        <v/>
      </c>
      <c r="G1089" s="168" t="str">
        <f ca="1">IF(C1089=$X$4,IF(ISERROR($V1089),"Enter smelter details","RMI"),IF(ISERROR($V1089),"",OFFSET('Smelter Look-up'!$F$4,$V1089-4,0)))</f>
        <v/>
      </c>
      <c r="H1089" s="171" t="str">
        <f ca="1">IF(ISERROR($V1089),"",OFFSET('Smelter Look-up'!$G$4,$V1089-4,0))</f>
        <v/>
      </c>
      <c r="I1089" s="172" t="str">
        <f ca="1">IF(ISERROR($V1089),"",OFFSET('Smelter Look-up'!$H$4,$V1089-4,0))</f>
        <v/>
      </c>
      <c r="J1089" s="172" t="str">
        <f ca="1">IF(ISERROR($V1089),"",OFFSET('Smelter Look-up'!$I$4,$V1089-4,0))</f>
        <v/>
      </c>
      <c r="K1089" s="173"/>
      <c r="L1089" s="173"/>
      <c r="M1089" s="173"/>
      <c r="N1089" s="173"/>
      <c r="O1089" s="173"/>
      <c r="P1089" s="174"/>
      <c r="Q1089" s="175"/>
      <c r="R1089" s="168" t="str">
        <f ca="1">IF(ISERROR($V1089),"",OFFSET('Smelter Look-up'!$C$4,$V1089-4,0)&amp;"")</f>
        <v/>
      </c>
      <c r="S1089" s="167" t="str">
        <f t="shared" ca="1" si="102"/>
        <v/>
      </c>
      <c r="T1089" s="167" t="str">
        <f ca="1">IF(B1089="","",IF(ISERROR(MATCH($J1089,SorP!$B$1:$B$6230,0)),"",INDIRECT("'SorP'!$A$"&amp;MATCH($J1089,SorP!$B$1:$B$6230,0))))</f>
        <v/>
      </c>
      <c r="U1089" s="176"/>
      <c r="V1089" s="177" t="e">
        <f>IF(C1089="",NA(),IF(OR(C1089="Smelter not listed",C1089="Smelter not yet identified"),MATCH($B1089&amp;$D1089,'Smelter Look-up'!$J:$J,0),MATCH($B1089&amp;$C1089,'Smelter Look-up'!$J:$J,0)))</f>
        <v>#N/A</v>
      </c>
      <c r="X1089" s="140">
        <f t="shared" ca="1" si="103"/>
        <v>0</v>
      </c>
      <c r="AB1089" s="178" t="str">
        <f t="shared" si="104"/>
        <v/>
      </c>
    </row>
    <row r="1090" spans="1:28" s="140" customFormat="1" ht="20.25">
      <c r="A1090" s="167"/>
      <c r="B1090" s="168" t="str">
        <f>IF(LEN(A1090)=0,"",INDEX('Smelter Look-up'!$A:$A,MATCH($A1090,'Smelter Look-up'!$E:$E,0)))</f>
        <v/>
      </c>
      <c r="C1090" s="169" t="str">
        <f>IF(LEN(A1090)=0,"",INDEX('Smelter Look-up'!$C:$C,MATCH($A1090,'Smelter Look-up'!$E:$E,0)))</f>
        <v/>
      </c>
      <c r="D1090" s="170"/>
      <c r="E1090" s="168" t="str">
        <f ca="1">IF(ISERROR($V1090),"",OFFSET('Smelter Look-up'!$D$4,$V1090-4,0)&amp;"")</f>
        <v/>
      </c>
      <c r="F1090" s="168" t="str">
        <f ca="1">IF(ISERROR($V1090),"",OFFSET('Smelter Look-up'!$E$4,$V1090-4,0))</f>
        <v/>
      </c>
      <c r="G1090" s="168" t="str">
        <f ca="1">IF(C1090=$X$4,IF(ISERROR($V1090),"Enter smelter details","RMI"),IF(ISERROR($V1090),"",OFFSET('Smelter Look-up'!$F$4,$V1090-4,0)))</f>
        <v/>
      </c>
      <c r="H1090" s="171" t="str">
        <f ca="1">IF(ISERROR($V1090),"",OFFSET('Smelter Look-up'!$G$4,$V1090-4,0))</f>
        <v/>
      </c>
      <c r="I1090" s="172" t="str">
        <f ca="1">IF(ISERROR($V1090),"",OFFSET('Smelter Look-up'!$H$4,$V1090-4,0))</f>
        <v/>
      </c>
      <c r="J1090" s="172" t="str">
        <f ca="1">IF(ISERROR($V1090),"",OFFSET('Smelter Look-up'!$I$4,$V1090-4,0))</f>
        <v/>
      </c>
      <c r="K1090" s="173"/>
      <c r="L1090" s="173"/>
      <c r="M1090" s="173"/>
      <c r="N1090" s="173"/>
      <c r="O1090" s="173"/>
      <c r="P1090" s="174"/>
      <c r="Q1090" s="175"/>
      <c r="R1090" s="168" t="str">
        <f ca="1">IF(ISERROR($V1090),"",OFFSET('Smelter Look-up'!$C$4,$V1090-4,0)&amp;"")</f>
        <v/>
      </c>
      <c r="S1090" s="167" t="str">
        <f t="shared" ca="1" si="102"/>
        <v/>
      </c>
      <c r="T1090" s="167" t="str">
        <f ca="1">IF(B1090="","",IF(ISERROR(MATCH($J1090,SorP!$B$1:$B$6230,0)),"",INDIRECT("'SorP'!$A$"&amp;MATCH($J1090,SorP!$B$1:$B$6230,0))))</f>
        <v/>
      </c>
      <c r="U1090" s="176"/>
      <c r="V1090" s="177" t="e">
        <f>IF(C1090="",NA(),IF(OR(C1090="Smelter not listed",C1090="Smelter not yet identified"),MATCH($B1090&amp;$D1090,'Smelter Look-up'!$J:$J,0),MATCH($B1090&amp;$C1090,'Smelter Look-up'!$J:$J,0)))</f>
        <v>#N/A</v>
      </c>
      <c r="X1090" s="140">
        <f t="shared" ca="1" si="103"/>
        <v>0</v>
      </c>
      <c r="AB1090" s="178" t="str">
        <f t="shared" si="104"/>
        <v/>
      </c>
    </row>
    <row r="1091" spans="1:28" s="140" customFormat="1" ht="20.25">
      <c r="A1091" s="167"/>
      <c r="B1091" s="168" t="str">
        <f>IF(LEN(A1091)=0,"",INDEX('Smelter Look-up'!$A:$A,MATCH($A1091,'Smelter Look-up'!$E:$E,0)))</f>
        <v/>
      </c>
      <c r="C1091" s="169" t="str">
        <f>IF(LEN(A1091)=0,"",INDEX('Smelter Look-up'!$C:$C,MATCH($A1091,'Smelter Look-up'!$E:$E,0)))</f>
        <v/>
      </c>
      <c r="D1091" s="170"/>
      <c r="E1091" s="168" t="str">
        <f ca="1">IF(ISERROR($V1091),"",OFFSET('Smelter Look-up'!$D$4,$V1091-4,0)&amp;"")</f>
        <v/>
      </c>
      <c r="F1091" s="168" t="str">
        <f ca="1">IF(ISERROR($V1091),"",OFFSET('Smelter Look-up'!$E$4,$V1091-4,0))</f>
        <v/>
      </c>
      <c r="G1091" s="168" t="str">
        <f ca="1">IF(C1091=$X$4,IF(ISERROR($V1091),"Enter smelter details","RMI"),IF(ISERROR($V1091),"",OFFSET('Smelter Look-up'!$F$4,$V1091-4,0)))</f>
        <v/>
      </c>
      <c r="H1091" s="171" t="str">
        <f ca="1">IF(ISERROR($V1091),"",OFFSET('Smelter Look-up'!$G$4,$V1091-4,0))</f>
        <v/>
      </c>
      <c r="I1091" s="172" t="str">
        <f ca="1">IF(ISERROR($V1091),"",OFFSET('Smelter Look-up'!$H$4,$V1091-4,0))</f>
        <v/>
      </c>
      <c r="J1091" s="172" t="str">
        <f ca="1">IF(ISERROR($V1091),"",OFFSET('Smelter Look-up'!$I$4,$V1091-4,0))</f>
        <v/>
      </c>
      <c r="K1091" s="173"/>
      <c r="L1091" s="173"/>
      <c r="M1091" s="173"/>
      <c r="N1091" s="173"/>
      <c r="O1091" s="173"/>
      <c r="P1091" s="174"/>
      <c r="Q1091" s="175"/>
      <c r="R1091" s="168" t="str">
        <f ca="1">IF(ISERROR($V1091),"",OFFSET('Smelter Look-up'!$C$4,$V1091-4,0)&amp;"")</f>
        <v/>
      </c>
      <c r="S1091" s="167" t="str">
        <f t="shared" ca="1" si="102"/>
        <v/>
      </c>
      <c r="T1091" s="167" t="str">
        <f ca="1">IF(B1091="","",IF(ISERROR(MATCH($J1091,SorP!$B$1:$B$6230,0)),"",INDIRECT("'SorP'!$A$"&amp;MATCH($J1091,SorP!$B$1:$B$6230,0))))</f>
        <v/>
      </c>
      <c r="U1091" s="176"/>
      <c r="V1091" s="177" t="e">
        <f>IF(C1091="",NA(),IF(OR(C1091="Smelter not listed",C1091="Smelter not yet identified"),MATCH($B1091&amp;$D1091,'Smelter Look-up'!$J:$J,0),MATCH($B1091&amp;$C1091,'Smelter Look-up'!$J:$J,0)))</f>
        <v>#N/A</v>
      </c>
      <c r="X1091" s="140">
        <f t="shared" ca="1" si="103"/>
        <v>0</v>
      </c>
      <c r="AB1091" s="178" t="str">
        <f t="shared" si="104"/>
        <v/>
      </c>
    </row>
    <row r="1092" spans="1:28" s="140" customFormat="1" ht="20.25">
      <c r="A1092" s="167"/>
      <c r="B1092" s="168" t="str">
        <f>IF(LEN(A1092)=0,"",INDEX('Smelter Look-up'!$A:$A,MATCH($A1092,'Smelter Look-up'!$E:$E,0)))</f>
        <v/>
      </c>
      <c r="C1092" s="169" t="str">
        <f>IF(LEN(A1092)=0,"",INDEX('Smelter Look-up'!$C:$C,MATCH($A1092,'Smelter Look-up'!$E:$E,0)))</f>
        <v/>
      </c>
      <c r="D1092" s="170"/>
      <c r="E1092" s="168" t="str">
        <f ca="1">IF(ISERROR($V1092),"",OFFSET('Smelter Look-up'!$D$4,$V1092-4,0)&amp;"")</f>
        <v/>
      </c>
      <c r="F1092" s="168" t="str">
        <f ca="1">IF(ISERROR($V1092),"",OFFSET('Smelter Look-up'!$E$4,$V1092-4,0))</f>
        <v/>
      </c>
      <c r="G1092" s="168" t="str">
        <f ca="1">IF(C1092=$X$4,IF(ISERROR($V1092),"Enter smelter details","RMI"),IF(ISERROR($V1092),"",OFFSET('Smelter Look-up'!$F$4,$V1092-4,0)))</f>
        <v/>
      </c>
      <c r="H1092" s="171" t="str">
        <f ca="1">IF(ISERROR($V1092),"",OFFSET('Smelter Look-up'!$G$4,$V1092-4,0))</f>
        <v/>
      </c>
      <c r="I1092" s="172" t="str">
        <f ca="1">IF(ISERROR($V1092),"",OFFSET('Smelter Look-up'!$H$4,$V1092-4,0))</f>
        <v/>
      </c>
      <c r="J1092" s="172" t="str">
        <f ca="1">IF(ISERROR($V1092),"",OFFSET('Smelter Look-up'!$I$4,$V1092-4,0))</f>
        <v/>
      </c>
      <c r="K1092" s="173"/>
      <c r="L1092" s="173"/>
      <c r="M1092" s="173"/>
      <c r="N1092" s="173"/>
      <c r="O1092" s="173"/>
      <c r="P1092" s="174"/>
      <c r="Q1092" s="175"/>
      <c r="R1092" s="168" t="str">
        <f ca="1">IF(ISERROR($V1092),"",OFFSET('Smelter Look-up'!$C$4,$V1092-4,0)&amp;"")</f>
        <v/>
      </c>
      <c r="S1092" s="167" t="str">
        <f t="shared" ca="1" si="102"/>
        <v/>
      </c>
      <c r="T1092" s="167" t="str">
        <f ca="1">IF(B1092="","",IF(ISERROR(MATCH($J1092,SorP!$B$1:$B$6230,0)),"",INDIRECT("'SorP'!$A$"&amp;MATCH($J1092,SorP!$B$1:$B$6230,0))))</f>
        <v/>
      </c>
      <c r="U1092" s="176"/>
      <c r="V1092" s="177" t="e">
        <f>IF(C1092="",NA(),IF(OR(C1092="Smelter not listed",C1092="Smelter not yet identified"),MATCH($B1092&amp;$D1092,'Smelter Look-up'!$J:$J,0),MATCH($B1092&amp;$C1092,'Smelter Look-up'!$J:$J,0)))</f>
        <v>#N/A</v>
      </c>
      <c r="X1092" s="140">
        <f t="shared" ca="1" si="103"/>
        <v>0</v>
      </c>
      <c r="AB1092" s="178" t="str">
        <f t="shared" si="104"/>
        <v/>
      </c>
    </row>
    <row r="1093" spans="1:28" s="140" customFormat="1" ht="20.25">
      <c r="A1093" s="167"/>
      <c r="B1093" s="168" t="str">
        <f>IF(LEN(A1093)=0,"",INDEX('Smelter Look-up'!$A:$A,MATCH($A1093,'Smelter Look-up'!$E:$E,0)))</f>
        <v/>
      </c>
      <c r="C1093" s="169" t="str">
        <f>IF(LEN(A1093)=0,"",INDEX('Smelter Look-up'!$C:$C,MATCH($A1093,'Smelter Look-up'!$E:$E,0)))</f>
        <v/>
      </c>
      <c r="D1093" s="170"/>
      <c r="E1093" s="168" t="str">
        <f ca="1">IF(ISERROR($V1093),"",OFFSET('Smelter Look-up'!$D$4,$V1093-4,0)&amp;"")</f>
        <v/>
      </c>
      <c r="F1093" s="168" t="str">
        <f ca="1">IF(ISERROR($V1093),"",OFFSET('Smelter Look-up'!$E$4,$V1093-4,0))</f>
        <v/>
      </c>
      <c r="G1093" s="168" t="str">
        <f ca="1">IF(C1093=$X$4,IF(ISERROR($V1093),"Enter smelter details","RMI"),IF(ISERROR($V1093),"",OFFSET('Smelter Look-up'!$F$4,$V1093-4,0)))</f>
        <v/>
      </c>
      <c r="H1093" s="171" t="str">
        <f ca="1">IF(ISERROR($V1093),"",OFFSET('Smelter Look-up'!$G$4,$V1093-4,0))</f>
        <v/>
      </c>
      <c r="I1093" s="172" t="str">
        <f ca="1">IF(ISERROR($V1093),"",OFFSET('Smelter Look-up'!$H$4,$V1093-4,0))</f>
        <v/>
      </c>
      <c r="J1093" s="172" t="str">
        <f ca="1">IF(ISERROR($V1093),"",OFFSET('Smelter Look-up'!$I$4,$V1093-4,0))</f>
        <v/>
      </c>
      <c r="K1093" s="173"/>
      <c r="L1093" s="173"/>
      <c r="M1093" s="173"/>
      <c r="N1093" s="173"/>
      <c r="O1093" s="173"/>
      <c r="P1093" s="174"/>
      <c r="Q1093" s="175"/>
      <c r="R1093" s="168" t="str">
        <f ca="1">IF(ISERROR($V1093),"",OFFSET('Smelter Look-up'!$C$4,$V1093-4,0)&amp;"")</f>
        <v/>
      </c>
      <c r="S1093" s="167" t="str">
        <f t="shared" ca="1" si="102"/>
        <v/>
      </c>
      <c r="T1093" s="167" t="str">
        <f ca="1">IF(B1093="","",IF(ISERROR(MATCH($J1093,SorP!$B$1:$B$6230,0)),"",INDIRECT("'SorP'!$A$"&amp;MATCH($J1093,SorP!$B$1:$B$6230,0))))</f>
        <v/>
      </c>
      <c r="U1093" s="176"/>
      <c r="V1093" s="177" t="e">
        <f>IF(C1093="",NA(),IF(OR(C1093="Smelter not listed",C1093="Smelter not yet identified"),MATCH($B1093&amp;$D1093,'Smelter Look-up'!$J:$J,0),MATCH($B1093&amp;$C1093,'Smelter Look-up'!$J:$J,0)))</f>
        <v>#N/A</v>
      </c>
      <c r="X1093" s="140">
        <f t="shared" ca="1" si="103"/>
        <v>0</v>
      </c>
      <c r="AB1093" s="178" t="str">
        <f t="shared" si="104"/>
        <v/>
      </c>
    </row>
    <row r="1094" spans="1:28" s="140" customFormat="1" ht="20.25">
      <c r="A1094" s="167"/>
      <c r="B1094" s="168" t="str">
        <f>IF(LEN(A1094)=0,"",INDEX('Smelter Look-up'!$A:$A,MATCH($A1094,'Smelter Look-up'!$E:$E,0)))</f>
        <v/>
      </c>
      <c r="C1094" s="169" t="str">
        <f>IF(LEN(A1094)=0,"",INDEX('Smelter Look-up'!$C:$C,MATCH($A1094,'Smelter Look-up'!$E:$E,0)))</f>
        <v/>
      </c>
      <c r="D1094" s="170"/>
      <c r="E1094" s="168" t="str">
        <f ca="1">IF(ISERROR($V1094),"",OFFSET('Smelter Look-up'!$D$4,$V1094-4,0)&amp;"")</f>
        <v/>
      </c>
      <c r="F1094" s="168" t="str">
        <f ca="1">IF(ISERROR($V1094),"",OFFSET('Smelter Look-up'!$E$4,$V1094-4,0))</f>
        <v/>
      </c>
      <c r="G1094" s="168" t="str">
        <f ca="1">IF(C1094=$X$4,IF(ISERROR($V1094),"Enter smelter details","RMI"),IF(ISERROR($V1094),"",OFFSET('Smelter Look-up'!$F$4,$V1094-4,0)))</f>
        <v/>
      </c>
      <c r="H1094" s="171" t="str">
        <f ca="1">IF(ISERROR($V1094),"",OFFSET('Smelter Look-up'!$G$4,$V1094-4,0))</f>
        <v/>
      </c>
      <c r="I1094" s="172" t="str">
        <f ca="1">IF(ISERROR($V1094),"",OFFSET('Smelter Look-up'!$H$4,$V1094-4,0))</f>
        <v/>
      </c>
      <c r="J1094" s="172" t="str">
        <f ca="1">IF(ISERROR($V1094),"",OFFSET('Smelter Look-up'!$I$4,$V1094-4,0))</f>
        <v/>
      </c>
      <c r="K1094" s="173"/>
      <c r="L1094" s="173"/>
      <c r="M1094" s="173"/>
      <c r="N1094" s="173"/>
      <c r="O1094" s="173"/>
      <c r="P1094" s="174"/>
      <c r="Q1094" s="175"/>
      <c r="R1094" s="168" t="str">
        <f ca="1">IF(ISERROR($V1094),"",OFFSET('Smelter Look-up'!$C$4,$V1094-4,0)&amp;"")</f>
        <v/>
      </c>
      <c r="S1094" s="167" t="str">
        <f t="shared" ca="1" si="102"/>
        <v/>
      </c>
      <c r="T1094" s="167" t="str">
        <f ca="1">IF(B1094="","",IF(ISERROR(MATCH($J1094,SorP!$B$1:$B$6230,0)),"",INDIRECT("'SorP'!$A$"&amp;MATCH($J1094,SorP!$B$1:$B$6230,0))))</f>
        <v/>
      </c>
      <c r="U1094" s="176"/>
      <c r="V1094" s="177" t="e">
        <f>IF(C1094="",NA(),IF(OR(C1094="Smelter not listed",C1094="Smelter not yet identified"),MATCH($B1094&amp;$D1094,'Smelter Look-up'!$J:$J,0),MATCH($B1094&amp;$C1094,'Smelter Look-up'!$J:$J,0)))</f>
        <v>#N/A</v>
      </c>
      <c r="X1094" s="140">
        <f t="shared" ca="1" si="103"/>
        <v>0</v>
      </c>
      <c r="AB1094" s="178" t="str">
        <f t="shared" si="104"/>
        <v/>
      </c>
    </row>
    <row r="1095" spans="1:28" s="140" customFormat="1" ht="20.25">
      <c r="A1095" s="167"/>
      <c r="B1095" s="168" t="str">
        <f>IF(LEN(A1095)=0,"",INDEX('Smelter Look-up'!$A:$A,MATCH($A1095,'Smelter Look-up'!$E:$E,0)))</f>
        <v/>
      </c>
      <c r="C1095" s="169" t="str">
        <f>IF(LEN(A1095)=0,"",INDEX('Smelter Look-up'!$C:$C,MATCH($A1095,'Smelter Look-up'!$E:$E,0)))</f>
        <v/>
      </c>
      <c r="D1095" s="170"/>
      <c r="E1095" s="168" t="str">
        <f ca="1">IF(ISERROR($V1095),"",OFFSET('Smelter Look-up'!$D$4,$V1095-4,0)&amp;"")</f>
        <v/>
      </c>
      <c r="F1095" s="168" t="str">
        <f ca="1">IF(ISERROR($V1095),"",OFFSET('Smelter Look-up'!$E$4,$V1095-4,0))</f>
        <v/>
      </c>
      <c r="G1095" s="168" t="str">
        <f ca="1">IF(C1095=$X$4,IF(ISERROR($V1095),"Enter smelter details","RMI"),IF(ISERROR($V1095),"",OFFSET('Smelter Look-up'!$F$4,$V1095-4,0)))</f>
        <v/>
      </c>
      <c r="H1095" s="171" t="str">
        <f ca="1">IF(ISERROR($V1095),"",OFFSET('Smelter Look-up'!$G$4,$V1095-4,0))</f>
        <v/>
      </c>
      <c r="I1095" s="172" t="str">
        <f ca="1">IF(ISERROR($V1095),"",OFFSET('Smelter Look-up'!$H$4,$V1095-4,0))</f>
        <v/>
      </c>
      <c r="J1095" s="172" t="str">
        <f ca="1">IF(ISERROR($V1095),"",OFFSET('Smelter Look-up'!$I$4,$V1095-4,0))</f>
        <v/>
      </c>
      <c r="K1095" s="173"/>
      <c r="L1095" s="173"/>
      <c r="M1095" s="173"/>
      <c r="N1095" s="173"/>
      <c r="O1095" s="173"/>
      <c r="P1095" s="174"/>
      <c r="Q1095" s="175"/>
      <c r="R1095" s="168" t="str">
        <f ca="1">IF(ISERROR($V1095),"",OFFSET('Smelter Look-up'!$C$4,$V1095-4,0)&amp;"")</f>
        <v/>
      </c>
      <c r="S1095" s="167" t="str">
        <f t="shared" ca="1" si="102"/>
        <v/>
      </c>
      <c r="T1095" s="167" t="str">
        <f ca="1">IF(B1095="","",IF(ISERROR(MATCH($J1095,SorP!$B$1:$B$6230,0)),"",INDIRECT("'SorP'!$A$"&amp;MATCH($J1095,SorP!$B$1:$B$6230,0))))</f>
        <v/>
      </c>
      <c r="U1095" s="176"/>
      <c r="V1095" s="177" t="e">
        <f>IF(C1095="",NA(),IF(OR(C1095="Smelter not listed",C1095="Smelter not yet identified"),MATCH($B1095&amp;$D1095,'Smelter Look-up'!$J:$J,0),MATCH($B1095&amp;$C1095,'Smelter Look-up'!$J:$J,0)))</f>
        <v>#N/A</v>
      </c>
      <c r="X1095" s="140">
        <f t="shared" ca="1" si="103"/>
        <v>0</v>
      </c>
      <c r="AB1095" s="178" t="str">
        <f t="shared" si="104"/>
        <v/>
      </c>
    </row>
    <row r="1096" spans="1:28" s="140" customFormat="1" ht="20.25">
      <c r="A1096" s="167"/>
      <c r="B1096" s="168" t="str">
        <f>IF(LEN(A1096)=0,"",INDEX('Smelter Look-up'!$A:$A,MATCH($A1096,'Smelter Look-up'!$E:$E,0)))</f>
        <v/>
      </c>
      <c r="C1096" s="169" t="str">
        <f>IF(LEN(A1096)=0,"",INDEX('Smelter Look-up'!$C:$C,MATCH($A1096,'Smelter Look-up'!$E:$E,0)))</f>
        <v/>
      </c>
      <c r="D1096" s="170"/>
      <c r="E1096" s="168" t="str">
        <f ca="1">IF(ISERROR($V1096),"",OFFSET('Smelter Look-up'!$D$4,$V1096-4,0)&amp;"")</f>
        <v/>
      </c>
      <c r="F1096" s="168" t="str">
        <f ca="1">IF(ISERROR($V1096),"",OFFSET('Smelter Look-up'!$E$4,$V1096-4,0))</f>
        <v/>
      </c>
      <c r="G1096" s="168" t="str">
        <f ca="1">IF(C1096=$X$4,IF(ISERROR($V1096),"Enter smelter details","RMI"),IF(ISERROR($V1096),"",OFFSET('Smelter Look-up'!$F$4,$V1096-4,0)))</f>
        <v/>
      </c>
      <c r="H1096" s="171" t="str">
        <f ca="1">IF(ISERROR($V1096),"",OFFSET('Smelter Look-up'!$G$4,$V1096-4,0))</f>
        <v/>
      </c>
      <c r="I1096" s="172" t="str">
        <f ca="1">IF(ISERROR($V1096),"",OFFSET('Smelter Look-up'!$H$4,$V1096-4,0))</f>
        <v/>
      </c>
      <c r="J1096" s="172" t="str">
        <f ca="1">IF(ISERROR($V1096),"",OFFSET('Smelter Look-up'!$I$4,$V1096-4,0))</f>
        <v/>
      </c>
      <c r="K1096" s="173"/>
      <c r="L1096" s="173"/>
      <c r="M1096" s="173"/>
      <c r="N1096" s="173"/>
      <c r="O1096" s="173"/>
      <c r="P1096" s="174"/>
      <c r="Q1096" s="175"/>
      <c r="R1096" s="168" t="str">
        <f ca="1">IF(ISERROR($V1096),"",OFFSET('Smelter Look-up'!$C$4,$V1096-4,0)&amp;"")</f>
        <v/>
      </c>
      <c r="S1096" s="167" t="str">
        <f t="shared" ca="1" si="102"/>
        <v/>
      </c>
      <c r="T1096" s="167" t="str">
        <f ca="1">IF(B1096="","",IF(ISERROR(MATCH($J1096,SorP!$B$1:$B$6230,0)),"",INDIRECT("'SorP'!$A$"&amp;MATCH($J1096,SorP!$B$1:$B$6230,0))))</f>
        <v/>
      </c>
      <c r="U1096" s="176"/>
      <c r="V1096" s="177" t="e">
        <f>IF(C1096="",NA(),IF(OR(C1096="Smelter not listed",C1096="Smelter not yet identified"),MATCH($B1096&amp;$D1096,'Smelter Look-up'!$J:$J,0),MATCH($B1096&amp;$C1096,'Smelter Look-up'!$J:$J,0)))</f>
        <v>#N/A</v>
      </c>
      <c r="X1096" s="140">
        <f t="shared" ca="1" si="103"/>
        <v>0</v>
      </c>
      <c r="AB1096" s="178" t="str">
        <f t="shared" si="104"/>
        <v/>
      </c>
    </row>
    <row r="1097" spans="1:28" s="140" customFormat="1" ht="20.25">
      <c r="A1097" s="167"/>
      <c r="B1097" s="168" t="str">
        <f>IF(LEN(A1097)=0,"",INDEX('Smelter Look-up'!$A:$A,MATCH($A1097,'Smelter Look-up'!$E:$E,0)))</f>
        <v/>
      </c>
      <c r="C1097" s="169" t="str">
        <f>IF(LEN(A1097)=0,"",INDEX('Smelter Look-up'!$C:$C,MATCH($A1097,'Smelter Look-up'!$E:$E,0)))</f>
        <v/>
      </c>
      <c r="D1097" s="170"/>
      <c r="E1097" s="168" t="str">
        <f ca="1">IF(ISERROR($V1097),"",OFFSET('Smelter Look-up'!$D$4,$V1097-4,0)&amp;"")</f>
        <v/>
      </c>
      <c r="F1097" s="168" t="str">
        <f ca="1">IF(ISERROR($V1097),"",OFFSET('Smelter Look-up'!$E$4,$V1097-4,0))</f>
        <v/>
      </c>
      <c r="G1097" s="168" t="str">
        <f ca="1">IF(C1097=$X$4,IF(ISERROR($V1097),"Enter smelter details","RMI"),IF(ISERROR($V1097),"",OFFSET('Smelter Look-up'!$F$4,$V1097-4,0)))</f>
        <v/>
      </c>
      <c r="H1097" s="171" t="str">
        <f ca="1">IF(ISERROR($V1097),"",OFFSET('Smelter Look-up'!$G$4,$V1097-4,0))</f>
        <v/>
      </c>
      <c r="I1097" s="172" t="str">
        <f ca="1">IF(ISERROR($V1097),"",OFFSET('Smelter Look-up'!$H$4,$V1097-4,0))</f>
        <v/>
      </c>
      <c r="J1097" s="172" t="str">
        <f ca="1">IF(ISERROR($V1097),"",OFFSET('Smelter Look-up'!$I$4,$V1097-4,0))</f>
        <v/>
      </c>
      <c r="K1097" s="173"/>
      <c r="L1097" s="173"/>
      <c r="M1097" s="173"/>
      <c r="N1097" s="173"/>
      <c r="O1097" s="173"/>
      <c r="P1097" s="174"/>
      <c r="Q1097" s="175"/>
      <c r="R1097" s="168" t="str">
        <f ca="1">IF(ISERROR($V1097),"",OFFSET('Smelter Look-up'!$C$4,$V1097-4,0)&amp;"")</f>
        <v/>
      </c>
      <c r="S1097" s="167" t="str">
        <f t="shared" ca="1" si="102"/>
        <v/>
      </c>
      <c r="T1097" s="167" t="str">
        <f ca="1">IF(B1097="","",IF(ISERROR(MATCH($J1097,SorP!$B$1:$B$6230,0)),"",INDIRECT("'SorP'!$A$"&amp;MATCH($J1097,SorP!$B$1:$B$6230,0))))</f>
        <v/>
      </c>
      <c r="U1097" s="176"/>
      <c r="V1097" s="177" t="e">
        <f>IF(C1097="",NA(),IF(OR(C1097="Smelter not listed",C1097="Smelter not yet identified"),MATCH($B1097&amp;$D1097,'Smelter Look-up'!$J:$J,0),MATCH($B1097&amp;$C1097,'Smelter Look-up'!$J:$J,0)))</f>
        <v>#N/A</v>
      </c>
      <c r="X1097" s="140">
        <f t="shared" ca="1" si="103"/>
        <v>0</v>
      </c>
      <c r="AB1097" s="178" t="str">
        <f t="shared" si="104"/>
        <v/>
      </c>
    </row>
    <row r="1098" spans="1:28" s="140" customFormat="1" ht="20.25">
      <c r="A1098" s="167"/>
      <c r="B1098" s="168" t="str">
        <f>IF(LEN(A1098)=0,"",INDEX('Smelter Look-up'!$A:$A,MATCH($A1098,'Smelter Look-up'!$E:$E,0)))</f>
        <v/>
      </c>
      <c r="C1098" s="169" t="str">
        <f>IF(LEN(A1098)=0,"",INDEX('Smelter Look-up'!$C:$C,MATCH($A1098,'Smelter Look-up'!$E:$E,0)))</f>
        <v/>
      </c>
      <c r="D1098" s="170"/>
      <c r="E1098" s="168" t="str">
        <f ca="1">IF(ISERROR($V1098),"",OFFSET('Smelter Look-up'!$D$4,$V1098-4,0)&amp;"")</f>
        <v/>
      </c>
      <c r="F1098" s="168" t="str">
        <f ca="1">IF(ISERROR($V1098),"",OFFSET('Smelter Look-up'!$E$4,$V1098-4,0))</f>
        <v/>
      </c>
      <c r="G1098" s="168" t="str">
        <f ca="1">IF(C1098=$X$4,IF(ISERROR($V1098),"Enter smelter details","RMI"),IF(ISERROR($V1098),"",OFFSET('Smelter Look-up'!$F$4,$V1098-4,0)))</f>
        <v/>
      </c>
      <c r="H1098" s="171" t="str">
        <f ca="1">IF(ISERROR($V1098),"",OFFSET('Smelter Look-up'!$G$4,$V1098-4,0))</f>
        <v/>
      </c>
      <c r="I1098" s="172" t="str">
        <f ca="1">IF(ISERROR($V1098),"",OFFSET('Smelter Look-up'!$H$4,$V1098-4,0))</f>
        <v/>
      </c>
      <c r="J1098" s="172" t="str">
        <f ca="1">IF(ISERROR($V1098),"",OFFSET('Smelter Look-up'!$I$4,$V1098-4,0))</f>
        <v/>
      </c>
      <c r="K1098" s="173"/>
      <c r="L1098" s="173"/>
      <c r="M1098" s="173"/>
      <c r="N1098" s="173"/>
      <c r="O1098" s="173"/>
      <c r="P1098" s="174"/>
      <c r="Q1098" s="175"/>
      <c r="R1098" s="168" t="str">
        <f ca="1">IF(ISERROR($V1098),"",OFFSET('Smelter Look-up'!$C$4,$V1098-4,0)&amp;"")</f>
        <v/>
      </c>
      <c r="S1098" s="167" t="str">
        <f t="shared" ca="1" si="102"/>
        <v/>
      </c>
      <c r="T1098" s="167" t="str">
        <f ca="1">IF(B1098="","",IF(ISERROR(MATCH($J1098,SorP!$B$1:$B$6230,0)),"",INDIRECT("'SorP'!$A$"&amp;MATCH($J1098,SorP!$B$1:$B$6230,0))))</f>
        <v/>
      </c>
      <c r="U1098" s="176"/>
      <c r="V1098" s="177" t="e">
        <f>IF(C1098="",NA(),IF(OR(C1098="Smelter not listed",C1098="Smelter not yet identified"),MATCH($B1098&amp;$D1098,'Smelter Look-up'!$J:$J,0),MATCH($B1098&amp;$C1098,'Smelter Look-up'!$J:$J,0)))</f>
        <v>#N/A</v>
      </c>
      <c r="X1098" s="140">
        <f t="shared" ca="1" si="103"/>
        <v>0</v>
      </c>
      <c r="AB1098" s="178" t="str">
        <f t="shared" si="104"/>
        <v/>
      </c>
    </row>
    <row r="1099" spans="1:28" s="140" customFormat="1" ht="20.25">
      <c r="A1099" s="167"/>
      <c r="B1099" s="168" t="str">
        <f>IF(LEN(A1099)=0,"",INDEX('Smelter Look-up'!$A:$A,MATCH($A1099,'Smelter Look-up'!$E:$E,0)))</f>
        <v/>
      </c>
      <c r="C1099" s="169" t="str">
        <f>IF(LEN(A1099)=0,"",INDEX('Smelter Look-up'!$C:$C,MATCH($A1099,'Smelter Look-up'!$E:$E,0)))</f>
        <v/>
      </c>
      <c r="D1099" s="170"/>
      <c r="E1099" s="168" t="str">
        <f ca="1">IF(ISERROR($V1099),"",OFFSET('Smelter Look-up'!$D$4,$V1099-4,0)&amp;"")</f>
        <v/>
      </c>
      <c r="F1099" s="168" t="str">
        <f ca="1">IF(ISERROR($V1099),"",OFFSET('Smelter Look-up'!$E$4,$V1099-4,0))</f>
        <v/>
      </c>
      <c r="G1099" s="168" t="str">
        <f ca="1">IF(C1099=$X$4,IF(ISERROR($V1099),"Enter smelter details","RMI"),IF(ISERROR($V1099),"",OFFSET('Smelter Look-up'!$F$4,$V1099-4,0)))</f>
        <v/>
      </c>
      <c r="H1099" s="171" t="str">
        <f ca="1">IF(ISERROR($V1099),"",OFFSET('Smelter Look-up'!$G$4,$V1099-4,0))</f>
        <v/>
      </c>
      <c r="I1099" s="172" t="str">
        <f ca="1">IF(ISERROR($V1099),"",OFFSET('Smelter Look-up'!$H$4,$V1099-4,0))</f>
        <v/>
      </c>
      <c r="J1099" s="172" t="str">
        <f ca="1">IF(ISERROR($V1099),"",OFFSET('Smelter Look-up'!$I$4,$V1099-4,0))</f>
        <v/>
      </c>
      <c r="K1099" s="173"/>
      <c r="L1099" s="173"/>
      <c r="M1099" s="173"/>
      <c r="N1099" s="173"/>
      <c r="O1099" s="173"/>
      <c r="P1099" s="174"/>
      <c r="Q1099" s="175"/>
      <c r="R1099" s="168" t="str">
        <f ca="1">IF(ISERROR($V1099),"",OFFSET('Smelter Look-up'!$C$4,$V1099-4,0)&amp;"")</f>
        <v/>
      </c>
      <c r="S1099" s="167" t="str">
        <f t="shared" ca="1" si="102"/>
        <v/>
      </c>
      <c r="T1099" s="167" t="str">
        <f ca="1">IF(B1099="","",IF(ISERROR(MATCH($J1099,SorP!$B$1:$B$6230,0)),"",INDIRECT("'SorP'!$A$"&amp;MATCH($J1099,SorP!$B$1:$B$6230,0))))</f>
        <v/>
      </c>
      <c r="U1099" s="176"/>
      <c r="V1099" s="177" t="e">
        <f>IF(C1099="",NA(),IF(OR(C1099="Smelter not listed",C1099="Smelter not yet identified"),MATCH($B1099&amp;$D1099,'Smelter Look-up'!$J:$J,0),MATCH($B1099&amp;$C1099,'Smelter Look-up'!$J:$J,0)))</f>
        <v>#N/A</v>
      </c>
      <c r="X1099" s="140">
        <f t="shared" ca="1" si="103"/>
        <v>0</v>
      </c>
      <c r="AB1099" s="178" t="str">
        <f t="shared" si="104"/>
        <v/>
      </c>
    </row>
    <row r="1100" spans="1:28" s="140" customFormat="1" ht="20.25">
      <c r="A1100" s="167"/>
      <c r="B1100" s="168" t="str">
        <f>IF(LEN(A1100)=0,"",INDEX('Smelter Look-up'!$A:$A,MATCH($A1100,'Smelter Look-up'!$E:$E,0)))</f>
        <v/>
      </c>
      <c r="C1100" s="169" t="str">
        <f>IF(LEN(A1100)=0,"",INDEX('Smelter Look-up'!$C:$C,MATCH($A1100,'Smelter Look-up'!$E:$E,0)))</f>
        <v/>
      </c>
      <c r="D1100" s="170"/>
      <c r="E1100" s="168" t="str">
        <f ca="1">IF(ISERROR($V1100),"",OFFSET('Smelter Look-up'!$D$4,$V1100-4,0)&amp;"")</f>
        <v/>
      </c>
      <c r="F1100" s="168" t="str">
        <f ca="1">IF(ISERROR($V1100),"",OFFSET('Smelter Look-up'!$E$4,$V1100-4,0))</f>
        <v/>
      </c>
      <c r="G1100" s="168" t="str">
        <f ca="1">IF(C1100=$X$4,IF(ISERROR($V1100),"Enter smelter details","RMI"),IF(ISERROR($V1100),"",OFFSET('Smelter Look-up'!$F$4,$V1100-4,0)))</f>
        <v/>
      </c>
      <c r="H1100" s="171" t="str">
        <f ca="1">IF(ISERROR($V1100),"",OFFSET('Smelter Look-up'!$G$4,$V1100-4,0))</f>
        <v/>
      </c>
      <c r="I1100" s="172" t="str">
        <f ca="1">IF(ISERROR($V1100),"",OFFSET('Smelter Look-up'!$H$4,$V1100-4,0))</f>
        <v/>
      </c>
      <c r="J1100" s="172" t="str">
        <f ca="1">IF(ISERROR($V1100),"",OFFSET('Smelter Look-up'!$I$4,$V1100-4,0))</f>
        <v/>
      </c>
      <c r="K1100" s="173"/>
      <c r="L1100" s="173"/>
      <c r="M1100" s="173"/>
      <c r="N1100" s="173"/>
      <c r="O1100" s="173"/>
      <c r="P1100" s="174"/>
      <c r="Q1100" s="175"/>
      <c r="R1100" s="168" t="str">
        <f ca="1">IF(ISERROR($V1100),"",OFFSET('Smelter Look-up'!$C$4,$V1100-4,0)&amp;"")</f>
        <v/>
      </c>
      <c r="S1100" s="167" t="str">
        <f t="shared" ca="1" si="102"/>
        <v/>
      </c>
      <c r="T1100" s="167" t="str">
        <f ca="1">IF(B1100="","",IF(ISERROR(MATCH($J1100,SorP!$B$1:$B$6230,0)),"",INDIRECT("'SorP'!$A$"&amp;MATCH($J1100,SorP!$B$1:$B$6230,0))))</f>
        <v/>
      </c>
      <c r="U1100" s="176"/>
      <c r="V1100" s="177" t="e">
        <f>IF(C1100="",NA(),IF(OR(C1100="Smelter not listed",C1100="Smelter not yet identified"),MATCH($B1100&amp;$D1100,'Smelter Look-up'!$J:$J,0),MATCH($B1100&amp;$C1100,'Smelter Look-up'!$J:$J,0)))</f>
        <v>#N/A</v>
      </c>
      <c r="X1100" s="140">
        <f t="shared" ca="1" si="103"/>
        <v>0</v>
      </c>
      <c r="AB1100" s="178" t="str">
        <f t="shared" si="104"/>
        <v/>
      </c>
    </row>
    <row r="1101" spans="1:28" s="140" customFormat="1" ht="20.25">
      <c r="A1101" s="167"/>
      <c r="B1101" s="168" t="str">
        <f>IF(LEN(A1101)=0,"",INDEX('Smelter Look-up'!$A:$A,MATCH($A1101,'Smelter Look-up'!$E:$E,0)))</f>
        <v/>
      </c>
      <c r="C1101" s="169" t="str">
        <f>IF(LEN(A1101)=0,"",INDEX('Smelter Look-up'!$C:$C,MATCH($A1101,'Smelter Look-up'!$E:$E,0)))</f>
        <v/>
      </c>
      <c r="D1101" s="170"/>
      <c r="E1101" s="168" t="str">
        <f ca="1">IF(ISERROR($V1101),"",OFFSET('Smelter Look-up'!$D$4,$V1101-4,0)&amp;"")</f>
        <v/>
      </c>
      <c r="F1101" s="168" t="str">
        <f ca="1">IF(ISERROR($V1101),"",OFFSET('Smelter Look-up'!$E$4,$V1101-4,0))</f>
        <v/>
      </c>
      <c r="G1101" s="168" t="str">
        <f ca="1">IF(C1101=$X$4,IF(ISERROR($V1101),"Enter smelter details","RMI"),IF(ISERROR($V1101),"",OFFSET('Smelter Look-up'!$F$4,$V1101-4,0)))</f>
        <v/>
      </c>
      <c r="H1101" s="171" t="str">
        <f ca="1">IF(ISERROR($V1101),"",OFFSET('Smelter Look-up'!$G$4,$V1101-4,0))</f>
        <v/>
      </c>
      <c r="I1101" s="172" t="str">
        <f ca="1">IF(ISERROR($V1101),"",OFFSET('Smelter Look-up'!$H$4,$V1101-4,0))</f>
        <v/>
      </c>
      <c r="J1101" s="172" t="str">
        <f ca="1">IF(ISERROR($V1101),"",OFFSET('Smelter Look-up'!$I$4,$V1101-4,0))</f>
        <v/>
      </c>
      <c r="K1101" s="173"/>
      <c r="L1101" s="173"/>
      <c r="M1101" s="173"/>
      <c r="N1101" s="173"/>
      <c r="O1101" s="173"/>
      <c r="P1101" s="174"/>
      <c r="Q1101" s="175"/>
      <c r="R1101" s="168" t="str">
        <f ca="1">IF(ISERROR($V1101),"",OFFSET('Smelter Look-up'!$C$4,$V1101-4,0)&amp;"")</f>
        <v/>
      </c>
      <c r="S1101" s="167" t="str">
        <f t="shared" ca="1" si="102"/>
        <v/>
      </c>
      <c r="T1101" s="167" t="str">
        <f ca="1">IF(B1101="","",IF(ISERROR(MATCH($J1101,SorP!$B$1:$B$6230,0)),"",INDIRECT("'SorP'!$A$"&amp;MATCH($J1101,SorP!$B$1:$B$6230,0))))</f>
        <v/>
      </c>
      <c r="U1101" s="176"/>
      <c r="V1101" s="177" t="e">
        <f>IF(C1101="",NA(),IF(OR(C1101="Smelter not listed",C1101="Smelter not yet identified"),MATCH($B1101&amp;$D1101,'Smelter Look-up'!$J:$J,0),MATCH($B1101&amp;$C1101,'Smelter Look-up'!$J:$J,0)))</f>
        <v>#N/A</v>
      </c>
      <c r="X1101" s="140">
        <f t="shared" ca="1" si="103"/>
        <v>0</v>
      </c>
      <c r="AB1101" s="178" t="str">
        <f t="shared" si="104"/>
        <v/>
      </c>
    </row>
    <row r="1102" spans="1:28" s="140" customFormat="1" ht="20.25">
      <c r="A1102" s="167"/>
      <c r="B1102" s="168" t="str">
        <f>IF(LEN(A1102)=0,"",INDEX('Smelter Look-up'!$A:$A,MATCH($A1102,'Smelter Look-up'!$E:$E,0)))</f>
        <v/>
      </c>
      <c r="C1102" s="169" t="str">
        <f>IF(LEN(A1102)=0,"",INDEX('Smelter Look-up'!$C:$C,MATCH($A1102,'Smelter Look-up'!$E:$E,0)))</f>
        <v/>
      </c>
      <c r="D1102" s="170"/>
      <c r="E1102" s="168" t="str">
        <f ca="1">IF(ISERROR($V1102),"",OFFSET('Smelter Look-up'!$D$4,$V1102-4,0)&amp;"")</f>
        <v/>
      </c>
      <c r="F1102" s="168" t="str">
        <f ca="1">IF(ISERROR($V1102),"",OFFSET('Smelter Look-up'!$E$4,$V1102-4,0))</f>
        <v/>
      </c>
      <c r="G1102" s="168" t="str">
        <f ca="1">IF(C1102=$X$4,IF(ISERROR($V1102),"Enter smelter details","RMI"),IF(ISERROR($V1102),"",OFFSET('Smelter Look-up'!$F$4,$V1102-4,0)))</f>
        <v/>
      </c>
      <c r="H1102" s="171" t="str">
        <f ca="1">IF(ISERROR($V1102),"",OFFSET('Smelter Look-up'!$G$4,$V1102-4,0))</f>
        <v/>
      </c>
      <c r="I1102" s="172" t="str">
        <f ca="1">IF(ISERROR($V1102),"",OFFSET('Smelter Look-up'!$H$4,$V1102-4,0))</f>
        <v/>
      </c>
      <c r="J1102" s="172" t="str">
        <f ca="1">IF(ISERROR($V1102),"",OFFSET('Smelter Look-up'!$I$4,$V1102-4,0))</f>
        <v/>
      </c>
      <c r="K1102" s="173"/>
      <c r="L1102" s="173"/>
      <c r="M1102" s="173"/>
      <c r="N1102" s="173"/>
      <c r="O1102" s="173"/>
      <c r="P1102" s="174"/>
      <c r="Q1102" s="175"/>
      <c r="R1102" s="168" t="str">
        <f ca="1">IF(ISERROR($V1102),"",OFFSET('Smelter Look-up'!$C$4,$V1102-4,0)&amp;"")</f>
        <v/>
      </c>
      <c r="S1102" s="167" t="str">
        <f t="shared" ca="1" si="102"/>
        <v/>
      </c>
      <c r="T1102" s="167" t="str">
        <f ca="1">IF(B1102="","",IF(ISERROR(MATCH($J1102,SorP!$B$1:$B$6230,0)),"",INDIRECT("'SorP'!$A$"&amp;MATCH($J1102,SorP!$B$1:$B$6230,0))))</f>
        <v/>
      </c>
      <c r="U1102" s="176"/>
      <c r="V1102" s="177" t="e">
        <f>IF(C1102="",NA(),IF(OR(C1102="Smelter not listed",C1102="Smelter not yet identified"),MATCH($B1102&amp;$D1102,'Smelter Look-up'!$J:$J,0),MATCH($B1102&amp;$C1102,'Smelter Look-up'!$J:$J,0)))</f>
        <v>#N/A</v>
      </c>
      <c r="X1102" s="140">
        <f t="shared" ca="1" si="103"/>
        <v>0</v>
      </c>
      <c r="AB1102" s="178" t="str">
        <f t="shared" si="104"/>
        <v/>
      </c>
    </row>
    <row r="1103" spans="1:28" s="140" customFormat="1" ht="20.25">
      <c r="A1103" s="167"/>
      <c r="B1103" s="168" t="str">
        <f>IF(LEN(A1103)=0,"",INDEX('Smelter Look-up'!$A:$A,MATCH($A1103,'Smelter Look-up'!$E:$E,0)))</f>
        <v/>
      </c>
      <c r="C1103" s="169" t="str">
        <f>IF(LEN(A1103)=0,"",INDEX('Smelter Look-up'!$C:$C,MATCH($A1103,'Smelter Look-up'!$E:$E,0)))</f>
        <v/>
      </c>
      <c r="D1103" s="170"/>
      <c r="E1103" s="168" t="str">
        <f ca="1">IF(ISERROR($V1103),"",OFFSET('Smelter Look-up'!$D$4,$V1103-4,0)&amp;"")</f>
        <v/>
      </c>
      <c r="F1103" s="168" t="str">
        <f ca="1">IF(ISERROR($V1103),"",OFFSET('Smelter Look-up'!$E$4,$V1103-4,0))</f>
        <v/>
      </c>
      <c r="G1103" s="168" t="str">
        <f ca="1">IF(C1103=$X$4,IF(ISERROR($V1103),"Enter smelter details","RMI"),IF(ISERROR($V1103),"",OFFSET('Smelter Look-up'!$F$4,$V1103-4,0)))</f>
        <v/>
      </c>
      <c r="H1103" s="171" t="str">
        <f ca="1">IF(ISERROR($V1103),"",OFFSET('Smelter Look-up'!$G$4,$V1103-4,0))</f>
        <v/>
      </c>
      <c r="I1103" s="172" t="str">
        <f ca="1">IF(ISERROR($V1103),"",OFFSET('Smelter Look-up'!$H$4,$V1103-4,0))</f>
        <v/>
      </c>
      <c r="J1103" s="172" t="str">
        <f ca="1">IF(ISERROR($V1103),"",OFFSET('Smelter Look-up'!$I$4,$V1103-4,0))</f>
        <v/>
      </c>
      <c r="K1103" s="173"/>
      <c r="L1103" s="173"/>
      <c r="M1103" s="173"/>
      <c r="N1103" s="173"/>
      <c r="O1103" s="173"/>
      <c r="P1103" s="174"/>
      <c r="Q1103" s="175"/>
      <c r="R1103" s="168" t="str">
        <f ca="1">IF(ISERROR($V1103),"",OFFSET('Smelter Look-up'!$C$4,$V1103-4,0)&amp;"")</f>
        <v/>
      </c>
      <c r="S1103" s="167" t="str">
        <f t="shared" ca="1" si="102"/>
        <v/>
      </c>
      <c r="T1103" s="167" t="str">
        <f ca="1">IF(B1103="","",IF(ISERROR(MATCH($J1103,SorP!$B$1:$B$6230,0)),"",INDIRECT("'SorP'!$A$"&amp;MATCH($J1103,SorP!$B$1:$B$6230,0))))</f>
        <v/>
      </c>
      <c r="U1103" s="176"/>
      <c r="V1103" s="177" t="e">
        <f>IF(C1103="",NA(),IF(OR(C1103="Smelter not listed",C1103="Smelter not yet identified"),MATCH($B1103&amp;$D1103,'Smelter Look-up'!$J:$J,0),MATCH($B1103&amp;$C1103,'Smelter Look-up'!$J:$J,0)))</f>
        <v>#N/A</v>
      </c>
      <c r="X1103" s="140">
        <f t="shared" ca="1" si="103"/>
        <v>0</v>
      </c>
      <c r="AB1103" s="178" t="str">
        <f t="shared" si="104"/>
        <v/>
      </c>
    </row>
    <row r="1104" spans="1:28" s="140" customFormat="1" ht="20.25">
      <c r="A1104" s="167"/>
      <c r="B1104" s="168" t="str">
        <f>IF(LEN(A1104)=0,"",INDEX('Smelter Look-up'!$A:$A,MATCH($A1104,'Smelter Look-up'!$E:$E,0)))</f>
        <v/>
      </c>
      <c r="C1104" s="169" t="str">
        <f>IF(LEN(A1104)=0,"",INDEX('Smelter Look-up'!$C:$C,MATCH($A1104,'Smelter Look-up'!$E:$E,0)))</f>
        <v/>
      </c>
      <c r="D1104" s="170"/>
      <c r="E1104" s="168" t="str">
        <f ca="1">IF(ISERROR($V1104),"",OFFSET('Smelter Look-up'!$D$4,$V1104-4,0)&amp;"")</f>
        <v/>
      </c>
      <c r="F1104" s="168" t="str">
        <f ca="1">IF(ISERROR($V1104),"",OFFSET('Smelter Look-up'!$E$4,$V1104-4,0))</f>
        <v/>
      </c>
      <c r="G1104" s="168" t="str">
        <f ca="1">IF(C1104=$X$4,IF(ISERROR($V1104),"Enter smelter details","RMI"),IF(ISERROR($V1104),"",OFFSET('Smelter Look-up'!$F$4,$V1104-4,0)))</f>
        <v/>
      </c>
      <c r="H1104" s="171" t="str">
        <f ca="1">IF(ISERROR($V1104),"",OFFSET('Smelter Look-up'!$G$4,$V1104-4,0))</f>
        <v/>
      </c>
      <c r="I1104" s="172" t="str">
        <f ca="1">IF(ISERROR($V1104),"",OFFSET('Smelter Look-up'!$H$4,$V1104-4,0))</f>
        <v/>
      </c>
      <c r="J1104" s="172" t="str">
        <f ca="1">IF(ISERROR($V1104),"",OFFSET('Smelter Look-up'!$I$4,$V1104-4,0))</f>
        <v/>
      </c>
      <c r="K1104" s="173"/>
      <c r="L1104" s="173"/>
      <c r="M1104" s="173"/>
      <c r="N1104" s="173"/>
      <c r="O1104" s="173"/>
      <c r="P1104" s="174"/>
      <c r="Q1104" s="175"/>
      <c r="R1104" s="168" t="str">
        <f ca="1">IF(ISERROR($V1104),"",OFFSET('Smelter Look-up'!$C$4,$V1104-4,0)&amp;"")</f>
        <v/>
      </c>
      <c r="S1104" s="167" t="str">
        <f t="shared" ca="1" si="102"/>
        <v/>
      </c>
      <c r="T1104" s="167" t="str">
        <f ca="1">IF(B1104="","",IF(ISERROR(MATCH($J1104,SorP!$B$1:$B$6230,0)),"",INDIRECT("'SorP'!$A$"&amp;MATCH($J1104,SorP!$B$1:$B$6230,0))))</f>
        <v/>
      </c>
      <c r="U1104" s="176"/>
      <c r="V1104" s="177" t="e">
        <f>IF(C1104="",NA(),IF(OR(C1104="Smelter not listed",C1104="Smelter not yet identified"),MATCH($B1104&amp;$D1104,'Smelter Look-up'!$J:$J,0),MATCH($B1104&amp;$C1104,'Smelter Look-up'!$J:$J,0)))</f>
        <v>#N/A</v>
      </c>
      <c r="X1104" s="140">
        <f t="shared" ca="1" si="103"/>
        <v>0</v>
      </c>
      <c r="AB1104" s="178" t="str">
        <f t="shared" si="104"/>
        <v/>
      </c>
    </row>
    <row r="1105" spans="1:28" s="140" customFormat="1" ht="20.25">
      <c r="A1105" s="167"/>
      <c r="B1105" s="168" t="str">
        <f>IF(LEN(A1105)=0,"",INDEX('Smelter Look-up'!$A:$A,MATCH($A1105,'Smelter Look-up'!$E:$E,0)))</f>
        <v/>
      </c>
      <c r="C1105" s="169" t="str">
        <f>IF(LEN(A1105)=0,"",INDEX('Smelter Look-up'!$C:$C,MATCH($A1105,'Smelter Look-up'!$E:$E,0)))</f>
        <v/>
      </c>
      <c r="D1105" s="170"/>
      <c r="E1105" s="168" t="str">
        <f ca="1">IF(ISERROR($V1105),"",OFFSET('Smelter Look-up'!$D$4,$V1105-4,0)&amp;"")</f>
        <v/>
      </c>
      <c r="F1105" s="168" t="str">
        <f ca="1">IF(ISERROR($V1105),"",OFFSET('Smelter Look-up'!$E$4,$V1105-4,0))</f>
        <v/>
      </c>
      <c r="G1105" s="168" t="str">
        <f ca="1">IF(C1105=$X$4,IF(ISERROR($V1105),"Enter smelter details","RMI"),IF(ISERROR($V1105),"",OFFSET('Smelter Look-up'!$F$4,$V1105-4,0)))</f>
        <v/>
      </c>
      <c r="H1105" s="171" t="str">
        <f ca="1">IF(ISERROR($V1105),"",OFFSET('Smelter Look-up'!$G$4,$V1105-4,0))</f>
        <v/>
      </c>
      <c r="I1105" s="172" t="str">
        <f ca="1">IF(ISERROR($V1105),"",OFFSET('Smelter Look-up'!$H$4,$V1105-4,0))</f>
        <v/>
      </c>
      <c r="J1105" s="172" t="str">
        <f ca="1">IF(ISERROR($V1105),"",OFFSET('Smelter Look-up'!$I$4,$V1105-4,0))</f>
        <v/>
      </c>
      <c r="K1105" s="173"/>
      <c r="L1105" s="173"/>
      <c r="M1105" s="173"/>
      <c r="N1105" s="173"/>
      <c r="O1105" s="173"/>
      <c r="P1105" s="174"/>
      <c r="Q1105" s="175"/>
      <c r="R1105" s="168" t="str">
        <f ca="1">IF(ISERROR($V1105),"",OFFSET('Smelter Look-up'!$C$4,$V1105-4,0)&amp;"")</f>
        <v/>
      </c>
      <c r="S1105" s="167" t="str">
        <f t="shared" ca="1" si="102"/>
        <v/>
      </c>
      <c r="T1105" s="167" t="str">
        <f ca="1">IF(B1105="","",IF(ISERROR(MATCH($J1105,SorP!$B$1:$B$6230,0)),"",INDIRECT("'SorP'!$A$"&amp;MATCH($J1105,SorP!$B$1:$B$6230,0))))</f>
        <v/>
      </c>
      <c r="U1105" s="176"/>
      <c r="V1105" s="177" t="e">
        <f>IF(C1105="",NA(),IF(OR(C1105="Smelter not listed",C1105="Smelter not yet identified"),MATCH($B1105&amp;$D1105,'Smelter Look-up'!$J:$J,0),MATCH($B1105&amp;$C1105,'Smelter Look-up'!$J:$J,0)))</f>
        <v>#N/A</v>
      </c>
      <c r="X1105" s="140">
        <f t="shared" ca="1" si="103"/>
        <v>0</v>
      </c>
      <c r="AB1105" s="178" t="str">
        <f t="shared" si="104"/>
        <v/>
      </c>
    </row>
    <row r="1106" spans="1:28" s="140" customFormat="1" ht="20.25">
      <c r="A1106" s="167"/>
      <c r="B1106" s="168" t="str">
        <f>IF(LEN(A1106)=0,"",INDEX('Smelter Look-up'!$A:$A,MATCH($A1106,'Smelter Look-up'!$E:$E,0)))</f>
        <v/>
      </c>
      <c r="C1106" s="169" t="str">
        <f>IF(LEN(A1106)=0,"",INDEX('Smelter Look-up'!$C:$C,MATCH($A1106,'Smelter Look-up'!$E:$E,0)))</f>
        <v/>
      </c>
      <c r="D1106" s="170"/>
      <c r="E1106" s="168" t="str">
        <f ca="1">IF(ISERROR($V1106),"",OFFSET('Smelter Look-up'!$D$4,$V1106-4,0)&amp;"")</f>
        <v/>
      </c>
      <c r="F1106" s="168" t="str">
        <f ca="1">IF(ISERROR($V1106),"",OFFSET('Smelter Look-up'!$E$4,$V1106-4,0))</f>
        <v/>
      </c>
      <c r="G1106" s="168" t="str">
        <f ca="1">IF(C1106=$X$4,IF(ISERROR($V1106),"Enter smelter details","RMI"),IF(ISERROR($V1106),"",OFFSET('Smelter Look-up'!$F$4,$V1106-4,0)))</f>
        <v/>
      </c>
      <c r="H1106" s="171" t="str">
        <f ca="1">IF(ISERROR($V1106),"",OFFSET('Smelter Look-up'!$G$4,$V1106-4,0))</f>
        <v/>
      </c>
      <c r="I1106" s="172" t="str">
        <f ca="1">IF(ISERROR($V1106),"",OFFSET('Smelter Look-up'!$H$4,$V1106-4,0))</f>
        <v/>
      </c>
      <c r="J1106" s="172" t="str">
        <f ca="1">IF(ISERROR($V1106),"",OFFSET('Smelter Look-up'!$I$4,$V1106-4,0))</f>
        <v/>
      </c>
      <c r="K1106" s="173"/>
      <c r="L1106" s="173"/>
      <c r="M1106" s="173"/>
      <c r="N1106" s="173"/>
      <c r="O1106" s="173"/>
      <c r="P1106" s="174"/>
      <c r="Q1106" s="175"/>
      <c r="R1106" s="168" t="str">
        <f ca="1">IF(ISERROR($V1106),"",OFFSET('Smelter Look-up'!$C$4,$V1106-4,0)&amp;"")</f>
        <v/>
      </c>
      <c r="S1106" s="167" t="str">
        <f t="shared" ca="1" si="102"/>
        <v/>
      </c>
      <c r="T1106" s="167" t="str">
        <f ca="1">IF(B1106="","",IF(ISERROR(MATCH($J1106,SorP!$B$1:$B$6230,0)),"",INDIRECT("'SorP'!$A$"&amp;MATCH($J1106,SorP!$B$1:$B$6230,0))))</f>
        <v/>
      </c>
      <c r="U1106" s="176"/>
      <c r="V1106" s="177" t="e">
        <f>IF(C1106="",NA(),IF(OR(C1106="Smelter not listed",C1106="Smelter not yet identified"),MATCH($B1106&amp;$D1106,'Smelter Look-up'!$J:$J,0),MATCH($B1106&amp;$C1106,'Smelter Look-up'!$J:$J,0)))</f>
        <v>#N/A</v>
      </c>
      <c r="X1106" s="140">
        <f t="shared" ca="1" si="103"/>
        <v>0</v>
      </c>
      <c r="AB1106" s="178" t="str">
        <f t="shared" si="104"/>
        <v/>
      </c>
    </row>
    <row r="1107" spans="1:28" s="140" customFormat="1" ht="20.25">
      <c r="A1107" s="167"/>
      <c r="B1107" s="168" t="str">
        <f>IF(LEN(A1107)=0,"",INDEX('Smelter Look-up'!$A:$A,MATCH($A1107,'Smelter Look-up'!$E:$E,0)))</f>
        <v/>
      </c>
      <c r="C1107" s="169" t="str">
        <f>IF(LEN(A1107)=0,"",INDEX('Smelter Look-up'!$C:$C,MATCH($A1107,'Smelter Look-up'!$E:$E,0)))</f>
        <v/>
      </c>
      <c r="D1107" s="170"/>
      <c r="E1107" s="168" t="str">
        <f ca="1">IF(ISERROR($V1107),"",OFFSET('Smelter Look-up'!$D$4,$V1107-4,0)&amp;"")</f>
        <v/>
      </c>
      <c r="F1107" s="168" t="str">
        <f ca="1">IF(ISERROR($V1107),"",OFFSET('Smelter Look-up'!$E$4,$V1107-4,0))</f>
        <v/>
      </c>
      <c r="G1107" s="168" t="str">
        <f ca="1">IF(C1107=$X$4,IF(ISERROR($V1107),"Enter smelter details","RMI"),IF(ISERROR($V1107),"",OFFSET('Smelter Look-up'!$F$4,$V1107-4,0)))</f>
        <v/>
      </c>
      <c r="H1107" s="171" t="str">
        <f ca="1">IF(ISERROR($V1107),"",OFFSET('Smelter Look-up'!$G$4,$V1107-4,0))</f>
        <v/>
      </c>
      <c r="I1107" s="172" t="str">
        <f ca="1">IF(ISERROR($V1107),"",OFFSET('Smelter Look-up'!$H$4,$V1107-4,0))</f>
        <v/>
      </c>
      <c r="J1107" s="172" t="str">
        <f ca="1">IF(ISERROR($V1107),"",OFFSET('Smelter Look-up'!$I$4,$V1107-4,0))</f>
        <v/>
      </c>
      <c r="K1107" s="173"/>
      <c r="L1107" s="173"/>
      <c r="M1107" s="173"/>
      <c r="N1107" s="173"/>
      <c r="O1107" s="173"/>
      <c r="P1107" s="174"/>
      <c r="Q1107" s="175"/>
      <c r="R1107" s="168" t="str">
        <f ca="1">IF(ISERROR($V1107),"",OFFSET('Smelter Look-up'!$C$4,$V1107-4,0)&amp;"")</f>
        <v/>
      </c>
      <c r="S1107" s="167" t="str">
        <f t="shared" ca="1" si="102"/>
        <v/>
      </c>
      <c r="T1107" s="167" t="str">
        <f ca="1">IF(B1107="","",IF(ISERROR(MATCH($J1107,SorP!$B$1:$B$6230,0)),"",INDIRECT("'SorP'!$A$"&amp;MATCH($J1107,SorP!$B$1:$B$6230,0))))</f>
        <v/>
      </c>
      <c r="U1107" s="176"/>
      <c r="V1107" s="177" t="e">
        <f>IF(C1107="",NA(),IF(OR(C1107="Smelter not listed",C1107="Smelter not yet identified"),MATCH($B1107&amp;$D1107,'Smelter Look-up'!$J:$J,0),MATCH($B1107&amp;$C1107,'Smelter Look-up'!$J:$J,0)))</f>
        <v>#N/A</v>
      </c>
      <c r="X1107" s="140">
        <f t="shared" ca="1" si="103"/>
        <v>0</v>
      </c>
      <c r="AB1107" s="178" t="str">
        <f t="shared" si="104"/>
        <v/>
      </c>
    </row>
    <row r="1108" spans="1:28" s="140" customFormat="1" ht="20.25">
      <c r="A1108" s="167"/>
      <c r="B1108" s="168" t="str">
        <f>IF(LEN(A1108)=0,"",INDEX('Smelter Look-up'!$A:$A,MATCH($A1108,'Smelter Look-up'!$E:$E,0)))</f>
        <v/>
      </c>
      <c r="C1108" s="169" t="str">
        <f>IF(LEN(A1108)=0,"",INDEX('Smelter Look-up'!$C:$C,MATCH($A1108,'Smelter Look-up'!$E:$E,0)))</f>
        <v/>
      </c>
      <c r="D1108" s="170"/>
      <c r="E1108" s="168" t="str">
        <f ca="1">IF(ISERROR($V1108),"",OFFSET('Smelter Look-up'!$D$4,$V1108-4,0)&amp;"")</f>
        <v/>
      </c>
      <c r="F1108" s="168" t="str">
        <f ca="1">IF(ISERROR($V1108),"",OFFSET('Smelter Look-up'!$E$4,$V1108-4,0))</f>
        <v/>
      </c>
      <c r="G1108" s="168" t="str">
        <f ca="1">IF(C1108=$X$4,IF(ISERROR($V1108),"Enter smelter details","RMI"),IF(ISERROR($V1108),"",OFFSET('Smelter Look-up'!$F$4,$V1108-4,0)))</f>
        <v/>
      </c>
      <c r="H1108" s="171" t="str">
        <f ca="1">IF(ISERROR($V1108),"",OFFSET('Smelter Look-up'!$G$4,$V1108-4,0))</f>
        <v/>
      </c>
      <c r="I1108" s="172" t="str">
        <f ca="1">IF(ISERROR($V1108),"",OFFSET('Smelter Look-up'!$H$4,$V1108-4,0))</f>
        <v/>
      </c>
      <c r="J1108" s="172" t="str">
        <f ca="1">IF(ISERROR($V1108),"",OFFSET('Smelter Look-up'!$I$4,$V1108-4,0))</f>
        <v/>
      </c>
      <c r="K1108" s="173"/>
      <c r="L1108" s="173"/>
      <c r="M1108" s="173"/>
      <c r="N1108" s="173"/>
      <c r="O1108" s="173"/>
      <c r="P1108" s="174"/>
      <c r="Q1108" s="175"/>
      <c r="R1108" s="168" t="str">
        <f ca="1">IF(ISERROR($V1108),"",OFFSET('Smelter Look-up'!$C$4,$V1108-4,0)&amp;"")</f>
        <v/>
      </c>
      <c r="S1108" s="167" t="str">
        <f t="shared" ca="1" si="102"/>
        <v/>
      </c>
      <c r="T1108" s="167" t="str">
        <f ca="1">IF(B1108="","",IF(ISERROR(MATCH($J1108,SorP!$B$1:$B$6230,0)),"",INDIRECT("'SorP'!$A$"&amp;MATCH($J1108,SorP!$B$1:$B$6230,0))))</f>
        <v/>
      </c>
      <c r="U1108" s="176"/>
      <c r="V1108" s="177" t="e">
        <f>IF(C1108="",NA(),IF(OR(C1108="Smelter not listed",C1108="Smelter not yet identified"),MATCH($B1108&amp;$D1108,'Smelter Look-up'!$J:$J,0),MATCH($B1108&amp;$C1108,'Smelter Look-up'!$J:$J,0)))</f>
        <v>#N/A</v>
      </c>
      <c r="X1108" s="140">
        <f t="shared" ca="1" si="103"/>
        <v>0</v>
      </c>
      <c r="AB1108" s="178" t="str">
        <f t="shared" si="104"/>
        <v/>
      </c>
    </row>
    <row r="1109" spans="1:28" s="140" customFormat="1" ht="20.25">
      <c r="A1109" s="167"/>
      <c r="B1109" s="168" t="str">
        <f>IF(LEN(A1109)=0,"",INDEX('Smelter Look-up'!$A:$A,MATCH($A1109,'Smelter Look-up'!$E:$E,0)))</f>
        <v/>
      </c>
      <c r="C1109" s="169" t="str">
        <f>IF(LEN(A1109)=0,"",INDEX('Smelter Look-up'!$C:$C,MATCH($A1109,'Smelter Look-up'!$E:$E,0)))</f>
        <v/>
      </c>
      <c r="D1109" s="170"/>
      <c r="E1109" s="168" t="str">
        <f ca="1">IF(ISERROR($V1109),"",OFFSET('Smelter Look-up'!$D$4,$V1109-4,0)&amp;"")</f>
        <v/>
      </c>
      <c r="F1109" s="168" t="str">
        <f ca="1">IF(ISERROR($V1109),"",OFFSET('Smelter Look-up'!$E$4,$V1109-4,0))</f>
        <v/>
      </c>
      <c r="G1109" s="168" t="str">
        <f ca="1">IF(C1109=$X$4,IF(ISERROR($V1109),"Enter smelter details","RMI"),IF(ISERROR($V1109),"",OFFSET('Smelter Look-up'!$F$4,$V1109-4,0)))</f>
        <v/>
      </c>
      <c r="H1109" s="171" t="str">
        <f ca="1">IF(ISERROR($V1109),"",OFFSET('Smelter Look-up'!$G$4,$V1109-4,0))</f>
        <v/>
      </c>
      <c r="I1109" s="172" t="str">
        <f ca="1">IF(ISERROR($V1109),"",OFFSET('Smelter Look-up'!$H$4,$V1109-4,0))</f>
        <v/>
      </c>
      <c r="J1109" s="172" t="str">
        <f ca="1">IF(ISERROR($V1109),"",OFFSET('Smelter Look-up'!$I$4,$V1109-4,0))</f>
        <v/>
      </c>
      <c r="K1109" s="173"/>
      <c r="L1109" s="173"/>
      <c r="M1109" s="173"/>
      <c r="N1109" s="173"/>
      <c r="O1109" s="173"/>
      <c r="P1109" s="174"/>
      <c r="Q1109" s="175"/>
      <c r="R1109" s="168" t="str">
        <f ca="1">IF(ISERROR($V1109),"",OFFSET('Smelter Look-up'!$C$4,$V1109-4,0)&amp;"")</f>
        <v/>
      </c>
      <c r="S1109" s="167" t="str">
        <f t="shared" ca="1" si="102"/>
        <v/>
      </c>
      <c r="T1109" s="167" t="str">
        <f ca="1">IF(B1109="","",IF(ISERROR(MATCH($J1109,SorP!$B$1:$B$6230,0)),"",INDIRECT("'SorP'!$A$"&amp;MATCH($J1109,SorP!$B$1:$B$6230,0))))</f>
        <v/>
      </c>
      <c r="U1109" s="176"/>
      <c r="V1109" s="177" t="e">
        <f>IF(C1109="",NA(),IF(OR(C1109="Smelter not listed",C1109="Smelter not yet identified"),MATCH($B1109&amp;$D1109,'Smelter Look-up'!$J:$J,0),MATCH($B1109&amp;$C1109,'Smelter Look-up'!$J:$J,0)))</f>
        <v>#N/A</v>
      </c>
      <c r="X1109" s="140">
        <f t="shared" ca="1" si="103"/>
        <v>0</v>
      </c>
      <c r="AB1109" s="178" t="str">
        <f t="shared" si="104"/>
        <v/>
      </c>
    </row>
    <row r="1110" spans="1:28" s="140" customFormat="1" ht="20.25">
      <c r="A1110" s="167"/>
      <c r="B1110" s="168" t="str">
        <f>IF(LEN(A1110)=0,"",INDEX('Smelter Look-up'!$A:$A,MATCH($A1110,'Smelter Look-up'!$E:$E,0)))</f>
        <v/>
      </c>
      <c r="C1110" s="169" t="str">
        <f>IF(LEN(A1110)=0,"",INDEX('Smelter Look-up'!$C:$C,MATCH($A1110,'Smelter Look-up'!$E:$E,0)))</f>
        <v/>
      </c>
      <c r="D1110" s="170"/>
      <c r="E1110" s="168" t="str">
        <f ca="1">IF(ISERROR($V1110),"",OFFSET('Smelter Look-up'!$D$4,$V1110-4,0)&amp;"")</f>
        <v/>
      </c>
      <c r="F1110" s="168" t="str">
        <f ca="1">IF(ISERROR($V1110),"",OFFSET('Smelter Look-up'!$E$4,$V1110-4,0))</f>
        <v/>
      </c>
      <c r="G1110" s="168" t="str">
        <f ca="1">IF(C1110=$X$4,IF(ISERROR($V1110),"Enter smelter details","RMI"),IF(ISERROR($V1110),"",OFFSET('Smelter Look-up'!$F$4,$V1110-4,0)))</f>
        <v/>
      </c>
      <c r="H1110" s="171" t="str">
        <f ca="1">IF(ISERROR($V1110),"",OFFSET('Smelter Look-up'!$G$4,$V1110-4,0))</f>
        <v/>
      </c>
      <c r="I1110" s="172" t="str">
        <f ca="1">IF(ISERROR($V1110),"",OFFSET('Smelter Look-up'!$H$4,$V1110-4,0))</f>
        <v/>
      </c>
      <c r="J1110" s="172" t="str">
        <f ca="1">IF(ISERROR($V1110),"",OFFSET('Smelter Look-up'!$I$4,$V1110-4,0))</f>
        <v/>
      </c>
      <c r="K1110" s="173"/>
      <c r="L1110" s="173"/>
      <c r="M1110" s="173"/>
      <c r="N1110" s="173"/>
      <c r="O1110" s="173"/>
      <c r="P1110" s="174"/>
      <c r="Q1110" s="175"/>
      <c r="R1110" s="168" t="str">
        <f ca="1">IF(ISERROR($V1110),"",OFFSET('Smelter Look-up'!$C$4,$V1110-4,0)&amp;"")</f>
        <v/>
      </c>
      <c r="S1110" s="167" t="str">
        <f t="shared" ca="1" si="102"/>
        <v/>
      </c>
      <c r="T1110" s="167" t="str">
        <f ca="1">IF(B1110="","",IF(ISERROR(MATCH($J1110,SorP!$B$1:$B$6230,0)),"",INDIRECT("'SorP'!$A$"&amp;MATCH($J1110,SorP!$B$1:$B$6230,0))))</f>
        <v/>
      </c>
      <c r="U1110" s="176"/>
      <c r="V1110" s="177" t="e">
        <f>IF(C1110="",NA(),IF(OR(C1110="Smelter not listed",C1110="Smelter not yet identified"),MATCH($B1110&amp;$D1110,'Smelter Look-up'!$J:$J,0),MATCH($B1110&amp;$C1110,'Smelter Look-up'!$J:$J,0)))</f>
        <v>#N/A</v>
      </c>
      <c r="X1110" s="140">
        <f t="shared" ca="1" si="103"/>
        <v>0</v>
      </c>
      <c r="AB1110" s="178" t="str">
        <f t="shared" si="104"/>
        <v/>
      </c>
    </row>
    <row r="1111" spans="1:28" s="140" customFormat="1" ht="20.25">
      <c r="A1111" s="167"/>
      <c r="B1111" s="168" t="str">
        <f>IF(LEN(A1111)=0,"",INDEX('Smelter Look-up'!$A:$A,MATCH($A1111,'Smelter Look-up'!$E:$E,0)))</f>
        <v/>
      </c>
      <c r="C1111" s="169" t="str">
        <f>IF(LEN(A1111)=0,"",INDEX('Smelter Look-up'!$C:$C,MATCH($A1111,'Smelter Look-up'!$E:$E,0)))</f>
        <v/>
      </c>
      <c r="D1111" s="170"/>
      <c r="E1111" s="168" t="str">
        <f ca="1">IF(ISERROR($V1111),"",OFFSET('Smelter Look-up'!$D$4,$V1111-4,0)&amp;"")</f>
        <v/>
      </c>
      <c r="F1111" s="168" t="str">
        <f ca="1">IF(ISERROR($V1111),"",OFFSET('Smelter Look-up'!$E$4,$V1111-4,0))</f>
        <v/>
      </c>
      <c r="G1111" s="168" t="str">
        <f ca="1">IF(C1111=$X$4,IF(ISERROR($V1111),"Enter smelter details","RMI"),IF(ISERROR($V1111),"",OFFSET('Smelter Look-up'!$F$4,$V1111-4,0)))</f>
        <v/>
      </c>
      <c r="H1111" s="171" t="str">
        <f ca="1">IF(ISERROR($V1111),"",OFFSET('Smelter Look-up'!$G$4,$V1111-4,0))</f>
        <v/>
      </c>
      <c r="I1111" s="172" t="str">
        <f ca="1">IF(ISERROR($V1111),"",OFFSET('Smelter Look-up'!$H$4,$V1111-4,0))</f>
        <v/>
      </c>
      <c r="J1111" s="172" t="str">
        <f ca="1">IF(ISERROR($V1111),"",OFFSET('Smelter Look-up'!$I$4,$V1111-4,0))</f>
        <v/>
      </c>
      <c r="K1111" s="173"/>
      <c r="L1111" s="173"/>
      <c r="M1111" s="173"/>
      <c r="N1111" s="173"/>
      <c r="O1111" s="173"/>
      <c r="P1111" s="174"/>
      <c r="Q1111" s="175"/>
      <c r="R1111" s="168" t="str">
        <f ca="1">IF(ISERROR($V1111),"",OFFSET('Smelter Look-up'!$C$4,$V1111-4,0)&amp;"")</f>
        <v/>
      </c>
      <c r="S1111" s="167" t="str">
        <f t="shared" ca="1" si="102"/>
        <v/>
      </c>
      <c r="T1111" s="167" t="str">
        <f ca="1">IF(B1111="","",IF(ISERROR(MATCH($J1111,SorP!$B$1:$B$6230,0)),"",INDIRECT("'SorP'!$A$"&amp;MATCH($J1111,SorP!$B$1:$B$6230,0))))</f>
        <v/>
      </c>
      <c r="U1111" s="176"/>
      <c r="V1111" s="177" t="e">
        <f>IF(C1111="",NA(),IF(OR(C1111="Smelter not listed",C1111="Smelter not yet identified"),MATCH($B1111&amp;$D1111,'Smelter Look-up'!$J:$J,0),MATCH($B1111&amp;$C1111,'Smelter Look-up'!$J:$J,0)))</f>
        <v>#N/A</v>
      </c>
      <c r="X1111" s="140">
        <f t="shared" ca="1" si="103"/>
        <v>0</v>
      </c>
      <c r="AB1111" s="178" t="str">
        <f t="shared" si="104"/>
        <v/>
      </c>
    </row>
    <row r="1112" spans="1:28" s="140" customFormat="1" ht="20.25">
      <c r="A1112" s="167"/>
      <c r="B1112" s="168" t="str">
        <f>IF(LEN(A1112)=0,"",INDEX('Smelter Look-up'!$A:$A,MATCH($A1112,'Smelter Look-up'!$E:$E,0)))</f>
        <v/>
      </c>
      <c r="C1112" s="169" t="str">
        <f>IF(LEN(A1112)=0,"",INDEX('Smelter Look-up'!$C:$C,MATCH($A1112,'Smelter Look-up'!$E:$E,0)))</f>
        <v/>
      </c>
      <c r="D1112" s="170"/>
      <c r="E1112" s="168" t="str">
        <f ca="1">IF(ISERROR($V1112),"",OFFSET('Smelter Look-up'!$D$4,$V1112-4,0)&amp;"")</f>
        <v/>
      </c>
      <c r="F1112" s="168" t="str">
        <f ca="1">IF(ISERROR($V1112),"",OFFSET('Smelter Look-up'!$E$4,$V1112-4,0))</f>
        <v/>
      </c>
      <c r="G1112" s="168" t="str">
        <f ca="1">IF(C1112=$X$4,IF(ISERROR($V1112),"Enter smelter details","RMI"),IF(ISERROR($V1112),"",OFFSET('Smelter Look-up'!$F$4,$V1112-4,0)))</f>
        <v/>
      </c>
      <c r="H1112" s="171" t="str">
        <f ca="1">IF(ISERROR($V1112),"",OFFSET('Smelter Look-up'!$G$4,$V1112-4,0))</f>
        <v/>
      </c>
      <c r="I1112" s="172" t="str">
        <f ca="1">IF(ISERROR($V1112),"",OFFSET('Smelter Look-up'!$H$4,$V1112-4,0))</f>
        <v/>
      </c>
      <c r="J1112" s="172" t="str">
        <f ca="1">IF(ISERROR($V1112),"",OFFSET('Smelter Look-up'!$I$4,$V1112-4,0))</f>
        <v/>
      </c>
      <c r="K1112" s="173"/>
      <c r="L1112" s="173"/>
      <c r="M1112" s="173"/>
      <c r="N1112" s="173"/>
      <c r="O1112" s="173"/>
      <c r="P1112" s="174"/>
      <c r="Q1112" s="175"/>
      <c r="R1112" s="168" t="str">
        <f ca="1">IF(ISERROR($V1112),"",OFFSET('Smelter Look-up'!$C$4,$V1112-4,0)&amp;"")</f>
        <v/>
      </c>
      <c r="S1112" s="167" t="str">
        <f t="shared" ca="1" si="102"/>
        <v/>
      </c>
      <c r="T1112" s="167" t="str">
        <f ca="1">IF(B1112="","",IF(ISERROR(MATCH($J1112,SorP!$B$1:$B$6230,0)),"",INDIRECT("'SorP'!$A$"&amp;MATCH($J1112,SorP!$B$1:$B$6230,0))))</f>
        <v/>
      </c>
      <c r="U1112" s="176"/>
      <c r="V1112" s="177" t="e">
        <f>IF(C1112="",NA(),IF(OR(C1112="Smelter not listed",C1112="Smelter not yet identified"),MATCH($B1112&amp;$D1112,'Smelter Look-up'!$J:$J,0),MATCH($B1112&amp;$C1112,'Smelter Look-up'!$J:$J,0)))</f>
        <v>#N/A</v>
      </c>
      <c r="X1112" s="140">
        <f t="shared" ca="1" si="103"/>
        <v>0</v>
      </c>
      <c r="AB1112" s="178" t="str">
        <f t="shared" si="104"/>
        <v/>
      </c>
    </row>
    <row r="1113" spans="1:28" s="140" customFormat="1" ht="20.25">
      <c r="A1113" s="167"/>
      <c r="B1113" s="168" t="str">
        <f>IF(LEN(A1113)=0,"",INDEX('Smelter Look-up'!$A:$A,MATCH($A1113,'Smelter Look-up'!$E:$E,0)))</f>
        <v/>
      </c>
      <c r="C1113" s="169" t="str">
        <f>IF(LEN(A1113)=0,"",INDEX('Smelter Look-up'!$C:$C,MATCH($A1113,'Smelter Look-up'!$E:$E,0)))</f>
        <v/>
      </c>
      <c r="D1113" s="170"/>
      <c r="E1113" s="168" t="str">
        <f ca="1">IF(ISERROR($V1113),"",OFFSET('Smelter Look-up'!$D$4,$V1113-4,0)&amp;"")</f>
        <v/>
      </c>
      <c r="F1113" s="168" t="str">
        <f ca="1">IF(ISERROR($V1113),"",OFFSET('Smelter Look-up'!$E$4,$V1113-4,0))</f>
        <v/>
      </c>
      <c r="G1113" s="168" t="str">
        <f ca="1">IF(C1113=$X$4,IF(ISERROR($V1113),"Enter smelter details","RMI"),IF(ISERROR($V1113),"",OFFSET('Smelter Look-up'!$F$4,$V1113-4,0)))</f>
        <v/>
      </c>
      <c r="H1113" s="171" t="str">
        <f ca="1">IF(ISERROR($V1113),"",OFFSET('Smelter Look-up'!$G$4,$V1113-4,0))</f>
        <v/>
      </c>
      <c r="I1113" s="172" t="str">
        <f ca="1">IF(ISERROR($V1113),"",OFFSET('Smelter Look-up'!$H$4,$V1113-4,0))</f>
        <v/>
      </c>
      <c r="J1113" s="172" t="str">
        <f ca="1">IF(ISERROR($V1113),"",OFFSET('Smelter Look-up'!$I$4,$V1113-4,0))</f>
        <v/>
      </c>
      <c r="K1113" s="173"/>
      <c r="L1113" s="173"/>
      <c r="M1113" s="173"/>
      <c r="N1113" s="173"/>
      <c r="O1113" s="173"/>
      <c r="P1113" s="174"/>
      <c r="Q1113" s="175"/>
      <c r="R1113" s="168" t="str">
        <f ca="1">IF(ISERROR($V1113),"",OFFSET('Smelter Look-up'!$C$4,$V1113-4,0)&amp;"")</f>
        <v/>
      </c>
      <c r="S1113" s="167" t="str">
        <f t="shared" ca="1" si="102"/>
        <v/>
      </c>
      <c r="T1113" s="167" t="str">
        <f ca="1">IF(B1113="","",IF(ISERROR(MATCH($J1113,SorP!$B$1:$B$6230,0)),"",INDIRECT("'SorP'!$A$"&amp;MATCH($J1113,SorP!$B$1:$B$6230,0))))</f>
        <v/>
      </c>
      <c r="U1113" s="176"/>
      <c r="V1113" s="177" t="e">
        <f>IF(C1113="",NA(),IF(OR(C1113="Smelter not listed",C1113="Smelter not yet identified"),MATCH($B1113&amp;$D1113,'Smelter Look-up'!$J:$J,0),MATCH($B1113&amp;$C1113,'Smelter Look-up'!$J:$J,0)))</f>
        <v>#N/A</v>
      </c>
      <c r="X1113" s="140">
        <f t="shared" ca="1" si="103"/>
        <v>0</v>
      </c>
      <c r="AB1113" s="178" t="str">
        <f t="shared" si="104"/>
        <v/>
      </c>
    </row>
    <row r="1114" spans="1:28" s="140" customFormat="1" ht="20.25">
      <c r="A1114" s="167"/>
      <c r="B1114" s="168" t="str">
        <f>IF(LEN(A1114)=0,"",INDEX('Smelter Look-up'!$A:$A,MATCH($A1114,'Smelter Look-up'!$E:$E,0)))</f>
        <v/>
      </c>
      <c r="C1114" s="169" t="str">
        <f>IF(LEN(A1114)=0,"",INDEX('Smelter Look-up'!$C:$C,MATCH($A1114,'Smelter Look-up'!$E:$E,0)))</f>
        <v/>
      </c>
      <c r="D1114" s="170"/>
      <c r="E1114" s="168" t="str">
        <f ca="1">IF(ISERROR($V1114),"",OFFSET('Smelter Look-up'!$D$4,$V1114-4,0)&amp;"")</f>
        <v/>
      </c>
      <c r="F1114" s="168" t="str">
        <f ca="1">IF(ISERROR($V1114),"",OFFSET('Smelter Look-up'!$E$4,$V1114-4,0))</f>
        <v/>
      </c>
      <c r="G1114" s="168" t="str">
        <f ca="1">IF(C1114=$X$4,IF(ISERROR($V1114),"Enter smelter details","RMI"),IF(ISERROR($V1114),"",OFFSET('Smelter Look-up'!$F$4,$V1114-4,0)))</f>
        <v/>
      </c>
      <c r="H1114" s="171" t="str">
        <f ca="1">IF(ISERROR($V1114),"",OFFSET('Smelter Look-up'!$G$4,$V1114-4,0))</f>
        <v/>
      </c>
      <c r="I1114" s="172" t="str">
        <f ca="1">IF(ISERROR($V1114),"",OFFSET('Smelter Look-up'!$H$4,$V1114-4,0))</f>
        <v/>
      </c>
      <c r="J1114" s="172" t="str">
        <f ca="1">IF(ISERROR($V1114),"",OFFSET('Smelter Look-up'!$I$4,$V1114-4,0))</f>
        <v/>
      </c>
      <c r="K1114" s="173"/>
      <c r="L1114" s="173"/>
      <c r="M1114" s="173"/>
      <c r="N1114" s="173"/>
      <c r="O1114" s="173"/>
      <c r="P1114" s="174"/>
      <c r="Q1114" s="175"/>
      <c r="R1114" s="168" t="str">
        <f ca="1">IF(ISERROR($V1114),"",OFFSET('Smelter Look-up'!$C$4,$V1114-4,0)&amp;"")</f>
        <v/>
      </c>
      <c r="S1114" s="167" t="str">
        <f t="shared" ca="1" si="102"/>
        <v/>
      </c>
      <c r="T1114" s="167" t="str">
        <f ca="1">IF(B1114="","",IF(ISERROR(MATCH($J1114,SorP!$B$1:$B$6230,0)),"",INDIRECT("'SorP'!$A$"&amp;MATCH($J1114,SorP!$B$1:$B$6230,0))))</f>
        <v/>
      </c>
      <c r="U1114" s="176"/>
      <c r="V1114" s="177" t="e">
        <f>IF(C1114="",NA(),IF(OR(C1114="Smelter not listed",C1114="Smelter not yet identified"),MATCH($B1114&amp;$D1114,'Smelter Look-up'!$J:$J,0),MATCH($B1114&amp;$C1114,'Smelter Look-up'!$J:$J,0)))</f>
        <v>#N/A</v>
      </c>
      <c r="X1114" s="140">
        <f t="shared" ca="1" si="103"/>
        <v>0</v>
      </c>
      <c r="AB1114" s="178" t="str">
        <f t="shared" si="104"/>
        <v/>
      </c>
    </row>
    <row r="1115" spans="1:28" s="140" customFormat="1" ht="20.25">
      <c r="A1115" s="167"/>
      <c r="B1115" s="168" t="str">
        <f>IF(LEN(A1115)=0,"",INDEX('Smelter Look-up'!$A:$A,MATCH($A1115,'Smelter Look-up'!$E:$E,0)))</f>
        <v/>
      </c>
      <c r="C1115" s="169" t="str">
        <f>IF(LEN(A1115)=0,"",INDEX('Smelter Look-up'!$C:$C,MATCH($A1115,'Smelter Look-up'!$E:$E,0)))</f>
        <v/>
      </c>
      <c r="D1115" s="170"/>
      <c r="E1115" s="168" t="str">
        <f ca="1">IF(ISERROR($V1115),"",OFFSET('Smelter Look-up'!$D$4,$V1115-4,0)&amp;"")</f>
        <v/>
      </c>
      <c r="F1115" s="168" t="str">
        <f ca="1">IF(ISERROR($V1115),"",OFFSET('Smelter Look-up'!$E$4,$V1115-4,0))</f>
        <v/>
      </c>
      <c r="G1115" s="168" t="str">
        <f ca="1">IF(C1115=$X$4,IF(ISERROR($V1115),"Enter smelter details","RMI"),IF(ISERROR($V1115),"",OFFSET('Smelter Look-up'!$F$4,$V1115-4,0)))</f>
        <v/>
      </c>
      <c r="H1115" s="171" t="str">
        <f ca="1">IF(ISERROR($V1115),"",OFFSET('Smelter Look-up'!$G$4,$V1115-4,0))</f>
        <v/>
      </c>
      <c r="I1115" s="172" t="str">
        <f ca="1">IF(ISERROR($V1115),"",OFFSET('Smelter Look-up'!$H$4,$V1115-4,0))</f>
        <v/>
      </c>
      <c r="J1115" s="172" t="str">
        <f ca="1">IF(ISERROR($V1115),"",OFFSET('Smelter Look-up'!$I$4,$V1115-4,0))</f>
        <v/>
      </c>
      <c r="K1115" s="173"/>
      <c r="L1115" s="173"/>
      <c r="M1115" s="173"/>
      <c r="N1115" s="173"/>
      <c r="O1115" s="173"/>
      <c r="P1115" s="174"/>
      <c r="Q1115" s="175"/>
      <c r="R1115" s="168" t="str">
        <f ca="1">IF(ISERROR($V1115),"",OFFSET('Smelter Look-up'!$C$4,$V1115-4,0)&amp;"")</f>
        <v/>
      </c>
      <c r="S1115" s="167" t="str">
        <f t="shared" ca="1" si="102"/>
        <v/>
      </c>
      <c r="T1115" s="167" t="str">
        <f ca="1">IF(B1115="","",IF(ISERROR(MATCH($J1115,SorP!$B$1:$B$6230,0)),"",INDIRECT("'SorP'!$A$"&amp;MATCH($J1115,SorP!$B$1:$B$6230,0))))</f>
        <v/>
      </c>
      <c r="U1115" s="176"/>
      <c r="V1115" s="177" t="e">
        <f>IF(C1115="",NA(),IF(OR(C1115="Smelter not listed",C1115="Smelter not yet identified"),MATCH($B1115&amp;$D1115,'Smelter Look-up'!$J:$J,0),MATCH($B1115&amp;$C1115,'Smelter Look-up'!$J:$J,0)))</f>
        <v>#N/A</v>
      </c>
      <c r="X1115" s="140">
        <f t="shared" ca="1" si="103"/>
        <v>0</v>
      </c>
      <c r="AB1115" s="178" t="str">
        <f t="shared" si="104"/>
        <v/>
      </c>
    </row>
    <row r="1116" spans="1:28" s="140" customFormat="1" ht="20.25">
      <c r="A1116" s="167"/>
      <c r="B1116" s="168" t="str">
        <f>IF(LEN(A1116)=0,"",INDEX('Smelter Look-up'!$A:$A,MATCH($A1116,'Smelter Look-up'!$E:$E,0)))</f>
        <v/>
      </c>
      <c r="C1116" s="169" t="str">
        <f>IF(LEN(A1116)=0,"",INDEX('Smelter Look-up'!$C:$C,MATCH($A1116,'Smelter Look-up'!$E:$E,0)))</f>
        <v/>
      </c>
      <c r="D1116" s="170"/>
      <c r="E1116" s="168" t="str">
        <f ca="1">IF(ISERROR($V1116),"",OFFSET('Smelter Look-up'!$D$4,$V1116-4,0)&amp;"")</f>
        <v/>
      </c>
      <c r="F1116" s="168" t="str">
        <f ca="1">IF(ISERROR($V1116),"",OFFSET('Smelter Look-up'!$E$4,$V1116-4,0))</f>
        <v/>
      </c>
      <c r="G1116" s="168" t="str">
        <f ca="1">IF(C1116=$X$4,IF(ISERROR($V1116),"Enter smelter details","RMI"),IF(ISERROR($V1116),"",OFFSET('Smelter Look-up'!$F$4,$V1116-4,0)))</f>
        <v/>
      </c>
      <c r="H1116" s="171" t="str">
        <f ca="1">IF(ISERROR($V1116),"",OFFSET('Smelter Look-up'!$G$4,$V1116-4,0))</f>
        <v/>
      </c>
      <c r="I1116" s="172" t="str">
        <f ca="1">IF(ISERROR($V1116),"",OFFSET('Smelter Look-up'!$H$4,$V1116-4,0))</f>
        <v/>
      </c>
      <c r="J1116" s="172" t="str">
        <f ca="1">IF(ISERROR($V1116),"",OFFSET('Smelter Look-up'!$I$4,$V1116-4,0))</f>
        <v/>
      </c>
      <c r="K1116" s="173"/>
      <c r="L1116" s="173"/>
      <c r="M1116" s="173"/>
      <c r="N1116" s="173"/>
      <c r="O1116" s="173"/>
      <c r="P1116" s="174"/>
      <c r="Q1116" s="175"/>
      <c r="R1116" s="168" t="str">
        <f ca="1">IF(ISERROR($V1116),"",OFFSET('Smelter Look-up'!$C$4,$V1116-4,0)&amp;"")</f>
        <v/>
      </c>
      <c r="S1116" s="167" t="str">
        <f t="shared" ca="1" si="102"/>
        <v/>
      </c>
      <c r="T1116" s="167" t="str">
        <f ca="1">IF(B1116="","",IF(ISERROR(MATCH($J1116,SorP!$B$1:$B$6230,0)),"",INDIRECT("'SorP'!$A$"&amp;MATCH($J1116,SorP!$B$1:$B$6230,0))))</f>
        <v/>
      </c>
      <c r="U1116" s="176"/>
      <c r="V1116" s="177" t="e">
        <f>IF(C1116="",NA(),IF(OR(C1116="Smelter not listed",C1116="Smelter not yet identified"),MATCH($B1116&amp;$D1116,'Smelter Look-up'!$J:$J,0),MATCH($B1116&amp;$C1116,'Smelter Look-up'!$J:$J,0)))</f>
        <v>#N/A</v>
      </c>
      <c r="X1116" s="140">
        <f t="shared" ca="1" si="103"/>
        <v>0</v>
      </c>
      <c r="AB1116" s="178" t="str">
        <f t="shared" si="104"/>
        <v/>
      </c>
    </row>
    <row r="1117" spans="1:28" s="140" customFormat="1" ht="20.25">
      <c r="A1117" s="167"/>
      <c r="B1117" s="168" t="str">
        <f>IF(LEN(A1117)=0,"",INDEX('Smelter Look-up'!$A:$A,MATCH($A1117,'Smelter Look-up'!$E:$E,0)))</f>
        <v/>
      </c>
      <c r="C1117" s="169" t="str">
        <f>IF(LEN(A1117)=0,"",INDEX('Smelter Look-up'!$C:$C,MATCH($A1117,'Smelter Look-up'!$E:$E,0)))</f>
        <v/>
      </c>
      <c r="D1117" s="170"/>
      <c r="E1117" s="168" t="str">
        <f ca="1">IF(ISERROR($V1117),"",OFFSET('Smelter Look-up'!$D$4,$V1117-4,0)&amp;"")</f>
        <v/>
      </c>
      <c r="F1117" s="168" t="str">
        <f ca="1">IF(ISERROR($V1117),"",OFFSET('Smelter Look-up'!$E$4,$V1117-4,0))</f>
        <v/>
      </c>
      <c r="G1117" s="168" t="str">
        <f ca="1">IF(C1117=$X$4,IF(ISERROR($V1117),"Enter smelter details","RMI"),IF(ISERROR($V1117),"",OFFSET('Smelter Look-up'!$F$4,$V1117-4,0)))</f>
        <v/>
      </c>
      <c r="H1117" s="171" t="str">
        <f ca="1">IF(ISERROR($V1117),"",OFFSET('Smelter Look-up'!$G$4,$V1117-4,0))</f>
        <v/>
      </c>
      <c r="I1117" s="172" t="str">
        <f ca="1">IF(ISERROR($V1117),"",OFFSET('Smelter Look-up'!$H$4,$V1117-4,0))</f>
        <v/>
      </c>
      <c r="J1117" s="172" t="str">
        <f ca="1">IF(ISERROR($V1117),"",OFFSET('Smelter Look-up'!$I$4,$V1117-4,0))</f>
        <v/>
      </c>
      <c r="K1117" s="173"/>
      <c r="L1117" s="173"/>
      <c r="M1117" s="173"/>
      <c r="N1117" s="173"/>
      <c r="O1117" s="173"/>
      <c r="P1117" s="174"/>
      <c r="Q1117" s="175"/>
      <c r="R1117" s="168" t="str">
        <f ca="1">IF(ISERROR($V1117),"",OFFSET('Smelter Look-up'!$C$4,$V1117-4,0)&amp;"")</f>
        <v/>
      </c>
      <c r="S1117" s="167" t="str">
        <f t="shared" ca="1" si="102"/>
        <v/>
      </c>
      <c r="T1117" s="167" t="str">
        <f ca="1">IF(B1117="","",IF(ISERROR(MATCH($J1117,SorP!$B$1:$B$6230,0)),"",INDIRECT("'SorP'!$A$"&amp;MATCH($J1117,SorP!$B$1:$B$6230,0))))</f>
        <v/>
      </c>
      <c r="U1117" s="176"/>
      <c r="V1117" s="177" t="e">
        <f>IF(C1117="",NA(),IF(OR(C1117="Smelter not listed",C1117="Smelter not yet identified"),MATCH($B1117&amp;$D1117,'Smelter Look-up'!$J:$J,0),MATCH($B1117&amp;$C1117,'Smelter Look-up'!$J:$J,0)))</f>
        <v>#N/A</v>
      </c>
      <c r="X1117" s="140">
        <f t="shared" ca="1" si="103"/>
        <v>0</v>
      </c>
      <c r="AB1117" s="178" t="str">
        <f t="shared" si="104"/>
        <v/>
      </c>
    </row>
    <row r="1118" spans="1:28" s="140" customFormat="1" ht="20.25">
      <c r="A1118" s="167"/>
      <c r="B1118" s="168" t="str">
        <f>IF(LEN(A1118)=0,"",INDEX('Smelter Look-up'!$A:$A,MATCH($A1118,'Smelter Look-up'!$E:$E,0)))</f>
        <v/>
      </c>
      <c r="C1118" s="169" t="str">
        <f>IF(LEN(A1118)=0,"",INDEX('Smelter Look-up'!$C:$C,MATCH($A1118,'Smelter Look-up'!$E:$E,0)))</f>
        <v/>
      </c>
      <c r="D1118" s="170"/>
      <c r="E1118" s="168" t="str">
        <f ca="1">IF(ISERROR($V1118),"",OFFSET('Smelter Look-up'!$D$4,$V1118-4,0)&amp;"")</f>
        <v/>
      </c>
      <c r="F1118" s="168" t="str">
        <f ca="1">IF(ISERROR($V1118),"",OFFSET('Smelter Look-up'!$E$4,$V1118-4,0))</f>
        <v/>
      </c>
      <c r="G1118" s="168" t="str">
        <f ca="1">IF(C1118=$X$4,IF(ISERROR($V1118),"Enter smelter details","RMI"),IF(ISERROR($V1118),"",OFFSET('Smelter Look-up'!$F$4,$V1118-4,0)))</f>
        <v/>
      </c>
      <c r="H1118" s="171" t="str">
        <f ca="1">IF(ISERROR($V1118),"",OFFSET('Smelter Look-up'!$G$4,$V1118-4,0))</f>
        <v/>
      </c>
      <c r="I1118" s="172" t="str">
        <f ca="1">IF(ISERROR($V1118),"",OFFSET('Smelter Look-up'!$H$4,$V1118-4,0))</f>
        <v/>
      </c>
      <c r="J1118" s="172" t="str">
        <f ca="1">IF(ISERROR($V1118),"",OFFSET('Smelter Look-up'!$I$4,$V1118-4,0))</f>
        <v/>
      </c>
      <c r="K1118" s="173"/>
      <c r="L1118" s="173"/>
      <c r="M1118" s="173"/>
      <c r="N1118" s="173"/>
      <c r="O1118" s="173"/>
      <c r="P1118" s="174"/>
      <c r="Q1118" s="175"/>
      <c r="R1118" s="168" t="str">
        <f ca="1">IF(ISERROR($V1118),"",OFFSET('Smelter Look-up'!$C$4,$V1118-4,0)&amp;"")</f>
        <v/>
      </c>
      <c r="S1118" s="167" t="str">
        <f t="shared" ca="1" si="102"/>
        <v/>
      </c>
      <c r="T1118" s="167" t="str">
        <f ca="1">IF(B1118="","",IF(ISERROR(MATCH($J1118,SorP!$B$1:$B$6230,0)),"",INDIRECT("'SorP'!$A$"&amp;MATCH($J1118,SorP!$B$1:$B$6230,0))))</f>
        <v/>
      </c>
      <c r="U1118" s="176"/>
      <c r="V1118" s="177" t="e">
        <f>IF(C1118="",NA(),IF(OR(C1118="Smelter not listed",C1118="Smelter not yet identified"),MATCH($B1118&amp;$D1118,'Smelter Look-up'!$J:$J,0),MATCH($B1118&amp;$C1118,'Smelter Look-up'!$J:$J,0)))</f>
        <v>#N/A</v>
      </c>
      <c r="X1118" s="140">
        <f t="shared" ca="1" si="103"/>
        <v>0</v>
      </c>
      <c r="AB1118" s="178" t="str">
        <f t="shared" si="104"/>
        <v/>
      </c>
    </row>
    <row r="1119" spans="1:28" s="140" customFormat="1" ht="20.25">
      <c r="A1119" s="167"/>
      <c r="B1119" s="168" t="str">
        <f>IF(LEN(A1119)=0,"",INDEX('Smelter Look-up'!$A:$A,MATCH($A1119,'Smelter Look-up'!$E:$E,0)))</f>
        <v/>
      </c>
      <c r="C1119" s="169" t="str">
        <f>IF(LEN(A1119)=0,"",INDEX('Smelter Look-up'!$C:$C,MATCH($A1119,'Smelter Look-up'!$E:$E,0)))</f>
        <v/>
      </c>
      <c r="D1119" s="170"/>
      <c r="E1119" s="168" t="str">
        <f ca="1">IF(ISERROR($V1119),"",OFFSET('Smelter Look-up'!$D$4,$V1119-4,0)&amp;"")</f>
        <v/>
      </c>
      <c r="F1119" s="168" t="str">
        <f ca="1">IF(ISERROR($V1119),"",OFFSET('Smelter Look-up'!$E$4,$V1119-4,0))</f>
        <v/>
      </c>
      <c r="G1119" s="168" t="str">
        <f ca="1">IF(C1119=$X$4,IF(ISERROR($V1119),"Enter smelter details","RMI"),IF(ISERROR($V1119),"",OFFSET('Smelter Look-up'!$F$4,$V1119-4,0)))</f>
        <v/>
      </c>
      <c r="H1119" s="171" t="str">
        <f ca="1">IF(ISERROR($V1119),"",OFFSET('Smelter Look-up'!$G$4,$V1119-4,0))</f>
        <v/>
      </c>
      <c r="I1119" s="172" t="str">
        <f ca="1">IF(ISERROR($V1119),"",OFFSET('Smelter Look-up'!$H$4,$V1119-4,0))</f>
        <v/>
      </c>
      <c r="J1119" s="172" t="str">
        <f ca="1">IF(ISERROR($V1119),"",OFFSET('Smelter Look-up'!$I$4,$V1119-4,0))</f>
        <v/>
      </c>
      <c r="K1119" s="173"/>
      <c r="L1119" s="173"/>
      <c r="M1119" s="173"/>
      <c r="N1119" s="173"/>
      <c r="O1119" s="173"/>
      <c r="P1119" s="174"/>
      <c r="Q1119" s="175"/>
      <c r="R1119" s="168" t="str">
        <f ca="1">IF(ISERROR($V1119),"",OFFSET('Smelter Look-up'!$C$4,$V1119-4,0)&amp;"")</f>
        <v/>
      </c>
      <c r="S1119" s="167" t="str">
        <f t="shared" ca="1" si="102"/>
        <v/>
      </c>
      <c r="T1119" s="167" t="str">
        <f ca="1">IF(B1119="","",IF(ISERROR(MATCH($J1119,SorP!$B$1:$B$6230,0)),"",INDIRECT("'SorP'!$A$"&amp;MATCH($J1119,SorP!$B$1:$B$6230,0))))</f>
        <v/>
      </c>
      <c r="U1119" s="176"/>
      <c r="V1119" s="177" t="e">
        <f>IF(C1119="",NA(),IF(OR(C1119="Smelter not listed",C1119="Smelter not yet identified"),MATCH($B1119&amp;$D1119,'Smelter Look-up'!$J:$J,0),MATCH($B1119&amp;$C1119,'Smelter Look-up'!$J:$J,0)))</f>
        <v>#N/A</v>
      </c>
      <c r="X1119" s="140">
        <f t="shared" ca="1" si="103"/>
        <v>0</v>
      </c>
      <c r="AB1119" s="178" t="str">
        <f t="shared" si="104"/>
        <v/>
      </c>
    </row>
    <row r="1120" spans="1:28" s="140" customFormat="1" ht="20.25">
      <c r="A1120" s="167"/>
      <c r="B1120" s="168" t="str">
        <f>IF(LEN(A1120)=0,"",INDEX('Smelter Look-up'!$A:$A,MATCH($A1120,'Smelter Look-up'!$E:$E,0)))</f>
        <v/>
      </c>
      <c r="C1120" s="169" t="str">
        <f>IF(LEN(A1120)=0,"",INDEX('Smelter Look-up'!$C:$C,MATCH($A1120,'Smelter Look-up'!$E:$E,0)))</f>
        <v/>
      </c>
      <c r="D1120" s="170"/>
      <c r="E1120" s="168" t="str">
        <f ca="1">IF(ISERROR($V1120),"",OFFSET('Smelter Look-up'!$D$4,$V1120-4,0)&amp;"")</f>
        <v/>
      </c>
      <c r="F1120" s="168" t="str">
        <f ca="1">IF(ISERROR($V1120),"",OFFSET('Smelter Look-up'!$E$4,$V1120-4,0))</f>
        <v/>
      </c>
      <c r="G1120" s="168" t="str">
        <f ca="1">IF(C1120=$X$4,IF(ISERROR($V1120),"Enter smelter details","RMI"),IF(ISERROR($V1120),"",OFFSET('Smelter Look-up'!$F$4,$V1120-4,0)))</f>
        <v/>
      </c>
      <c r="H1120" s="171" t="str">
        <f ca="1">IF(ISERROR($V1120),"",OFFSET('Smelter Look-up'!$G$4,$V1120-4,0))</f>
        <v/>
      </c>
      <c r="I1120" s="172" t="str">
        <f ca="1">IF(ISERROR($V1120),"",OFFSET('Smelter Look-up'!$H$4,$V1120-4,0))</f>
        <v/>
      </c>
      <c r="J1120" s="172" t="str">
        <f ca="1">IF(ISERROR($V1120),"",OFFSET('Smelter Look-up'!$I$4,$V1120-4,0))</f>
        <v/>
      </c>
      <c r="K1120" s="173"/>
      <c r="L1120" s="173"/>
      <c r="M1120" s="173"/>
      <c r="N1120" s="173"/>
      <c r="O1120" s="173"/>
      <c r="P1120" s="174"/>
      <c r="Q1120" s="175"/>
      <c r="R1120" s="168" t="str">
        <f ca="1">IF(ISERROR($V1120),"",OFFSET('Smelter Look-up'!$C$4,$V1120-4,0)&amp;"")</f>
        <v/>
      </c>
      <c r="S1120" s="167" t="str">
        <f t="shared" ca="1" si="102"/>
        <v/>
      </c>
      <c r="T1120" s="167" t="str">
        <f ca="1">IF(B1120="","",IF(ISERROR(MATCH($J1120,SorP!$B$1:$B$6230,0)),"",INDIRECT("'SorP'!$A$"&amp;MATCH($J1120,SorP!$B$1:$B$6230,0))))</f>
        <v/>
      </c>
      <c r="U1120" s="176"/>
      <c r="V1120" s="177" t="e">
        <f>IF(C1120="",NA(),IF(OR(C1120="Smelter not listed",C1120="Smelter not yet identified"),MATCH($B1120&amp;$D1120,'Smelter Look-up'!$J:$J,0),MATCH($B1120&amp;$C1120,'Smelter Look-up'!$J:$J,0)))</f>
        <v>#N/A</v>
      </c>
      <c r="X1120" s="140">
        <f t="shared" ca="1" si="103"/>
        <v>0</v>
      </c>
      <c r="AB1120" s="178" t="str">
        <f t="shared" si="104"/>
        <v/>
      </c>
    </row>
    <row r="1121" spans="1:28" s="140" customFormat="1" ht="20.25">
      <c r="A1121" s="167"/>
      <c r="B1121" s="168" t="str">
        <f>IF(LEN(A1121)=0,"",INDEX('Smelter Look-up'!$A:$A,MATCH($A1121,'Smelter Look-up'!$E:$E,0)))</f>
        <v/>
      </c>
      <c r="C1121" s="169" t="str">
        <f>IF(LEN(A1121)=0,"",INDEX('Smelter Look-up'!$C:$C,MATCH($A1121,'Smelter Look-up'!$E:$E,0)))</f>
        <v/>
      </c>
      <c r="D1121" s="170"/>
      <c r="E1121" s="168" t="str">
        <f ca="1">IF(ISERROR($V1121),"",OFFSET('Smelter Look-up'!$D$4,$V1121-4,0)&amp;"")</f>
        <v/>
      </c>
      <c r="F1121" s="168" t="str">
        <f ca="1">IF(ISERROR($V1121),"",OFFSET('Smelter Look-up'!$E$4,$V1121-4,0))</f>
        <v/>
      </c>
      <c r="G1121" s="168" t="str">
        <f ca="1">IF(C1121=$X$4,IF(ISERROR($V1121),"Enter smelter details","RMI"),IF(ISERROR($V1121),"",OFFSET('Smelter Look-up'!$F$4,$V1121-4,0)))</f>
        <v/>
      </c>
      <c r="H1121" s="171" t="str">
        <f ca="1">IF(ISERROR($V1121),"",OFFSET('Smelter Look-up'!$G$4,$V1121-4,0))</f>
        <v/>
      </c>
      <c r="I1121" s="172" t="str">
        <f ca="1">IF(ISERROR($V1121),"",OFFSET('Smelter Look-up'!$H$4,$V1121-4,0))</f>
        <v/>
      </c>
      <c r="J1121" s="172" t="str">
        <f ca="1">IF(ISERROR($V1121),"",OFFSET('Smelter Look-up'!$I$4,$V1121-4,0))</f>
        <v/>
      </c>
      <c r="K1121" s="173"/>
      <c r="L1121" s="173"/>
      <c r="M1121" s="173"/>
      <c r="N1121" s="173"/>
      <c r="O1121" s="173"/>
      <c r="P1121" s="174"/>
      <c r="Q1121" s="175"/>
      <c r="R1121" s="168" t="str">
        <f ca="1">IF(ISERROR($V1121),"",OFFSET('Smelter Look-up'!$C$4,$V1121-4,0)&amp;"")</f>
        <v/>
      </c>
      <c r="S1121" s="167" t="str">
        <f t="shared" ca="1" si="102"/>
        <v/>
      </c>
      <c r="T1121" s="167" t="str">
        <f ca="1">IF(B1121="","",IF(ISERROR(MATCH($J1121,SorP!$B$1:$B$6230,0)),"",INDIRECT("'SorP'!$A$"&amp;MATCH($J1121,SorP!$B$1:$B$6230,0))))</f>
        <v/>
      </c>
      <c r="U1121" s="176"/>
      <c r="V1121" s="177" t="e">
        <f>IF(C1121="",NA(),IF(OR(C1121="Smelter not listed",C1121="Smelter not yet identified"),MATCH($B1121&amp;$D1121,'Smelter Look-up'!$J:$J,0),MATCH($B1121&amp;$C1121,'Smelter Look-up'!$J:$J,0)))</f>
        <v>#N/A</v>
      </c>
      <c r="X1121" s="140">
        <f t="shared" ca="1" si="103"/>
        <v>0</v>
      </c>
      <c r="AB1121" s="178" t="str">
        <f t="shared" si="104"/>
        <v/>
      </c>
    </row>
    <row r="1122" spans="1:28" s="140" customFormat="1" ht="20.25">
      <c r="A1122" s="167"/>
      <c r="B1122" s="168" t="str">
        <f>IF(LEN(A1122)=0,"",INDEX('Smelter Look-up'!$A:$A,MATCH($A1122,'Smelter Look-up'!$E:$E,0)))</f>
        <v/>
      </c>
      <c r="C1122" s="169" t="str">
        <f>IF(LEN(A1122)=0,"",INDEX('Smelter Look-up'!$C:$C,MATCH($A1122,'Smelter Look-up'!$E:$E,0)))</f>
        <v/>
      </c>
      <c r="D1122" s="170"/>
      <c r="E1122" s="168" t="str">
        <f ca="1">IF(ISERROR($V1122),"",OFFSET('Smelter Look-up'!$D$4,$V1122-4,0)&amp;"")</f>
        <v/>
      </c>
      <c r="F1122" s="168" t="str">
        <f ca="1">IF(ISERROR($V1122),"",OFFSET('Smelter Look-up'!$E$4,$V1122-4,0))</f>
        <v/>
      </c>
      <c r="G1122" s="168" t="str">
        <f ca="1">IF(C1122=$X$4,IF(ISERROR($V1122),"Enter smelter details","RMI"),IF(ISERROR($V1122),"",OFFSET('Smelter Look-up'!$F$4,$V1122-4,0)))</f>
        <v/>
      </c>
      <c r="H1122" s="171" t="str">
        <f ca="1">IF(ISERROR($V1122),"",OFFSET('Smelter Look-up'!$G$4,$V1122-4,0))</f>
        <v/>
      </c>
      <c r="I1122" s="172" t="str">
        <f ca="1">IF(ISERROR($V1122),"",OFFSET('Smelter Look-up'!$H$4,$V1122-4,0))</f>
        <v/>
      </c>
      <c r="J1122" s="172" t="str">
        <f ca="1">IF(ISERROR($V1122),"",OFFSET('Smelter Look-up'!$I$4,$V1122-4,0))</f>
        <v/>
      </c>
      <c r="K1122" s="173"/>
      <c r="L1122" s="173"/>
      <c r="M1122" s="173"/>
      <c r="N1122" s="173"/>
      <c r="O1122" s="173"/>
      <c r="P1122" s="174"/>
      <c r="Q1122" s="175"/>
      <c r="R1122" s="168" t="str">
        <f ca="1">IF(ISERROR($V1122),"",OFFSET('Smelter Look-up'!$C$4,$V1122-4,0)&amp;"")</f>
        <v/>
      </c>
      <c r="S1122" s="167" t="str">
        <f t="shared" ca="1" si="102"/>
        <v/>
      </c>
      <c r="T1122" s="167" t="str">
        <f ca="1">IF(B1122="","",IF(ISERROR(MATCH($J1122,SorP!$B$1:$B$6230,0)),"",INDIRECT("'SorP'!$A$"&amp;MATCH($J1122,SorP!$B$1:$B$6230,0))))</f>
        <v/>
      </c>
      <c r="U1122" s="176"/>
      <c r="V1122" s="177" t="e">
        <f>IF(C1122="",NA(),IF(OR(C1122="Smelter not listed",C1122="Smelter not yet identified"),MATCH($B1122&amp;$D1122,'Smelter Look-up'!$J:$J,0),MATCH($B1122&amp;$C1122,'Smelter Look-up'!$J:$J,0)))</f>
        <v>#N/A</v>
      </c>
      <c r="X1122" s="140">
        <f t="shared" ca="1" si="103"/>
        <v>0</v>
      </c>
      <c r="AB1122" s="178" t="str">
        <f t="shared" si="104"/>
        <v/>
      </c>
    </row>
    <row r="1123" spans="1:28" s="140" customFormat="1" ht="20.25">
      <c r="A1123" s="167"/>
      <c r="B1123" s="168" t="str">
        <f>IF(LEN(A1123)=0,"",INDEX('Smelter Look-up'!$A:$A,MATCH($A1123,'Smelter Look-up'!$E:$E,0)))</f>
        <v/>
      </c>
      <c r="C1123" s="169" t="str">
        <f>IF(LEN(A1123)=0,"",INDEX('Smelter Look-up'!$C:$C,MATCH($A1123,'Smelter Look-up'!$E:$E,0)))</f>
        <v/>
      </c>
      <c r="D1123" s="170"/>
      <c r="E1123" s="168" t="str">
        <f ca="1">IF(ISERROR($V1123),"",OFFSET('Smelter Look-up'!$D$4,$V1123-4,0)&amp;"")</f>
        <v/>
      </c>
      <c r="F1123" s="168" t="str">
        <f ca="1">IF(ISERROR($V1123),"",OFFSET('Smelter Look-up'!$E$4,$V1123-4,0))</f>
        <v/>
      </c>
      <c r="G1123" s="168" t="str">
        <f ca="1">IF(C1123=$X$4,IF(ISERROR($V1123),"Enter smelter details","RMI"),IF(ISERROR($V1123),"",OFFSET('Smelter Look-up'!$F$4,$V1123-4,0)))</f>
        <v/>
      </c>
      <c r="H1123" s="171" t="str">
        <f ca="1">IF(ISERROR($V1123),"",OFFSET('Smelter Look-up'!$G$4,$V1123-4,0))</f>
        <v/>
      </c>
      <c r="I1123" s="172" t="str">
        <f ca="1">IF(ISERROR($V1123),"",OFFSET('Smelter Look-up'!$H$4,$V1123-4,0))</f>
        <v/>
      </c>
      <c r="J1123" s="172" t="str">
        <f ca="1">IF(ISERROR($V1123),"",OFFSET('Smelter Look-up'!$I$4,$V1123-4,0))</f>
        <v/>
      </c>
      <c r="K1123" s="173"/>
      <c r="L1123" s="173"/>
      <c r="M1123" s="173"/>
      <c r="N1123" s="173"/>
      <c r="O1123" s="173"/>
      <c r="P1123" s="174"/>
      <c r="Q1123" s="175"/>
      <c r="R1123" s="168" t="str">
        <f ca="1">IF(ISERROR($V1123),"",OFFSET('Smelter Look-up'!$C$4,$V1123-4,0)&amp;"")</f>
        <v/>
      </c>
      <c r="S1123" s="167" t="str">
        <f t="shared" ca="1" si="102"/>
        <v/>
      </c>
      <c r="T1123" s="167" t="str">
        <f ca="1">IF(B1123="","",IF(ISERROR(MATCH($J1123,SorP!$B$1:$B$6230,0)),"",INDIRECT("'SorP'!$A$"&amp;MATCH($J1123,SorP!$B$1:$B$6230,0))))</f>
        <v/>
      </c>
      <c r="U1123" s="176"/>
      <c r="V1123" s="177" t="e">
        <f>IF(C1123="",NA(),IF(OR(C1123="Smelter not listed",C1123="Smelter not yet identified"),MATCH($B1123&amp;$D1123,'Smelter Look-up'!$J:$J,0),MATCH($B1123&amp;$C1123,'Smelter Look-up'!$J:$J,0)))</f>
        <v>#N/A</v>
      </c>
      <c r="X1123" s="140">
        <f t="shared" ca="1" si="103"/>
        <v>0</v>
      </c>
      <c r="AB1123" s="178" t="str">
        <f t="shared" si="104"/>
        <v/>
      </c>
    </row>
    <row r="1124" spans="1:28" s="140" customFormat="1" ht="20.25">
      <c r="A1124" s="167"/>
      <c r="B1124" s="168" t="str">
        <f>IF(LEN(A1124)=0,"",INDEX('Smelter Look-up'!$A:$A,MATCH($A1124,'Smelter Look-up'!$E:$E,0)))</f>
        <v/>
      </c>
      <c r="C1124" s="169" t="str">
        <f>IF(LEN(A1124)=0,"",INDEX('Smelter Look-up'!$C:$C,MATCH($A1124,'Smelter Look-up'!$E:$E,0)))</f>
        <v/>
      </c>
      <c r="D1124" s="170"/>
      <c r="E1124" s="168" t="str">
        <f ca="1">IF(ISERROR($V1124),"",OFFSET('Smelter Look-up'!$D$4,$V1124-4,0)&amp;"")</f>
        <v/>
      </c>
      <c r="F1124" s="168" t="str">
        <f ca="1">IF(ISERROR($V1124),"",OFFSET('Smelter Look-up'!$E$4,$V1124-4,0))</f>
        <v/>
      </c>
      <c r="G1124" s="168" t="str">
        <f ca="1">IF(C1124=$X$4,IF(ISERROR($V1124),"Enter smelter details","RMI"),IF(ISERROR($V1124),"",OFFSET('Smelter Look-up'!$F$4,$V1124-4,0)))</f>
        <v/>
      </c>
      <c r="H1124" s="171" t="str">
        <f ca="1">IF(ISERROR($V1124),"",OFFSET('Smelter Look-up'!$G$4,$V1124-4,0))</f>
        <v/>
      </c>
      <c r="I1124" s="172" t="str">
        <f ca="1">IF(ISERROR($V1124),"",OFFSET('Smelter Look-up'!$H$4,$V1124-4,0))</f>
        <v/>
      </c>
      <c r="J1124" s="172" t="str">
        <f ca="1">IF(ISERROR($V1124),"",OFFSET('Smelter Look-up'!$I$4,$V1124-4,0))</f>
        <v/>
      </c>
      <c r="K1124" s="173"/>
      <c r="L1124" s="173"/>
      <c r="M1124" s="173"/>
      <c r="N1124" s="173"/>
      <c r="O1124" s="173"/>
      <c r="P1124" s="174"/>
      <c r="Q1124" s="175"/>
      <c r="R1124" s="168" t="str">
        <f ca="1">IF(ISERROR($V1124),"",OFFSET('Smelter Look-up'!$C$4,$V1124-4,0)&amp;"")</f>
        <v/>
      </c>
      <c r="S1124" s="167" t="str">
        <f t="shared" ca="1" si="102"/>
        <v/>
      </c>
      <c r="T1124" s="167" t="str">
        <f ca="1">IF(B1124="","",IF(ISERROR(MATCH($J1124,SorP!$B$1:$B$6230,0)),"",INDIRECT("'SorP'!$A$"&amp;MATCH($J1124,SorP!$B$1:$B$6230,0))))</f>
        <v/>
      </c>
      <c r="U1124" s="176"/>
      <c r="V1124" s="177" t="e">
        <f>IF(C1124="",NA(),IF(OR(C1124="Smelter not listed",C1124="Smelter not yet identified"),MATCH($B1124&amp;$D1124,'Smelter Look-up'!$J:$J,0),MATCH($B1124&amp;$C1124,'Smelter Look-up'!$J:$J,0)))</f>
        <v>#N/A</v>
      </c>
      <c r="X1124" s="140">
        <f t="shared" ca="1" si="103"/>
        <v>0</v>
      </c>
      <c r="AB1124" s="178" t="str">
        <f t="shared" si="104"/>
        <v/>
      </c>
    </row>
    <row r="1125" spans="1:28" s="140" customFormat="1" ht="20.25">
      <c r="A1125" s="167"/>
      <c r="B1125" s="168" t="str">
        <f>IF(LEN(A1125)=0,"",INDEX('Smelter Look-up'!$A:$A,MATCH($A1125,'Smelter Look-up'!$E:$E,0)))</f>
        <v/>
      </c>
      <c r="C1125" s="169" t="str">
        <f>IF(LEN(A1125)=0,"",INDEX('Smelter Look-up'!$C:$C,MATCH($A1125,'Smelter Look-up'!$E:$E,0)))</f>
        <v/>
      </c>
      <c r="D1125" s="170"/>
      <c r="E1125" s="168" t="str">
        <f ca="1">IF(ISERROR($V1125),"",OFFSET('Smelter Look-up'!$D$4,$V1125-4,0)&amp;"")</f>
        <v/>
      </c>
      <c r="F1125" s="168" t="str">
        <f ca="1">IF(ISERROR($V1125),"",OFFSET('Smelter Look-up'!$E$4,$V1125-4,0))</f>
        <v/>
      </c>
      <c r="G1125" s="168" t="str">
        <f ca="1">IF(C1125=$X$4,IF(ISERROR($V1125),"Enter smelter details","RMI"),IF(ISERROR($V1125),"",OFFSET('Smelter Look-up'!$F$4,$V1125-4,0)))</f>
        <v/>
      </c>
      <c r="H1125" s="171" t="str">
        <f ca="1">IF(ISERROR($V1125),"",OFFSET('Smelter Look-up'!$G$4,$V1125-4,0))</f>
        <v/>
      </c>
      <c r="I1125" s="172" t="str">
        <f ca="1">IF(ISERROR($V1125),"",OFFSET('Smelter Look-up'!$H$4,$V1125-4,0))</f>
        <v/>
      </c>
      <c r="J1125" s="172" t="str">
        <f ca="1">IF(ISERROR($V1125),"",OFFSET('Smelter Look-up'!$I$4,$V1125-4,0))</f>
        <v/>
      </c>
      <c r="K1125" s="173"/>
      <c r="L1125" s="173"/>
      <c r="M1125" s="173"/>
      <c r="N1125" s="173"/>
      <c r="O1125" s="173"/>
      <c r="P1125" s="174"/>
      <c r="Q1125" s="175"/>
      <c r="R1125" s="168" t="str">
        <f ca="1">IF(ISERROR($V1125),"",OFFSET('Smelter Look-up'!$C$4,$V1125-4,0)&amp;"")</f>
        <v/>
      </c>
      <c r="S1125" s="167" t="str">
        <f t="shared" ref="S1125:S1172" ca="1" si="105">IF(B1125="","",IF(ISERROR(MATCH($E1125,CL,0)),"Unknown",INDIRECT("'C'!$A$"&amp;MATCH($E1125,CL,0)+1)))</f>
        <v/>
      </c>
      <c r="T1125" s="167" t="str">
        <f ca="1">IF(B1125="","",IF(ISERROR(MATCH($J1125,SorP!$B$1:$B$6230,0)),"",INDIRECT("'SorP'!$A$"&amp;MATCH($J1125,SorP!$B$1:$B$6230,0))))</f>
        <v/>
      </c>
      <c r="U1125" s="176"/>
      <c r="V1125" s="177" t="e">
        <f>IF(C1125="",NA(),IF(OR(C1125="Smelter not listed",C1125="Smelter not yet identified"),MATCH($B1125&amp;$D1125,'Smelter Look-up'!$J:$J,0),MATCH($B1125&amp;$C1125,'Smelter Look-up'!$J:$J,0)))</f>
        <v>#N/A</v>
      </c>
      <c r="X1125" s="140">
        <f t="shared" ref="X1125:X1159" ca="1" si="106">IF(AND(C1125="Smelter not listed",OR(LEN(D1125)=0,LEN(E1125)=0)),1,0)</f>
        <v>0</v>
      </c>
      <c r="AB1125" s="178" t="str">
        <f t="shared" ref="AB1125:AB1159" si="107">B1125&amp;C1125</f>
        <v/>
      </c>
    </row>
    <row r="1126" spans="1:28" s="140" customFormat="1" ht="20.25">
      <c r="A1126" s="167"/>
      <c r="B1126" s="168" t="str">
        <f>IF(LEN(A1126)=0,"",INDEX('Smelter Look-up'!$A:$A,MATCH($A1126,'Smelter Look-up'!$E:$E,0)))</f>
        <v/>
      </c>
      <c r="C1126" s="169" t="str">
        <f>IF(LEN(A1126)=0,"",INDEX('Smelter Look-up'!$C:$C,MATCH($A1126,'Smelter Look-up'!$E:$E,0)))</f>
        <v/>
      </c>
      <c r="D1126" s="170"/>
      <c r="E1126" s="168" t="str">
        <f ca="1">IF(ISERROR($V1126),"",OFFSET('Smelter Look-up'!$D$4,$V1126-4,0)&amp;"")</f>
        <v/>
      </c>
      <c r="F1126" s="168" t="str">
        <f ca="1">IF(ISERROR($V1126),"",OFFSET('Smelter Look-up'!$E$4,$V1126-4,0))</f>
        <v/>
      </c>
      <c r="G1126" s="168" t="str">
        <f ca="1">IF(C1126=$X$4,IF(ISERROR($V1126),"Enter smelter details","RMI"),IF(ISERROR($V1126),"",OFFSET('Smelter Look-up'!$F$4,$V1126-4,0)))</f>
        <v/>
      </c>
      <c r="H1126" s="171" t="str">
        <f ca="1">IF(ISERROR($V1126),"",OFFSET('Smelter Look-up'!$G$4,$V1126-4,0))</f>
        <v/>
      </c>
      <c r="I1126" s="172" t="str">
        <f ca="1">IF(ISERROR($V1126),"",OFFSET('Smelter Look-up'!$H$4,$V1126-4,0))</f>
        <v/>
      </c>
      <c r="J1126" s="172" t="str">
        <f ca="1">IF(ISERROR($V1126),"",OFFSET('Smelter Look-up'!$I$4,$V1126-4,0))</f>
        <v/>
      </c>
      <c r="K1126" s="173"/>
      <c r="L1126" s="173"/>
      <c r="M1126" s="173"/>
      <c r="N1126" s="173"/>
      <c r="O1126" s="173"/>
      <c r="P1126" s="174"/>
      <c r="Q1126" s="175"/>
      <c r="R1126" s="168" t="str">
        <f ca="1">IF(ISERROR($V1126),"",OFFSET('Smelter Look-up'!$C$4,$V1126-4,0)&amp;"")</f>
        <v/>
      </c>
      <c r="S1126" s="167" t="str">
        <f t="shared" ca="1" si="105"/>
        <v/>
      </c>
      <c r="T1126" s="167" t="str">
        <f ca="1">IF(B1126="","",IF(ISERROR(MATCH($J1126,SorP!$B$1:$B$6230,0)),"",INDIRECT("'SorP'!$A$"&amp;MATCH($J1126,SorP!$B$1:$B$6230,0))))</f>
        <v/>
      </c>
      <c r="U1126" s="176"/>
      <c r="V1126" s="177" t="e">
        <f>IF(C1126="",NA(),IF(OR(C1126="Smelter not listed",C1126="Smelter not yet identified"),MATCH($B1126&amp;$D1126,'Smelter Look-up'!$J:$J,0),MATCH($B1126&amp;$C1126,'Smelter Look-up'!$J:$J,0)))</f>
        <v>#N/A</v>
      </c>
      <c r="X1126" s="140">
        <f t="shared" ca="1" si="106"/>
        <v>0</v>
      </c>
      <c r="AB1126" s="178" t="str">
        <f t="shared" si="107"/>
        <v/>
      </c>
    </row>
    <row r="1127" spans="1:28" s="140" customFormat="1" ht="20.25">
      <c r="A1127" s="167"/>
      <c r="B1127" s="168" t="str">
        <f>IF(LEN(A1127)=0,"",INDEX('Smelter Look-up'!$A:$A,MATCH($A1127,'Smelter Look-up'!$E:$E,0)))</f>
        <v/>
      </c>
      <c r="C1127" s="169" t="str">
        <f>IF(LEN(A1127)=0,"",INDEX('Smelter Look-up'!$C:$C,MATCH($A1127,'Smelter Look-up'!$E:$E,0)))</f>
        <v/>
      </c>
      <c r="D1127" s="170"/>
      <c r="E1127" s="168" t="str">
        <f ca="1">IF(ISERROR($V1127),"",OFFSET('Smelter Look-up'!$D$4,$V1127-4,0)&amp;"")</f>
        <v/>
      </c>
      <c r="F1127" s="168" t="str">
        <f ca="1">IF(ISERROR($V1127),"",OFFSET('Smelter Look-up'!$E$4,$V1127-4,0))</f>
        <v/>
      </c>
      <c r="G1127" s="168" t="str">
        <f ca="1">IF(C1127=$X$4,IF(ISERROR($V1127),"Enter smelter details","RMI"),IF(ISERROR($V1127),"",OFFSET('Smelter Look-up'!$F$4,$V1127-4,0)))</f>
        <v/>
      </c>
      <c r="H1127" s="171" t="str">
        <f ca="1">IF(ISERROR($V1127),"",OFFSET('Smelter Look-up'!$G$4,$V1127-4,0))</f>
        <v/>
      </c>
      <c r="I1127" s="172" t="str">
        <f ca="1">IF(ISERROR($V1127),"",OFFSET('Smelter Look-up'!$H$4,$V1127-4,0))</f>
        <v/>
      </c>
      <c r="J1127" s="172" t="str">
        <f ca="1">IF(ISERROR($V1127),"",OFFSET('Smelter Look-up'!$I$4,$V1127-4,0))</f>
        <v/>
      </c>
      <c r="K1127" s="173"/>
      <c r="L1127" s="173"/>
      <c r="M1127" s="173"/>
      <c r="N1127" s="173"/>
      <c r="O1127" s="173"/>
      <c r="P1127" s="174"/>
      <c r="Q1127" s="175"/>
      <c r="R1127" s="168" t="str">
        <f ca="1">IF(ISERROR($V1127),"",OFFSET('Smelter Look-up'!$C$4,$V1127-4,0)&amp;"")</f>
        <v/>
      </c>
      <c r="S1127" s="167" t="str">
        <f t="shared" ca="1" si="105"/>
        <v/>
      </c>
      <c r="T1127" s="167" t="str">
        <f ca="1">IF(B1127="","",IF(ISERROR(MATCH($J1127,SorP!$B$1:$B$6230,0)),"",INDIRECT("'SorP'!$A$"&amp;MATCH($J1127,SorP!$B$1:$B$6230,0))))</f>
        <v/>
      </c>
      <c r="U1127" s="176"/>
      <c r="V1127" s="177" t="e">
        <f>IF(C1127="",NA(),IF(OR(C1127="Smelter not listed",C1127="Smelter not yet identified"),MATCH($B1127&amp;$D1127,'Smelter Look-up'!$J:$J,0),MATCH($B1127&amp;$C1127,'Smelter Look-up'!$J:$J,0)))</f>
        <v>#N/A</v>
      </c>
      <c r="X1127" s="140">
        <f t="shared" ca="1" si="106"/>
        <v>0</v>
      </c>
      <c r="AB1127" s="178" t="str">
        <f t="shared" si="107"/>
        <v/>
      </c>
    </row>
    <row r="1128" spans="1:28" s="140" customFormat="1" ht="20.25">
      <c r="A1128" s="167"/>
      <c r="B1128" s="168" t="str">
        <f>IF(LEN(A1128)=0,"",INDEX('Smelter Look-up'!$A:$A,MATCH($A1128,'Smelter Look-up'!$E:$E,0)))</f>
        <v/>
      </c>
      <c r="C1128" s="169" t="str">
        <f>IF(LEN(A1128)=0,"",INDEX('Smelter Look-up'!$C:$C,MATCH($A1128,'Smelter Look-up'!$E:$E,0)))</f>
        <v/>
      </c>
      <c r="D1128" s="170"/>
      <c r="E1128" s="168" t="str">
        <f ca="1">IF(ISERROR($V1128),"",OFFSET('Smelter Look-up'!$D$4,$V1128-4,0)&amp;"")</f>
        <v/>
      </c>
      <c r="F1128" s="168" t="str">
        <f ca="1">IF(ISERROR($V1128),"",OFFSET('Smelter Look-up'!$E$4,$V1128-4,0))</f>
        <v/>
      </c>
      <c r="G1128" s="168" t="str">
        <f ca="1">IF(C1128=$X$4,IF(ISERROR($V1128),"Enter smelter details","RMI"),IF(ISERROR($V1128),"",OFFSET('Smelter Look-up'!$F$4,$V1128-4,0)))</f>
        <v/>
      </c>
      <c r="H1128" s="171" t="str">
        <f ca="1">IF(ISERROR($V1128),"",OFFSET('Smelter Look-up'!$G$4,$V1128-4,0))</f>
        <v/>
      </c>
      <c r="I1128" s="172" t="str">
        <f ca="1">IF(ISERROR($V1128),"",OFFSET('Smelter Look-up'!$H$4,$V1128-4,0))</f>
        <v/>
      </c>
      <c r="J1128" s="172" t="str">
        <f ca="1">IF(ISERROR($V1128),"",OFFSET('Smelter Look-up'!$I$4,$V1128-4,0))</f>
        <v/>
      </c>
      <c r="K1128" s="173"/>
      <c r="L1128" s="173"/>
      <c r="M1128" s="173"/>
      <c r="N1128" s="173"/>
      <c r="O1128" s="173"/>
      <c r="P1128" s="174"/>
      <c r="Q1128" s="175"/>
      <c r="R1128" s="168" t="str">
        <f ca="1">IF(ISERROR($V1128),"",OFFSET('Smelter Look-up'!$C$4,$V1128-4,0)&amp;"")</f>
        <v/>
      </c>
      <c r="S1128" s="167" t="str">
        <f t="shared" ca="1" si="105"/>
        <v/>
      </c>
      <c r="T1128" s="167" t="str">
        <f ca="1">IF(B1128="","",IF(ISERROR(MATCH($J1128,SorP!$B$1:$B$6230,0)),"",INDIRECT("'SorP'!$A$"&amp;MATCH($J1128,SorP!$B$1:$B$6230,0))))</f>
        <v/>
      </c>
      <c r="U1128" s="176"/>
      <c r="V1128" s="177" t="e">
        <f>IF(C1128="",NA(),IF(OR(C1128="Smelter not listed",C1128="Smelter not yet identified"),MATCH($B1128&amp;$D1128,'Smelter Look-up'!$J:$J,0),MATCH($B1128&amp;$C1128,'Smelter Look-up'!$J:$J,0)))</f>
        <v>#N/A</v>
      </c>
      <c r="X1128" s="140">
        <f t="shared" ca="1" si="106"/>
        <v>0</v>
      </c>
      <c r="AB1128" s="178" t="str">
        <f t="shared" si="107"/>
        <v/>
      </c>
    </row>
    <row r="1129" spans="1:28" s="140" customFormat="1" ht="20.25">
      <c r="A1129" s="167"/>
      <c r="B1129" s="168" t="str">
        <f>IF(LEN(A1129)=0,"",INDEX('Smelter Look-up'!$A:$A,MATCH($A1129,'Smelter Look-up'!$E:$E,0)))</f>
        <v/>
      </c>
      <c r="C1129" s="169" t="str">
        <f>IF(LEN(A1129)=0,"",INDEX('Smelter Look-up'!$C:$C,MATCH($A1129,'Smelter Look-up'!$E:$E,0)))</f>
        <v/>
      </c>
      <c r="D1129" s="170"/>
      <c r="E1129" s="168" t="str">
        <f ca="1">IF(ISERROR($V1129),"",OFFSET('Smelter Look-up'!$D$4,$V1129-4,0)&amp;"")</f>
        <v/>
      </c>
      <c r="F1129" s="168" t="str">
        <f ca="1">IF(ISERROR($V1129),"",OFFSET('Smelter Look-up'!$E$4,$V1129-4,0))</f>
        <v/>
      </c>
      <c r="G1129" s="168" t="str">
        <f ca="1">IF(C1129=$X$4,IF(ISERROR($V1129),"Enter smelter details","RMI"),IF(ISERROR($V1129),"",OFFSET('Smelter Look-up'!$F$4,$V1129-4,0)))</f>
        <v/>
      </c>
      <c r="H1129" s="171" t="str">
        <f ca="1">IF(ISERROR($V1129),"",OFFSET('Smelter Look-up'!$G$4,$V1129-4,0))</f>
        <v/>
      </c>
      <c r="I1129" s="172" t="str">
        <f ca="1">IF(ISERROR($V1129),"",OFFSET('Smelter Look-up'!$H$4,$V1129-4,0))</f>
        <v/>
      </c>
      <c r="J1129" s="172" t="str">
        <f ca="1">IF(ISERROR($V1129),"",OFFSET('Smelter Look-up'!$I$4,$V1129-4,0))</f>
        <v/>
      </c>
      <c r="K1129" s="173"/>
      <c r="L1129" s="173"/>
      <c r="M1129" s="173"/>
      <c r="N1129" s="173"/>
      <c r="O1129" s="173"/>
      <c r="P1129" s="174"/>
      <c r="Q1129" s="175"/>
      <c r="R1129" s="168" t="str">
        <f ca="1">IF(ISERROR($V1129),"",OFFSET('Smelter Look-up'!$C$4,$V1129-4,0)&amp;"")</f>
        <v/>
      </c>
      <c r="S1129" s="167" t="str">
        <f t="shared" ca="1" si="105"/>
        <v/>
      </c>
      <c r="T1129" s="167" t="str">
        <f ca="1">IF(B1129="","",IF(ISERROR(MATCH($J1129,SorP!$B$1:$B$6230,0)),"",INDIRECT("'SorP'!$A$"&amp;MATCH($J1129,SorP!$B$1:$B$6230,0))))</f>
        <v/>
      </c>
      <c r="U1129" s="176"/>
      <c r="V1129" s="177" t="e">
        <f>IF(C1129="",NA(),IF(OR(C1129="Smelter not listed",C1129="Smelter not yet identified"),MATCH($B1129&amp;$D1129,'Smelter Look-up'!$J:$J,0),MATCH($B1129&amp;$C1129,'Smelter Look-up'!$J:$J,0)))</f>
        <v>#N/A</v>
      </c>
      <c r="X1129" s="140">
        <f t="shared" ca="1" si="106"/>
        <v>0</v>
      </c>
      <c r="AB1129" s="178" t="str">
        <f t="shared" si="107"/>
        <v/>
      </c>
    </row>
    <row r="1130" spans="1:28" s="140" customFormat="1" ht="20.25">
      <c r="A1130" s="167"/>
      <c r="B1130" s="168" t="str">
        <f>IF(LEN(A1130)=0,"",INDEX('Smelter Look-up'!$A:$A,MATCH($A1130,'Smelter Look-up'!$E:$E,0)))</f>
        <v/>
      </c>
      <c r="C1130" s="169" t="str">
        <f>IF(LEN(A1130)=0,"",INDEX('Smelter Look-up'!$C:$C,MATCH($A1130,'Smelter Look-up'!$E:$E,0)))</f>
        <v/>
      </c>
      <c r="D1130" s="170"/>
      <c r="E1130" s="168" t="str">
        <f ca="1">IF(ISERROR($V1130),"",OFFSET('Smelter Look-up'!$D$4,$V1130-4,0)&amp;"")</f>
        <v/>
      </c>
      <c r="F1130" s="168" t="str">
        <f ca="1">IF(ISERROR($V1130),"",OFFSET('Smelter Look-up'!$E$4,$V1130-4,0))</f>
        <v/>
      </c>
      <c r="G1130" s="168" t="str">
        <f ca="1">IF(C1130=$X$4,IF(ISERROR($V1130),"Enter smelter details","RMI"),IF(ISERROR($V1130),"",OFFSET('Smelter Look-up'!$F$4,$V1130-4,0)))</f>
        <v/>
      </c>
      <c r="H1130" s="171" t="str">
        <f ca="1">IF(ISERROR($V1130),"",OFFSET('Smelter Look-up'!$G$4,$V1130-4,0))</f>
        <v/>
      </c>
      <c r="I1130" s="172" t="str">
        <f ca="1">IF(ISERROR($V1130),"",OFFSET('Smelter Look-up'!$H$4,$V1130-4,0))</f>
        <v/>
      </c>
      <c r="J1130" s="172" t="str">
        <f ca="1">IF(ISERROR($V1130),"",OFFSET('Smelter Look-up'!$I$4,$V1130-4,0))</f>
        <v/>
      </c>
      <c r="K1130" s="173"/>
      <c r="L1130" s="173"/>
      <c r="M1130" s="173"/>
      <c r="N1130" s="173"/>
      <c r="O1130" s="173"/>
      <c r="P1130" s="174"/>
      <c r="Q1130" s="175"/>
      <c r="R1130" s="168" t="str">
        <f ca="1">IF(ISERROR($V1130),"",OFFSET('Smelter Look-up'!$C$4,$V1130-4,0)&amp;"")</f>
        <v/>
      </c>
      <c r="S1130" s="167" t="str">
        <f t="shared" ca="1" si="105"/>
        <v/>
      </c>
      <c r="T1130" s="167" t="str">
        <f ca="1">IF(B1130="","",IF(ISERROR(MATCH($J1130,SorP!$B$1:$B$6230,0)),"",INDIRECT("'SorP'!$A$"&amp;MATCH($J1130,SorP!$B$1:$B$6230,0))))</f>
        <v/>
      </c>
      <c r="U1130" s="176"/>
      <c r="V1130" s="177" t="e">
        <f>IF(C1130="",NA(),IF(OR(C1130="Smelter not listed",C1130="Smelter not yet identified"),MATCH($B1130&amp;$D1130,'Smelter Look-up'!$J:$J,0),MATCH($B1130&amp;$C1130,'Smelter Look-up'!$J:$J,0)))</f>
        <v>#N/A</v>
      </c>
      <c r="X1130" s="140">
        <f t="shared" ca="1" si="106"/>
        <v>0</v>
      </c>
      <c r="AB1130" s="178" t="str">
        <f t="shared" si="107"/>
        <v/>
      </c>
    </row>
    <row r="1131" spans="1:28" s="140" customFormat="1" ht="20.25">
      <c r="A1131" s="167"/>
      <c r="B1131" s="168" t="str">
        <f>IF(LEN(A1131)=0,"",INDEX('Smelter Look-up'!$A:$A,MATCH($A1131,'Smelter Look-up'!$E:$E,0)))</f>
        <v/>
      </c>
      <c r="C1131" s="169" t="str">
        <f>IF(LEN(A1131)=0,"",INDEX('Smelter Look-up'!$C:$C,MATCH($A1131,'Smelter Look-up'!$E:$E,0)))</f>
        <v/>
      </c>
      <c r="D1131" s="170"/>
      <c r="E1131" s="168" t="str">
        <f ca="1">IF(ISERROR($V1131),"",OFFSET('Smelter Look-up'!$D$4,$V1131-4,0)&amp;"")</f>
        <v/>
      </c>
      <c r="F1131" s="168" t="str">
        <f ca="1">IF(ISERROR($V1131),"",OFFSET('Smelter Look-up'!$E$4,$V1131-4,0))</f>
        <v/>
      </c>
      <c r="G1131" s="168" t="str">
        <f ca="1">IF(C1131=$X$4,IF(ISERROR($V1131),"Enter smelter details","RMI"),IF(ISERROR($V1131),"",OFFSET('Smelter Look-up'!$F$4,$V1131-4,0)))</f>
        <v/>
      </c>
      <c r="H1131" s="171" t="str">
        <f ca="1">IF(ISERROR($V1131),"",OFFSET('Smelter Look-up'!$G$4,$V1131-4,0))</f>
        <v/>
      </c>
      <c r="I1131" s="172" t="str">
        <f ca="1">IF(ISERROR($V1131),"",OFFSET('Smelter Look-up'!$H$4,$V1131-4,0))</f>
        <v/>
      </c>
      <c r="J1131" s="172" t="str">
        <f ca="1">IF(ISERROR($V1131),"",OFFSET('Smelter Look-up'!$I$4,$V1131-4,0))</f>
        <v/>
      </c>
      <c r="K1131" s="173"/>
      <c r="L1131" s="173"/>
      <c r="M1131" s="173"/>
      <c r="N1131" s="173"/>
      <c r="O1131" s="173"/>
      <c r="P1131" s="174"/>
      <c r="Q1131" s="175"/>
      <c r="R1131" s="168" t="str">
        <f ca="1">IF(ISERROR($V1131),"",OFFSET('Smelter Look-up'!$C$4,$V1131-4,0)&amp;"")</f>
        <v/>
      </c>
      <c r="S1131" s="167" t="str">
        <f t="shared" ca="1" si="105"/>
        <v/>
      </c>
      <c r="T1131" s="167" t="str">
        <f ca="1">IF(B1131="","",IF(ISERROR(MATCH($J1131,SorP!$B$1:$B$6230,0)),"",INDIRECT("'SorP'!$A$"&amp;MATCH($J1131,SorP!$B$1:$B$6230,0))))</f>
        <v/>
      </c>
      <c r="U1131" s="176"/>
      <c r="V1131" s="177" t="e">
        <f>IF(C1131="",NA(),IF(OR(C1131="Smelter not listed",C1131="Smelter not yet identified"),MATCH($B1131&amp;$D1131,'Smelter Look-up'!$J:$J,0),MATCH($B1131&amp;$C1131,'Smelter Look-up'!$J:$J,0)))</f>
        <v>#N/A</v>
      </c>
      <c r="X1131" s="140">
        <f t="shared" ca="1" si="106"/>
        <v>0</v>
      </c>
      <c r="AB1131" s="178" t="str">
        <f t="shared" si="107"/>
        <v/>
      </c>
    </row>
    <row r="1132" spans="1:28" s="140" customFormat="1" ht="20.25">
      <c r="A1132" s="167"/>
      <c r="B1132" s="168" t="str">
        <f>IF(LEN(A1132)=0,"",INDEX('Smelter Look-up'!$A:$A,MATCH($A1132,'Smelter Look-up'!$E:$E,0)))</f>
        <v/>
      </c>
      <c r="C1132" s="169" t="str">
        <f>IF(LEN(A1132)=0,"",INDEX('Smelter Look-up'!$C:$C,MATCH($A1132,'Smelter Look-up'!$E:$E,0)))</f>
        <v/>
      </c>
      <c r="D1132" s="170"/>
      <c r="E1132" s="168" t="str">
        <f ca="1">IF(ISERROR($V1132),"",OFFSET('Smelter Look-up'!$D$4,$V1132-4,0)&amp;"")</f>
        <v/>
      </c>
      <c r="F1132" s="168" t="str">
        <f ca="1">IF(ISERROR($V1132),"",OFFSET('Smelter Look-up'!$E$4,$V1132-4,0))</f>
        <v/>
      </c>
      <c r="G1132" s="168" t="str">
        <f ca="1">IF(C1132=$X$4,IF(ISERROR($V1132),"Enter smelter details","RMI"),IF(ISERROR($V1132),"",OFFSET('Smelter Look-up'!$F$4,$V1132-4,0)))</f>
        <v/>
      </c>
      <c r="H1132" s="171" t="str">
        <f ca="1">IF(ISERROR($V1132),"",OFFSET('Smelter Look-up'!$G$4,$V1132-4,0))</f>
        <v/>
      </c>
      <c r="I1132" s="172" t="str">
        <f ca="1">IF(ISERROR($V1132),"",OFFSET('Smelter Look-up'!$H$4,$V1132-4,0))</f>
        <v/>
      </c>
      <c r="J1132" s="172" t="str">
        <f ca="1">IF(ISERROR($V1132),"",OFFSET('Smelter Look-up'!$I$4,$V1132-4,0))</f>
        <v/>
      </c>
      <c r="K1132" s="173"/>
      <c r="L1132" s="173"/>
      <c r="M1132" s="173"/>
      <c r="N1132" s="173"/>
      <c r="O1132" s="173"/>
      <c r="P1132" s="174"/>
      <c r="Q1132" s="175"/>
      <c r="R1132" s="168" t="str">
        <f ca="1">IF(ISERROR($V1132),"",OFFSET('Smelter Look-up'!$C$4,$V1132-4,0)&amp;"")</f>
        <v/>
      </c>
      <c r="S1132" s="167" t="str">
        <f t="shared" ca="1" si="105"/>
        <v/>
      </c>
      <c r="T1132" s="167" t="str">
        <f ca="1">IF(B1132="","",IF(ISERROR(MATCH($J1132,SorP!$B$1:$B$6230,0)),"",INDIRECT("'SorP'!$A$"&amp;MATCH($J1132,SorP!$B$1:$B$6230,0))))</f>
        <v/>
      </c>
      <c r="U1132" s="176"/>
      <c r="V1132" s="177" t="e">
        <f>IF(C1132="",NA(),IF(OR(C1132="Smelter not listed",C1132="Smelter not yet identified"),MATCH($B1132&amp;$D1132,'Smelter Look-up'!$J:$J,0),MATCH($B1132&amp;$C1132,'Smelter Look-up'!$J:$J,0)))</f>
        <v>#N/A</v>
      </c>
      <c r="X1132" s="140">
        <f t="shared" ca="1" si="106"/>
        <v>0</v>
      </c>
      <c r="AB1132" s="178" t="str">
        <f t="shared" si="107"/>
        <v/>
      </c>
    </row>
    <row r="1133" spans="1:28" s="140" customFormat="1" ht="20.25">
      <c r="A1133" s="167"/>
      <c r="B1133" s="168" t="str">
        <f>IF(LEN(A1133)=0,"",INDEX('Smelter Look-up'!$A:$A,MATCH($A1133,'Smelter Look-up'!$E:$E,0)))</f>
        <v/>
      </c>
      <c r="C1133" s="169" t="str">
        <f>IF(LEN(A1133)=0,"",INDEX('Smelter Look-up'!$C:$C,MATCH($A1133,'Smelter Look-up'!$E:$E,0)))</f>
        <v/>
      </c>
      <c r="D1133" s="170"/>
      <c r="E1133" s="168" t="str">
        <f ca="1">IF(ISERROR($V1133),"",OFFSET('Smelter Look-up'!$D$4,$V1133-4,0)&amp;"")</f>
        <v/>
      </c>
      <c r="F1133" s="168" t="str">
        <f ca="1">IF(ISERROR($V1133),"",OFFSET('Smelter Look-up'!$E$4,$V1133-4,0))</f>
        <v/>
      </c>
      <c r="G1133" s="168" t="str">
        <f ca="1">IF(C1133=$X$4,IF(ISERROR($V1133),"Enter smelter details","RMI"),IF(ISERROR($V1133),"",OFFSET('Smelter Look-up'!$F$4,$V1133-4,0)))</f>
        <v/>
      </c>
      <c r="H1133" s="171" t="str">
        <f ca="1">IF(ISERROR($V1133),"",OFFSET('Smelter Look-up'!$G$4,$V1133-4,0))</f>
        <v/>
      </c>
      <c r="I1133" s="172" t="str">
        <f ca="1">IF(ISERROR($V1133),"",OFFSET('Smelter Look-up'!$H$4,$V1133-4,0))</f>
        <v/>
      </c>
      <c r="J1133" s="172" t="str">
        <f ca="1">IF(ISERROR($V1133),"",OFFSET('Smelter Look-up'!$I$4,$V1133-4,0))</f>
        <v/>
      </c>
      <c r="K1133" s="173"/>
      <c r="L1133" s="173"/>
      <c r="M1133" s="173"/>
      <c r="N1133" s="173"/>
      <c r="O1133" s="173"/>
      <c r="P1133" s="174"/>
      <c r="Q1133" s="175"/>
      <c r="R1133" s="168" t="str">
        <f ca="1">IF(ISERROR($V1133),"",OFFSET('Smelter Look-up'!$C$4,$V1133-4,0)&amp;"")</f>
        <v/>
      </c>
      <c r="S1133" s="167" t="str">
        <f t="shared" ca="1" si="105"/>
        <v/>
      </c>
      <c r="T1133" s="167" t="str">
        <f ca="1">IF(B1133="","",IF(ISERROR(MATCH($J1133,SorP!$B$1:$B$6230,0)),"",INDIRECT("'SorP'!$A$"&amp;MATCH($J1133,SorP!$B$1:$B$6230,0))))</f>
        <v/>
      </c>
      <c r="U1133" s="176"/>
      <c r="V1133" s="177" t="e">
        <f>IF(C1133="",NA(),IF(OR(C1133="Smelter not listed",C1133="Smelter not yet identified"),MATCH($B1133&amp;$D1133,'Smelter Look-up'!$J:$J,0),MATCH($B1133&amp;$C1133,'Smelter Look-up'!$J:$J,0)))</f>
        <v>#N/A</v>
      </c>
      <c r="X1133" s="140">
        <f t="shared" ca="1" si="106"/>
        <v>0</v>
      </c>
      <c r="AB1133" s="178" t="str">
        <f t="shared" si="107"/>
        <v/>
      </c>
    </row>
    <row r="1134" spans="1:28" s="140" customFormat="1" ht="20.25">
      <c r="A1134" s="167"/>
      <c r="B1134" s="168" t="str">
        <f>IF(LEN(A1134)=0,"",INDEX('Smelter Look-up'!$A:$A,MATCH($A1134,'Smelter Look-up'!$E:$E,0)))</f>
        <v/>
      </c>
      <c r="C1134" s="169" t="str">
        <f>IF(LEN(A1134)=0,"",INDEX('Smelter Look-up'!$C:$C,MATCH($A1134,'Smelter Look-up'!$E:$E,0)))</f>
        <v/>
      </c>
      <c r="D1134" s="170"/>
      <c r="E1134" s="168" t="str">
        <f ca="1">IF(ISERROR($V1134),"",OFFSET('Smelter Look-up'!$D$4,$V1134-4,0)&amp;"")</f>
        <v/>
      </c>
      <c r="F1134" s="168" t="str">
        <f ca="1">IF(ISERROR($V1134),"",OFFSET('Smelter Look-up'!$E$4,$V1134-4,0))</f>
        <v/>
      </c>
      <c r="G1134" s="168" t="str">
        <f ca="1">IF(C1134=$X$4,IF(ISERROR($V1134),"Enter smelter details","RMI"),IF(ISERROR($V1134),"",OFFSET('Smelter Look-up'!$F$4,$V1134-4,0)))</f>
        <v/>
      </c>
      <c r="H1134" s="171" t="str">
        <f ca="1">IF(ISERROR($V1134),"",OFFSET('Smelter Look-up'!$G$4,$V1134-4,0))</f>
        <v/>
      </c>
      <c r="I1134" s="172" t="str">
        <f ca="1">IF(ISERROR($V1134),"",OFFSET('Smelter Look-up'!$H$4,$V1134-4,0))</f>
        <v/>
      </c>
      <c r="J1134" s="172" t="str">
        <f ca="1">IF(ISERROR($V1134),"",OFFSET('Smelter Look-up'!$I$4,$V1134-4,0))</f>
        <v/>
      </c>
      <c r="K1134" s="173"/>
      <c r="L1134" s="173"/>
      <c r="M1134" s="173"/>
      <c r="N1134" s="173"/>
      <c r="O1134" s="173"/>
      <c r="P1134" s="174"/>
      <c r="Q1134" s="175"/>
      <c r="R1134" s="168" t="str">
        <f ca="1">IF(ISERROR($V1134),"",OFFSET('Smelter Look-up'!$C$4,$V1134-4,0)&amp;"")</f>
        <v/>
      </c>
      <c r="S1134" s="167" t="str">
        <f t="shared" ca="1" si="105"/>
        <v/>
      </c>
      <c r="T1134" s="167" t="str">
        <f ca="1">IF(B1134="","",IF(ISERROR(MATCH($J1134,SorP!$B$1:$B$6230,0)),"",INDIRECT("'SorP'!$A$"&amp;MATCH($J1134,SorP!$B$1:$B$6230,0))))</f>
        <v/>
      </c>
      <c r="U1134" s="176"/>
      <c r="V1134" s="177" t="e">
        <f>IF(C1134="",NA(),IF(OR(C1134="Smelter not listed",C1134="Smelter not yet identified"),MATCH($B1134&amp;$D1134,'Smelter Look-up'!$J:$J,0),MATCH($B1134&amp;$C1134,'Smelter Look-up'!$J:$J,0)))</f>
        <v>#N/A</v>
      </c>
      <c r="X1134" s="140">
        <f t="shared" ca="1" si="106"/>
        <v>0</v>
      </c>
      <c r="AB1134" s="178" t="str">
        <f t="shared" si="107"/>
        <v/>
      </c>
    </row>
    <row r="1135" spans="1:28" s="140" customFormat="1" ht="20.25">
      <c r="A1135" s="167"/>
      <c r="B1135" s="168" t="str">
        <f>IF(LEN(A1135)=0,"",INDEX('Smelter Look-up'!$A:$A,MATCH($A1135,'Smelter Look-up'!$E:$E,0)))</f>
        <v/>
      </c>
      <c r="C1135" s="169" t="str">
        <f>IF(LEN(A1135)=0,"",INDEX('Smelter Look-up'!$C:$C,MATCH($A1135,'Smelter Look-up'!$E:$E,0)))</f>
        <v/>
      </c>
      <c r="D1135" s="170"/>
      <c r="E1135" s="168" t="str">
        <f ca="1">IF(ISERROR($V1135),"",OFFSET('Smelter Look-up'!$D$4,$V1135-4,0)&amp;"")</f>
        <v/>
      </c>
      <c r="F1135" s="168" t="str">
        <f ca="1">IF(ISERROR($V1135),"",OFFSET('Smelter Look-up'!$E$4,$V1135-4,0))</f>
        <v/>
      </c>
      <c r="G1135" s="168" t="str">
        <f ca="1">IF(C1135=$X$4,IF(ISERROR($V1135),"Enter smelter details","RMI"),IF(ISERROR($V1135),"",OFFSET('Smelter Look-up'!$F$4,$V1135-4,0)))</f>
        <v/>
      </c>
      <c r="H1135" s="171" t="str">
        <f ca="1">IF(ISERROR($V1135),"",OFFSET('Smelter Look-up'!$G$4,$V1135-4,0))</f>
        <v/>
      </c>
      <c r="I1135" s="172" t="str">
        <f ca="1">IF(ISERROR($V1135),"",OFFSET('Smelter Look-up'!$H$4,$V1135-4,0))</f>
        <v/>
      </c>
      <c r="J1135" s="172" t="str">
        <f ca="1">IF(ISERROR($V1135),"",OFFSET('Smelter Look-up'!$I$4,$V1135-4,0))</f>
        <v/>
      </c>
      <c r="K1135" s="173"/>
      <c r="L1135" s="173"/>
      <c r="M1135" s="173"/>
      <c r="N1135" s="173"/>
      <c r="O1135" s="173"/>
      <c r="P1135" s="174"/>
      <c r="Q1135" s="175"/>
      <c r="R1135" s="168" t="str">
        <f ca="1">IF(ISERROR($V1135),"",OFFSET('Smelter Look-up'!$C$4,$V1135-4,0)&amp;"")</f>
        <v/>
      </c>
      <c r="S1135" s="167" t="str">
        <f t="shared" ca="1" si="105"/>
        <v/>
      </c>
      <c r="T1135" s="167" t="str">
        <f ca="1">IF(B1135="","",IF(ISERROR(MATCH($J1135,SorP!$B$1:$B$6230,0)),"",INDIRECT("'SorP'!$A$"&amp;MATCH($J1135,SorP!$B$1:$B$6230,0))))</f>
        <v/>
      </c>
      <c r="U1135" s="176"/>
      <c r="V1135" s="177" t="e">
        <f>IF(C1135="",NA(),IF(OR(C1135="Smelter not listed",C1135="Smelter not yet identified"),MATCH($B1135&amp;$D1135,'Smelter Look-up'!$J:$J,0),MATCH($B1135&amp;$C1135,'Smelter Look-up'!$J:$J,0)))</f>
        <v>#N/A</v>
      </c>
      <c r="X1135" s="140">
        <f t="shared" ca="1" si="106"/>
        <v>0</v>
      </c>
      <c r="AB1135" s="178" t="str">
        <f t="shared" si="107"/>
        <v/>
      </c>
    </row>
    <row r="1136" spans="1:28" s="140" customFormat="1" ht="20.25">
      <c r="A1136" s="167"/>
      <c r="B1136" s="168" t="str">
        <f>IF(LEN(A1136)=0,"",INDEX('Smelter Look-up'!$A:$A,MATCH($A1136,'Smelter Look-up'!$E:$E,0)))</f>
        <v/>
      </c>
      <c r="C1136" s="169" t="str">
        <f>IF(LEN(A1136)=0,"",INDEX('Smelter Look-up'!$C:$C,MATCH($A1136,'Smelter Look-up'!$E:$E,0)))</f>
        <v/>
      </c>
      <c r="D1136" s="170"/>
      <c r="E1136" s="168" t="str">
        <f ca="1">IF(ISERROR($V1136),"",OFFSET('Smelter Look-up'!$D$4,$V1136-4,0)&amp;"")</f>
        <v/>
      </c>
      <c r="F1136" s="168" t="str">
        <f ca="1">IF(ISERROR($V1136),"",OFFSET('Smelter Look-up'!$E$4,$V1136-4,0))</f>
        <v/>
      </c>
      <c r="G1136" s="168" t="str">
        <f ca="1">IF(C1136=$X$4,IF(ISERROR($V1136),"Enter smelter details","RMI"),IF(ISERROR($V1136),"",OFFSET('Smelter Look-up'!$F$4,$V1136-4,0)))</f>
        <v/>
      </c>
      <c r="H1136" s="171" t="str">
        <f ca="1">IF(ISERROR($V1136),"",OFFSET('Smelter Look-up'!$G$4,$V1136-4,0))</f>
        <v/>
      </c>
      <c r="I1136" s="172" t="str">
        <f ca="1">IF(ISERROR($V1136),"",OFFSET('Smelter Look-up'!$H$4,$V1136-4,0))</f>
        <v/>
      </c>
      <c r="J1136" s="172" t="str">
        <f ca="1">IF(ISERROR($V1136),"",OFFSET('Smelter Look-up'!$I$4,$V1136-4,0))</f>
        <v/>
      </c>
      <c r="K1136" s="173"/>
      <c r="L1136" s="173"/>
      <c r="M1136" s="173"/>
      <c r="N1136" s="173"/>
      <c r="O1136" s="173"/>
      <c r="P1136" s="174"/>
      <c r="Q1136" s="175"/>
      <c r="R1136" s="168" t="str">
        <f ca="1">IF(ISERROR($V1136),"",OFFSET('Smelter Look-up'!$C$4,$V1136-4,0)&amp;"")</f>
        <v/>
      </c>
      <c r="S1136" s="167" t="str">
        <f t="shared" ca="1" si="105"/>
        <v/>
      </c>
      <c r="T1136" s="167" t="str">
        <f ca="1">IF(B1136="","",IF(ISERROR(MATCH($J1136,SorP!$B$1:$B$6230,0)),"",INDIRECT("'SorP'!$A$"&amp;MATCH($J1136,SorP!$B$1:$B$6230,0))))</f>
        <v/>
      </c>
      <c r="U1136" s="176"/>
      <c r="V1136" s="177" t="e">
        <f>IF(C1136="",NA(),IF(OR(C1136="Smelter not listed",C1136="Smelter not yet identified"),MATCH($B1136&amp;$D1136,'Smelter Look-up'!$J:$J,0),MATCH($B1136&amp;$C1136,'Smelter Look-up'!$J:$J,0)))</f>
        <v>#N/A</v>
      </c>
      <c r="X1136" s="140">
        <f t="shared" ca="1" si="106"/>
        <v>0</v>
      </c>
      <c r="AB1136" s="178" t="str">
        <f t="shared" si="107"/>
        <v/>
      </c>
    </row>
    <row r="1137" spans="1:28" s="140" customFormat="1" ht="20.25">
      <c r="A1137" s="167"/>
      <c r="B1137" s="168" t="str">
        <f>IF(LEN(A1137)=0,"",INDEX('Smelter Look-up'!$A:$A,MATCH($A1137,'Smelter Look-up'!$E:$E,0)))</f>
        <v/>
      </c>
      <c r="C1137" s="169" t="str">
        <f>IF(LEN(A1137)=0,"",INDEX('Smelter Look-up'!$C:$C,MATCH($A1137,'Smelter Look-up'!$E:$E,0)))</f>
        <v/>
      </c>
      <c r="D1137" s="170"/>
      <c r="E1137" s="168" t="str">
        <f ca="1">IF(ISERROR($V1137),"",OFFSET('Smelter Look-up'!$D$4,$V1137-4,0)&amp;"")</f>
        <v/>
      </c>
      <c r="F1137" s="168" t="str">
        <f ca="1">IF(ISERROR($V1137),"",OFFSET('Smelter Look-up'!$E$4,$V1137-4,0))</f>
        <v/>
      </c>
      <c r="G1137" s="168" t="str">
        <f ca="1">IF(C1137=$X$4,IF(ISERROR($V1137),"Enter smelter details","RMI"),IF(ISERROR($V1137),"",OFFSET('Smelter Look-up'!$F$4,$V1137-4,0)))</f>
        <v/>
      </c>
      <c r="H1137" s="171" t="str">
        <f ca="1">IF(ISERROR($V1137),"",OFFSET('Smelter Look-up'!$G$4,$V1137-4,0))</f>
        <v/>
      </c>
      <c r="I1137" s="172" t="str">
        <f ca="1">IF(ISERROR($V1137),"",OFFSET('Smelter Look-up'!$H$4,$V1137-4,0))</f>
        <v/>
      </c>
      <c r="J1137" s="172" t="str">
        <f ca="1">IF(ISERROR($V1137),"",OFFSET('Smelter Look-up'!$I$4,$V1137-4,0))</f>
        <v/>
      </c>
      <c r="K1137" s="173"/>
      <c r="L1137" s="173"/>
      <c r="M1137" s="173"/>
      <c r="N1137" s="173"/>
      <c r="O1137" s="173"/>
      <c r="P1137" s="174"/>
      <c r="Q1137" s="175"/>
      <c r="R1137" s="168" t="str">
        <f ca="1">IF(ISERROR($V1137),"",OFFSET('Smelter Look-up'!$C$4,$V1137-4,0)&amp;"")</f>
        <v/>
      </c>
      <c r="S1137" s="167" t="str">
        <f t="shared" ca="1" si="105"/>
        <v/>
      </c>
      <c r="T1137" s="167" t="str">
        <f ca="1">IF(B1137="","",IF(ISERROR(MATCH($J1137,SorP!$B$1:$B$6230,0)),"",INDIRECT("'SorP'!$A$"&amp;MATCH($J1137,SorP!$B$1:$B$6230,0))))</f>
        <v/>
      </c>
      <c r="U1137" s="176"/>
      <c r="V1137" s="177" t="e">
        <f>IF(C1137="",NA(),IF(OR(C1137="Smelter not listed",C1137="Smelter not yet identified"),MATCH($B1137&amp;$D1137,'Smelter Look-up'!$J:$J,0),MATCH($B1137&amp;$C1137,'Smelter Look-up'!$J:$J,0)))</f>
        <v>#N/A</v>
      </c>
      <c r="X1137" s="140">
        <f t="shared" ca="1" si="106"/>
        <v>0</v>
      </c>
      <c r="AB1137" s="178" t="str">
        <f t="shared" si="107"/>
        <v/>
      </c>
    </row>
    <row r="1138" spans="1:28" s="140" customFormat="1" ht="20.25">
      <c r="A1138" s="167"/>
      <c r="B1138" s="168" t="str">
        <f>IF(LEN(A1138)=0,"",INDEX('Smelter Look-up'!$A:$A,MATCH($A1138,'Smelter Look-up'!$E:$E,0)))</f>
        <v/>
      </c>
      <c r="C1138" s="169" t="str">
        <f>IF(LEN(A1138)=0,"",INDEX('Smelter Look-up'!$C:$C,MATCH($A1138,'Smelter Look-up'!$E:$E,0)))</f>
        <v/>
      </c>
      <c r="D1138" s="170"/>
      <c r="E1138" s="168" t="str">
        <f ca="1">IF(ISERROR($V1138),"",OFFSET('Smelter Look-up'!$D$4,$V1138-4,0)&amp;"")</f>
        <v/>
      </c>
      <c r="F1138" s="168" t="str">
        <f ca="1">IF(ISERROR($V1138),"",OFFSET('Smelter Look-up'!$E$4,$V1138-4,0))</f>
        <v/>
      </c>
      <c r="G1138" s="168" t="str">
        <f ca="1">IF(C1138=$X$4,IF(ISERROR($V1138),"Enter smelter details","RMI"),IF(ISERROR($V1138),"",OFFSET('Smelter Look-up'!$F$4,$V1138-4,0)))</f>
        <v/>
      </c>
      <c r="H1138" s="171" t="str">
        <f ca="1">IF(ISERROR($V1138),"",OFFSET('Smelter Look-up'!$G$4,$V1138-4,0))</f>
        <v/>
      </c>
      <c r="I1138" s="172" t="str">
        <f ca="1">IF(ISERROR($V1138),"",OFFSET('Smelter Look-up'!$H$4,$V1138-4,0))</f>
        <v/>
      </c>
      <c r="J1138" s="172" t="str">
        <f ca="1">IF(ISERROR($V1138),"",OFFSET('Smelter Look-up'!$I$4,$V1138-4,0))</f>
        <v/>
      </c>
      <c r="K1138" s="173"/>
      <c r="L1138" s="173"/>
      <c r="M1138" s="173"/>
      <c r="N1138" s="173"/>
      <c r="O1138" s="173"/>
      <c r="P1138" s="174"/>
      <c r="Q1138" s="175"/>
      <c r="R1138" s="168" t="str">
        <f ca="1">IF(ISERROR($V1138),"",OFFSET('Smelter Look-up'!$C$4,$V1138-4,0)&amp;"")</f>
        <v/>
      </c>
      <c r="S1138" s="167" t="str">
        <f t="shared" ca="1" si="105"/>
        <v/>
      </c>
      <c r="T1138" s="167" t="str">
        <f ca="1">IF(B1138="","",IF(ISERROR(MATCH($J1138,SorP!$B$1:$B$6230,0)),"",INDIRECT("'SorP'!$A$"&amp;MATCH($J1138,SorP!$B$1:$B$6230,0))))</f>
        <v/>
      </c>
      <c r="U1138" s="176"/>
      <c r="V1138" s="177" t="e">
        <f>IF(C1138="",NA(),IF(OR(C1138="Smelter not listed",C1138="Smelter not yet identified"),MATCH($B1138&amp;$D1138,'Smelter Look-up'!$J:$J,0),MATCH($B1138&amp;$C1138,'Smelter Look-up'!$J:$J,0)))</f>
        <v>#N/A</v>
      </c>
      <c r="X1138" s="140">
        <f t="shared" ca="1" si="106"/>
        <v>0</v>
      </c>
      <c r="AB1138" s="178" t="str">
        <f t="shared" si="107"/>
        <v/>
      </c>
    </row>
    <row r="1139" spans="1:28" s="140" customFormat="1" ht="20.25">
      <c r="A1139" s="167"/>
      <c r="B1139" s="168" t="str">
        <f>IF(LEN(A1139)=0,"",INDEX('Smelter Look-up'!$A:$A,MATCH($A1139,'Smelter Look-up'!$E:$E,0)))</f>
        <v/>
      </c>
      <c r="C1139" s="169" t="str">
        <f>IF(LEN(A1139)=0,"",INDEX('Smelter Look-up'!$C:$C,MATCH($A1139,'Smelter Look-up'!$E:$E,0)))</f>
        <v/>
      </c>
      <c r="D1139" s="170"/>
      <c r="E1139" s="168" t="str">
        <f ca="1">IF(ISERROR($V1139),"",OFFSET('Smelter Look-up'!$D$4,$V1139-4,0)&amp;"")</f>
        <v/>
      </c>
      <c r="F1139" s="168" t="str">
        <f ca="1">IF(ISERROR($V1139),"",OFFSET('Smelter Look-up'!$E$4,$V1139-4,0))</f>
        <v/>
      </c>
      <c r="G1139" s="168" t="str">
        <f ca="1">IF(C1139=$X$4,IF(ISERROR($V1139),"Enter smelter details","RMI"),IF(ISERROR($V1139),"",OFFSET('Smelter Look-up'!$F$4,$V1139-4,0)))</f>
        <v/>
      </c>
      <c r="H1139" s="171" t="str">
        <f ca="1">IF(ISERROR($V1139),"",OFFSET('Smelter Look-up'!$G$4,$V1139-4,0))</f>
        <v/>
      </c>
      <c r="I1139" s="172" t="str">
        <f ca="1">IF(ISERROR($V1139),"",OFFSET('Smelter Look-up'!$H$4,$V1139-4,0))</f>
        <v/>
      </c>
      <c r="J1139" s="172" t="str">
        <f ca="1">IF(ISERROR($V1139),"",OFFSET('Smelter Look-up'!$I$4,$V1139-4,0))</f>
        <v/>
      </c>
      <c r="K1139" s="173"/>
      <c r="L1139" s="173"/>
      <c r="M1139" s="173"/>
      <c r="N1139" s="173"/>
      <c r="O1139" s="173"/>
      <c r="P1139" s="174"/>
      <c r="Q1139" s="175"/>
      <c r="R1139" s="168" t="str">
        <f ca="1">IF(ISERROR($V1139),"",OFFSET('Smelter Look-up'!$C$4,$V1139-4,0)&amp;"")</f>
        <v/>
      </c>
      <c r="S1139" s="167" t="str">
        <f t="shared" ca="1" si="105"/>
        <v/>
      </c>
      <c r="T1139" s="167" t="str">
        <f ca="1">IF(B1139="","",IF(ISERROR(MATCH($J1139,SorP!$B$1:$B$6230,0)),"",INDIRECT("'SorP'!$A$"&amp;MATCH($J1139,SorP!$B$1:$B$6230,0))))</f>
        <v/>
      </c>
      <c r="U1139" s="176"/>
      <c r="V1139" s="177" t="e">
        <f>IF(C1139="",NA(),IF(OR(C1139="Smelter not listed",C1139="Smelter not yet identified"),MATCH($B1139&amp;$D1139,'Smelter Look-up'!$J:$J,0),MATCH($B1139&amp;$C1139,'Smelter Look-up'!$J:$J,0)))</f>
        <v>#N/A</v>
      </c>
      <c r="X1139" s="140">
        <f t="shared" ca="1" si="106"/>
        <v>0</v>
      </c>
      <c r="AB1139" s="178" t="str">
        <f t="shared" si="107"/>
        <v/>
      </c>
    </row>
    <row r="1140" spans="1:28" s="140" customFormat="1" ht="20.25">
      <c r="A1140" s="167"/>
      <c r="B1140" s="168" t="str">
        <f>IF(LEN(A1140)=0,"",INDEX('Smelter Look-up'!$A:$A,MATCH($A1140,'Smelter Look-up'!$E:$E,0)))</f>
        <v/>
      </c>
      <c r="C1140" s="169" t="str">
        <f>IF(LEN(A1140)=0,"",INDEX('Smelter Look-up'!$C:$C,MATCH($A1140,'Smelter Look-up'!$E:$E,0)))</f>
        <v/>
      </c>
      <c r="D1140" s="170"/>
      <c r="E1140" s="168" t="str">
        <f ca="1">IF(ISERROR($V1140),"",OFFSET('Smelter Look-up'!$D$4,$V1140-4,0)&amp;"")</f>
        <v/>
      </c>
      <c r="F1140" s="168" t="str">
        <f ca="1">IF(ISERROR($V1140),"",OFFSET('Smelter Look-up'!$E$4,$V1140-4,0))</f>
        <v/>
      </c>
      <c r="G1140" s="168" t="str">
        <f ca="1">IF(C1140=$X$4,IF(ISERROR($V1140),"Enter smelter details","RMI"),IF(ISERROR($V1140),"",OFFSET('Smelter Look-up'!$F$4,$V1140-4,0)))</f>
        <v/>
      </c>
      <c r="H1140" s="171" t="str">
        <f ca="1">IF(ISERROR($V1140),"",OFFSET('Smelter Look-up'!$G$4,$V1140-4,0))</f>
        <v/>
      </c>
      <c r="I1140" s="172" t="str">
        <f ca="1">IF(ISERROR($V1140),"",OFFSET('Smelter Look-up'!$H$4,$V1140-4,0))</f>
        <v/>
      </c>
      <c r="J1140" s="172" t="str">
        <f ca="1">IF(ISERROR($V1140),"",OFFSET('Smelter Look-up'!$I$4,$V1140-4,0))</f>
        <v/>
      </c>
      <c r="K1140" s="173"/>
      <c r="L1140" s="173"/>
      <c r="M1140" s="173"/>
      <c r="N1140" s="173"/>
      <c r="O1140" s="173"/>
      <c r="P1140" s="174"/>
      <c r="Q1140" s="175"/>
      <c r="R1140" s="168" t="str">
        <f ca="1">IF(ISERROR($V1140),"",OFFSET('Smelter Look-up'!$C$4,$V1140-4,0)&amp;"")</f>
        <v/>
      </c>
      <c r="S1140" s="167" t="str">
        <f t="shared" ca="1" si="105"/>
        <v/>
      </c>
      <c r="T1140" s="167" t="str">
        <f ca="1">IF(B1140="","",IF(ISERROR(MATCH($J1140,SorP!$B$1:$B$6230,0)),"",INDIRECT("'SorP'!$A$"&amp;MATCH($J1140,SorP!$B$1:$B$6230,0))))</f>
        <v/>
      </c>
      <c r="U1140" s="176"/>
      <c r="V1140" s="177" t="e">
        <f>IF(C1140="",NA(),IF(OR(C1140="Smelter not listed",C1140="Smelter not yet identified"),MATCH($B1140&amp;$D1140,'Smelter Look-up'!$J:$J,0),MATCH($B1140&amp;$C1140,'Smelter Look-up'!$J:$J,0)))</f>
        <v>#N/A</v>
      </c>
      <c r="X1140" s="140">
        <f t="shared" ca="1" si="106"/>
        <v>0</v>
      </c>
      <c r="AB1140" s="178" t="str">
        <f t="shared" si="107"/>
        <v/>
      </c>
    </row>
    <row r="1141" spans="1:28" s="140" customFormat="1" ht="20.25">
      <c r="A1141" s="167"/>
      <c r="B1141" s="168" t="str">
        <f>IF(LEN(A1141)=0,"",INDEX('Smelter Look-up'!$A:$A,MATCH($A1141,'Smelter Look-up'!$E:$E,0)))</f>
        <v/>
      </c>
      <c r="C1141" s="169" t="str">
        <f>IF(LEN(A1141)=0,"",INDEX('Smelter Look-up'!$C:$C,MATCH($A1141,'Smelter Look-up'!$E:$E,0)))</f>
        <v/>
      </c>
      <c r="D1141" s="170"/>
      <c r="E1141" s="168" t="str">
        <f ca="1">IF(ISERROR($V1141),"",OFFSET('Smelter Look-up'!$D$4,$V1141-4,0)&amp;"")</f>
        <v/>
      </c>
      <c r="F1141" s="168" t="str">
        <f ca="1">IF(ISERROR($V1141),"",OFFSET('Smelter Look-up'!$E$4,$V1141-4,0))</f>
        <v/>
      </c>
      <c r="G1141" s="168" t="str">
        <f ca="1">IF(C1141=$X$4,IF(ISERROR($V1141),"Enter smelter details","RMI"),IF(ISERROR($V1141),"",OFFSET('Smelter Look-up'!$F$4,$V1141-4,0)))</f>
        <v/>
      </c>
      <c r="H1141" s="171" t="str">
        <f ca="1">IF(ISERROR($V1141),"",OFFSET('Smelter Look-up'!$G$4,$V1141-4,0))</f>
        <v/>
      </c>
      <c r="I1141" s="172" t="str">
        <f ca="1">IF(ISERROR($V1141),"",OFFSET('Smelter Look-up'!$H$4,$V1141-4,0))</f>
        <v/>
      </c>
      <c r="J1141" s="172" t="str">
        <f ca="1">IF(ISERROR($V1141),"",OFFSET('Smelter Look-up'!$I$4,$V1141-4,0))</f>
        <v/>
      </c>
      <c r="K1141" s="173"/>
      <c r="L1141" s="173"/>
      <c r="M1141" s="173"/>
      <c r="N1141" s="173"/>
      <c r="O1141" s="173"/>
      <c r="P1141" s="174"/>
      <c r="Q1141" s="175"/>
      <c r="R1141" s="168" t="str">
        <f ca="1">IF(ISERROR($V1141),"",OFFSET('Smelter Look-up'!$C$4,$V1141-4,0)&amp;"")</f>
        <v/>
      </c>
      <c r="S1141" s="167" t="str">
        <f t="shared" ca="1" si="105"/>
        <v/>
      </c>
      <c r="T1141" s="167" t="str">
        <f ca="1">IF(B1141="","",IF(ISERROR(MATCH($J1141,SorP!$B$1:$B$6230,0)),"",INDIRECT("'SorP'!$A$"&amp;MATCH($J1141,SorP!$B$1:$B$6230,0))))</f>
        <v/>
      </c>
      <c r="U1141" s="176"/>
      <c r="V1141" s="177" t="e">
        <f>IF(C1141="",NA(),IF(OR(C1141="Smelter not listed",C1141="Smelter not yet identified"),MATCH($B1141&amp;$D1141,'Smelter Look-up'!$J:$J,0),MATCH($B1141&amp;$C1141,'Smelter Look-up'!$J:$J,0)))</f>
        <v>#N/A</v>
      </c>
      <c r="X1141" s="140">
        <f t="shared" ca="1" si="106"/>
        <v>0</v>
      </c>
      <c r="AB1141" s="178" t="str">
        <f t="shared" si="107"/>
        <v/>
      </c>
    </row>
    <row r="1142" spans="1:28" s="140" customFormat="1" ht="20.25">
      <c r="A1142" s="167"/>
      <c r="B1142" s="168" t="str">
        <f>IF(LEN(A1142)=0,"",INDEX('Smelter Look-up'!$A:$A,MATCH($A1142,'Smelter Look-up'!$E:$E,0)))</f>
        <v/>
      </c>
      <c r="C1142" s="169" t="str">
        <f>IF(LEN(A1142)=0,"",INDEX('Smelter Look-up'!$C:$C,MATCH($A1142,'Smelter Look-up'!$E:$E,0)))</f>
        <v/>
      </c>
      <c r="D1142" s="170"/>
      <c r="E1142" s="168" t="str">
        <f ca="1">IF(ISERROR($V1142),"",OFFSET('Smelter Look-up'!$D$4,$V1142-4,0)&amp;"")</f>
        <v/>
      </c>
      <c r="F1142" s="168" t="str">
        <f ca="1">IF(ISERROR($V1142),"",OFFSET('Smelter Look-up'!$E$4,$V1142-4,0))</f>
        <v/>
      </c>
      <c r="G1142" s="168" t="str">
        <f ca="1">IF(C1142=$X$4,IF(ISERROR($V1142),"Enter smelter details","RMI"),IF(ISERROR($V1142),"",OFFSET('Smelter Look-up'!$F$4,$V1142-4,0)))</f>
        <v/>
      </c>
      <c r="H1142" s="171" t="str">
        <f ca="1">IF(ISERROR($V1142),"",OFFSET('Smelter Look-up'!$G$4,$V1142-4,0))</f>
        <v/>
      </c>
      <c r="I1142" s="172" t="str">
        <f ca="1">IF(ISERROR($V1142),"",OFFSET('Smelter Look-up'!$H$4,$V1142-4,0))</f>
        <v/>
      </c>
      <c r="J1142" s="172" t="str">
        <f ca="1">IF(ISERROR($V1142),"",OFFSET('Smelter Look-up'!$I$4,$V1142-4,0))</f>
        <v/>
      </c>
      <c r="K1142" s="173"/>
      <c r="L1142" s="173"/>
      <c r="M1142" s="173"/>
      <c r="N1142" s="173"/>
      <c r="O1142" s="173"/>
      <c r="P1142" s="174"/>
      <c r="Q1142" s="175"/>
      <c r="R1142" s="168" t="str">
        <f ca="1">IF(ISERROR($V1142),"",OFFSET('Smelter Look-up'!$C$4,$V1142-4,0)&amp;"")</f>
        <v/>
      </c>
      <c r="S1142" s="167" t="str">
        <f t="shared" ca="1" si="105"/>
        <v/>
      </c>
      <c r="T1142" s="167" t="str">
        <f ca="1">IF(B1142="","",IF(ISERROR(MATCH($J1142,SorP!$B$1:$B$6230,0)),"",INDIRECT("'SorP'!$A$"&amp;MATCH($J1142,SorP!$B$1:$B$6230,0))))</f>
        <v/>
      </c>
      <c r="U1142" s="176"/>
      <c r="V1142" s="177" t="e">
        <f>IF(C1142="",NA(),IF(OR(C1142="Smelter not listed",C1142="Smelter not yet identified"),MATCH($B1142&amp;$D1142,'Smelter Look-up'!$J:$J,0),MATCH($B1142&amp;$C1142,'Smelter Look-up'!$J:$J,0)))</f>
        <v>#N/A</v>
      </c>
      <c r="X1142" s="140">
        <f t="shared" ca="1" si="106"/>
        <v>0</v>
      </c>
      <c r="AB1142" s="178" t="str">
        <f t="shared" si="107"/>
        <v/>
      </c>
    </row>
    <row r="1143" spans="1:28" s="140" customFormat="1" ht="20.25">
      <c r="A1143" s="167"/>
      <c r="B1143" s="168" t="str">
        <f>IF(LEN(A1143)=0,"",INDEX('Smelter Look-up'!$A:$A,MATCH($A1143,'Smelter Look-up'!$E:$E,0)))</f>
        <v/>
      </c>
      <c r="C1143" s="169" t="str">
        <f>IF(LEN(A1143)=0,"",INDEX('Smelter Look-up'!$C:$C,MATCH($A1143,'Smelter Look-up'!$E:$E,0)))</f>
        <v/>
      </c>
      <c r="D1143" s="170"/>
      <c r="E1143" s="168" t="str">
        <f ca="1">IF(ISERROR($V1143),"",OFFSET('Smelter Look-up'!$D$4,$V1143-4,0)&amp;"")</f>
        <v/>
      </c>
      <c r="F1143" s="168" t="str">
        <f ca="1">IF(ISERROR($V1143),"",OFFSET('Smelter Look-up'!$E$4,$V1143-4,0))</f>
        <v/>
      </c>
      <c r="G1143" s="168" t="str">
        <f ca="1">IF(C1143=$X$4,IF(ISERROR($V1143),"Enter smelter details","RMI"),IF(ISERROR($V1143),"",OFFSET('Smelter Look-up'!$F$4,$V1143-4,0)))</f>
        <v/>
      </c>
      <c r="H1143" s="171" t="str">
        <f ca="1">IF(ISERROR($V1143),"",OFFSET('Smelter Look-up'!$G$4,$V1143-4,0))</f>
        <v/>
      </c>
      <c r="I1143" s="172" t="str">
        <f ca="1">IF(ISERROR($V1143),"",OFFSET('Smelter Look-up'!$H$4,$V1143-4,0))</f>
        <v/>
      </c>
      <c r="J1143" s="172" t="str">
        <f ca="1">IF(ISERROR($V1143),"",OFFSET('Smelter Look-up'!$I$4,$V1143-4,0))</f>
        <v/>
      </c>
      <c r="K1143" s="173"/>
      <c r="L1143" s="173"/>
      <c r="M1143" s="173"/>
      <c r="N1143" s="173"/>
      <c r="O1143" s="173"/>
      <c r="P1143" s="174"/>
      <c r="Q1143" s="175"/>
      <c r="R1143" s="168" t="str">
        <f ca="1">IF(ISERROR($V1143),"",OFFSET('Smelter Look-up'!$C$4,$V1143-4,0)&amp;"")</f>
        <v/>
      </c>
      <c r="S1143" s="167" t="str">
        <f t="shared" ca="1" si="105"/>
        <v/>
      </c>
      <c r="T1143" s="167" t="str">
        <f ca="1">IF(B1143="","",IF(ISERROR(MATCH($J1143,SorP!$B$1:$B$6230,0)),"",INDIRECT("'SorP'!$A$"&amp;MATCH($J1143,SorP!$B$1:$B$6230,0))))</f>
        <v/>
      </c>
      <c r="U1143" s="176"/>
      <c r="V1143" s="177" t="e">
        <f>IF(C1143="",NA(),IF(OR(C1143="Smelter not listed",C1143="Smelter not yet identified"),MATCH($B1143&amp;$D1143,'Smelter Look-up'!$J:$J,0),MATCH($B1143&amp;$C1143,'Smelter Look-up'!$J:$J,0)))</f>
        <v>#N/A</v>
      </c>
      <c r="X1143" s="140">
        <f t="shared" ca="1" si="106"/>
        <v>0</v>
      </c>
      <c r="AB1143" s="178" t="str">
        <f t="shared" si="107"/>
        <v/>
      </c>
    </row>
    <row r="1144" spans="1:28" s="140" customFormat="1" ht="20.25">
      <c r="A1144" s="167"/>
      <c r="B1144" s="168" t="str">
        <f>IF(LEN(A1144)=0,"",INDEX('Smelter Look-up'!$A:$A,MATCH($A1144,'Smelter Look-up'!$E:$E,0)))</f>
        <v/>
      </c>
      <c r="C1144" s="169" t="str">
        <f>IF(LEN(A1144)=0,"",INDEX('Smelter Look-up'!$C:$C,MATCH($A1144,'Smelter Look-up'!$E:$E,0)))</f>
        <v/>
      </c>
      <c r="D1144" s="170"/>
      <c r="E1144" s="168" t="str">
        <f ca="1">IF(ISERROR($V1144),"",OFFSET('Smelter Look-up'!$D$4,$V1144-4,0)&amp;"")</f>
        <v/>
      </c>
      <c r="F1144" s="168" t="str">
        <f ca="1">IF(ISERROR($V1144),"",OFFSET('Smelter Look-up'!$E$4,$V1144-4,0))</f>
        <v/>
      </c>
      <c r="G1144" s="168" t="str">
        <f ca="1">IF(C1144=$X$4,IF(ISERROR($V1144),"Enter smelter details","RMI"),IF(ISERROR($V1144),"",OFFSET('Smelter Look-up'!$F$4,$V1144-4,0)))</f>
        <v/>
      </c>
      <c r="H1144" s="171" t="str">
        <f ca="1">IF(ISERROR($V1144),"",OFFSET('Smelter Look-up'!$G$4,$V1144-4,0))</f>
        <v/>
      </c>
      <c r="I1144" s="172" t="str">
        <f ca="1">IF(ISERROR($V1144),"",OFFSET('Smelter Look-up'!$H$4,$V1144-4,0))</f>
        <v/>
      </c>
      <c r="J1144" s="172" t="str">
        <f ca="1">IF(ISERROR($V1144),"",OFFSET('Smelter Look-up'!$I$4,$V1144-4,0))</f>
        <v/>
      </c>
      <c r="K1144" s="173"/>
      <c r="L1144" s="173"/>
      <c r="M1144" s="173"/>
      <c r="N1144" s="173"/>
      <c r="O1144" s="173"/>
      <c r="P1144" s="174"/>
      <c r="Q1144" s="175"/>
      <c r="R1144" s="168" t="str">
        <f ca="1">IF(ISERROR($V1144),"",OFFSET('Smelter Look-up'!$C$4,$V1144-4,0)&amp;"")</f>
        <v/>
      </c>
      <c r="S1144" s="167" t="str">
        <f t="shared" ca="1" si="105"/>
        <v/>
      </c>
      <c r="T1144" s="167" t="str">
        <f ca="1">IF(B1144="","",IF(ISERROR(MATCH($J1144,SorP!$B$1:$B$6230,0)),"",INDIRECT("'SorP'!$A$"&amp;MATCH($J1144,SorP!$B$1:$B$6230,0))))</f>
        <v/>
      </c>
      <c r="U1144" s="176"/>
      <c r="V1144" s="177" t="e">
        <f>IF(C1144="",NA(),IF(OR(C1144="Smelter not listed",C1144="Smelter not yet identified"),MATCH($B1144&amp;$D1144,'Smelter Look-up'!$J:$J,0),MATCH($B1144&amp;$C1144,'Smelter Look-up'!$J:$J,0)))</f>
        <v>#N/A</v>
      </c>
      <c r="X1144" s="140">
        <f t="shared" ca="1" si="106"/>
        <v>0</v>
      </c>
      <c r="AB1144" s="178" t="str">
        <f t="shared" si="107"/>
        <v/>
      </c>
    </row>
    <row r="1145" spans="1:28" s="140" customFormat="1" ht="20.25">
      <c r="A1145" s="167"/>
      <c r="B1145" s="168" t="str">
        <f>IF(LEN(A1145)=0,"",INDEX('Smelter Look-up'!$A:$A,MATCH($A1145,'Smelter Look-up'!$E:$E,0)))</f>
        <v/>
      </c>
      <c r="C1145" s="169" t="str">
        <f>IF(LEN(A1145)=0,"",INDEX('Smelter Look-up'!$C:$C,MATCH($A1145,'Smelter Look-up'!$E:$E,0)))</f>
        <v/>
      </c>
      <c r="D1145" s="170"/>
      <c r="E1145" s="168" t="str">
        <f ca="1">IF(ISERROR($V1145),"",OFFSET('Smelter Look-up'!$D$4,$V1145-4,0)&amp;"")</f>
        <v/>
      </c>
      <c r="F1145" s="168" t="str">
        <f ca="1">IF(ISERROR($V1145),"",OFFSET('Smelter Look-up'!$E$4,$V1145-4,0))</f>
        <v/>
      </c>
      <c r="G1145" s="168" t="str">
        <f ca="1">IF(C1145=$X$4,IF(ISERROR($V1145),"Enter smelter details","RMI"),IF(ISERROR($V1145),"",OFFSET('Smelter Look-up'!$F$4,$V1145-4,0)))</f>
        <v/>
      </c>
      <c r="H1145" s="171" t="str">
        <f ca="1">IF(ISERROR($V1145),"",OFFSET('Smelter Look-up'!$G$4,$V1145-4,0))</f>
        <v/>
      </c>
      <c r="I1145" s="172" t="str">
        <f ca="1">IF(ISERROR($V1145),"",OFFSET('Smelter Look-up'!$H$4,$V1145-4,0))</f>
        <v/>
      </c>
      <c r="J1145" s="172" t="str">
        <f ca="1">IF(ISERROR($V1145),"",OFFSET('Smelter Look-up'!$I$4,$V1145-4,0))</f>
        <v/>
      </c>
      <c r="K1145" s="173"/>
      <c r="L1145" s="173"/>
      <c r="M1145" s="173"/>
      <c r="N1145" s="173"/>
      <c r="O1145" s="173"/>
      <c r="P1145" s="174"/>
      <c r="Q1145" s="175"/>
      <c r="R1145" s="168" t="str">
        <f ca="1">IF(ISERROR($V1145),"",OFFSET('Smelter Look-up'!$C$4,$V1145-4,0)&amp;"")</f>
        <v/>
      </c>
      <c r="S1145" s="167" t="str">
        <f t="shared" ca="1" si="105"/>
        <v/>
      </c>
      <c r="T1145" s="167" t="str">
        <f ca="1">IF(B1145="","",IF(ISERROR(MATCH($J1145,SorP!$B$1:$B$6230,0)),"",INDIRECT("'SorP'!$A$"&amp;MATCH($J1145,SorP!$B$1:$B$6230,0))))</f>
        <v/>
      </c>
      <c r="U1145" s="176"/>
      <c r="V1145" s="177" t="e">
        <f>IF(C1145="",NA(),IF(OR(C1145="Smelter not listed",C1145="Smelter not yet identified"),MATCH($B1145&amp;$D1145,'Smelter Look-up'!$J:$J,0),MATCH($B1145&amp;$C1145,'Smelter Look-up'!$J:$J,0)))</f>
        <v>#N/A</v>
      </c>
      <c r="X1145" s="140">
        <f t="shared" ca="1" si="106"/>
        <v>0</v>
      </c>
      <c r="AB1145" s="178" t="str">
        <f t="shared" si="107"/>
        <v/>
      </c>
    </row>
    <row r="1146" spans="1:28" s="140" customFormat="1" ht="20.25">
      <c r="A1146" s="167"/>
      <c r="B1146" s="168" t="str">
        <f>IF(LEN(A1146)=0,"",INDEX('Smelter Look-up'!$A:$A,MATCH($A1146,'Smelter Look-up'!$E:$E,0)))</f>
        <v/>
      </c>
      <c r="C1146" s="169" t="str">
        <f>IF(LEN(A1146)=0,"",INDEX('Smelter Look-up'!$C:$C,MATCH($A1146,'Smelter Look-up'!$E:$E,0)))</f>
        <v/>
      </c>
      <c r="D1146" s="170"/>
      <c r="E1146" s="168" t="str">
        <f ca="1">IF(ISERROR($V1146),"",OFFSET('Smelter Look-up'!$D$4,$V1146-4,0)&amp;"")</f>
        <v/>
      </c>
      <c r="F1146" s="168" t="str">
        <f ca="1">IF(ISERROR($V1146),"",OFFSET('Smelter Look-up'!$E$4,$V1146-4,0))</f>
        <v/>
      </c>
      <c r="G1146" s="168" t="str">
        <f ca="1">IF(C1146=$X$4,IF(ISERROR($V1146),"Enter smelter details","RMI"),IF(ISERROR($V1146),"",OFFSET('Smelter Look-up'!$F$4,$V1146-4,0)))</f>
        <v/>
      </c>
      <c r="H1146" s="171" t="str">
        <f ca="1">IF(ISERROR($V1146),"",OFFSET('Smelter Look-up'!$G$4,$V1146-4,0))</f>
        <v/>
      </c>
      <c r="I1146" s="172" t="str">
        <f ca="1">IF(ISERROR($V1146),"",OFFSET('Smelter Look-up'!$H$4,$V1146-4,0))</f>
        <v/>
      </c>
      <c r="J1146" s="172" t="str">
        <f ca="1">IF(ISERROR($V1146),"",OFFSET('Smelter Look-up'!$I$4,$V1146-4,0))</f>
        <v/>
      </c>
      <c r="K1146" s="173"/>
      <c r="L1146" s="173"/>
      <c r="M1146" s="173"/>
      <c r="N1146" s="173"/>
      <c r="O1146" s="173"/>
      <c r="P1146" s="174"/>
      <c r="Q1146" s="175"/>
      <c r="R1146" s="168" t="str">
        <f ca="1">IF(ISERROR($V1146),"",OFFSET('Smelter Look-up'!$C$4,$V1146-4,0)&amp;"")</f>
        <v/>
      </c>
      <c r="S1146" s="167" t="str">
        <f t="shared" ca="1" si="105"/>
        <v/>
      </c>
      <c r="T1146" s="167" t="str">
        <f ca="1">IF(B1146="","",IF(ISERROR(MATCH($J1146,SorP!$B$1:$B$6230,0)),"",INDIRECT("'SorP'!$A$"&amp;MATCH($J1146,SorP!$B$1:$B$6230,0))))</f>
        <v/>
      </c>
      <c r="U1146" s="176"/>
      <c r="V1146" s="177" t="e">
        <f>IF(C1146="",NA(),IF(OR(C1146="Smelter not listed",C1146="Smelter not yet identified"),MATCH($B1146&amp;$D1146,'Smelter Look-up'!$J:$J,0),MATCH($B1146&amp;$C1146,'Smelter Look-up'!$J:$J,0)))</f>
        <v>#N/A</v>
      </c>
      <c r="X1146" s="140">
        <f t="shared" ca="1" si="106"/>
        <v>0</v>
      </c>
      <c r="AB1146" s="178" t="str">
        <f t="shared" si="107"/>
        <v/>
      </c>
    </row>
    <row r="1147" spans="1:28" s="140" customFormat="1" ht="20.25">
      <c r="A1147" s="167"/>
      <c r="B1147" s="168" t="str">
        <f>IF(LEN(A1147)=0,"",INDEX('Smelter Look-up'!$A:$A,MATCH($A1147,'Smelter Look-up'!$E:$E,0)))</f>
        <v/>
      </c>
      <c r="C1147" s="169" t="str">
        <f>IF(LEN(A1147)=0,"",INDEX('Smelter Look-up'!$C:$C,MATCH($A1147,'Smelter Look-up'!$E:$E,0)))</f>
        <v/>
      </c>
      <c r="D1147" s="170"/>
      <c r="E1147" s="168" t="str">
        <f ca="1">IF(ISERROR($V1147),"",OFFSET('Smelter Look-up'!$D$4,$V1147-4,0)&amp;"")</f>
        <v/>
      </c>
      <c r="F1147" s="168" t="str">
        <f ca="1">IF(ISERROR($V1147),"",OFFSET('Smelter Look-up'!$E$4,$V1147-4,0))</f>
        <v/>
      </c>
      <c r="G1147" s="168" t="str">
        <f ca="1">IF(C1147=$X$4,IF(ISERROR($V1147),"Enter smelter details","RMI"),IF(ISERROR($V1147),"",OFFSET('Smelter Look-up'!$F$4,$V1147-4,0)))</f>
        <v/>
      </c>
      <c r="H1147" s="171" t="str">
        <f ca="1">IF(ISERROR($V1147),"",OFFSET('Smelter Look-up'!$G$4,$V1147-4,0))</f>
        <v/>
      </c>
      <c r="I1147" s="172" t="str">
        <f ca="1">IF(ISERROR($V1147),"",OFFSET('Smelter Look-up'!$H$4,$V1147-4,0))</f>
        <v/>
      </c>
      <c r="J1147" s="172" t="str">
        <f ca="1">IF(ISERROR($V1147),"",OFFSET('Smelter Look-up'!$I$4,$V1147-4,0))</f>
        <v/>
      </c>
      <c r="K1147" s="173"/>
      <c r="L1147" s="173"/>
      <c r="M1147" s="173"/>
      <c r="N1147" s="173"/>
      <c r="O1147" s="173"/>
      <c r="P1147" s="174"/>
      <c r="Q1147" s="175"/>
      <c r="R1147" s="168" t="str">
        <f ca="1">IF(ISERROR($V1147),"",OFFSET('Smelter Look-up'!$C$4,$V1147-4,0)&amp;"")</f>
        <v/>
      </c>
      <c r="S1147" s="167" t="str">
        <f t="shared" ca="1" si="105"/>
        <v/>
      </c>
      <c r="T1147" s="167" t="str">
        <f ca="1">IF(B1147="","",IF(ISERROR(MATCH($J1147,SorP!$B$1:$B$6230,0)),"",INDIRECT("'SorP'!$A$"&amp;MATCH($J1147,SorP!$B$1:$B$6230,0))))</f>
        <v/>
      </c>
      <c r="U1147" s="176"/>
      <c r="V1147" s="177" t="e">
        <f>IF(C1147="",NA(),IF(OR(C1147="Smelter not listed",C1147="Smelter not yet identified"),MATCH($B1147&amp;$D1147,'Smelter Look-up'!$J:$J,0),MATCH($B1147&amp;$C1147,'Smelter Look-up'!$J:$J,0)))</f>
        <v>#N/A</v>
      </c>
      <c r="X1147" s="140">
        <f t="shared" ca="1" si="106"/>
        <v>0</v>
      </c>
      <c r="AB1147" s="178" t="str">
        <f t="shared" si="107"/>
        <v/>
      </c>
    </row>
    <row r="1148" spans="1:28" s="140" customFormat="1" ht="20.25">
      <c r="A1148" s="167"/>
      <c r="B1148" s="168" t="str">
        <f>IF(LEN(A1148)=0,"",INDEX('Smelter Look-up'!$A:$A,MATCH($A1148,'Smelter Look-up'!$E:$E,0)))</f>
        <v/>
      </c>
      <c r="C1148" s="169" t="str">
        <f>IF(LEN(A1148)=0,"",INDEX('Smelter Look-up'!$C:$C,MATCH($A1148,'Smelter Look-up'!$E:$E,0)))</f>
        <v/>
      </c>
      <c r="D1148" s="170"/>
      <c r="E1148" s="168" t="str">
        <f ca="1">IF(ISERROR($V1148),"",OFFSET('Smelter Look-up'!$D$4,$V1148-4,0)&amp;"")</f>
        <v/>
      </c>
      <c r="F1148" s="168" t="str">
        <f ca="1">IF(ISERROR($V1148),"",OFFSET('Smelter Look-up'!$E$4,$V1148-4,0))</f>
        <v/>
      </c>
      <c r="G1148" s="168" t="str">
        <f ca="1">IF(C1148=$X$4,IF(ISERROR($V1148),"Enter smelter details","RMI"),IF(ISERROR($V1148),"",OFFSET('Smelter Look-up'!$F$4,$V1148-4,0)))</f>
        <v/>
      </c>
      <c r="H1148" s="171" t="str">
        <f ca="1">IF(ISERROR($V1148),"",OFFSET('Smelter Look-up'!$G$4,$V1148-4,0))</f>
        <v/>
      </c>
      <c r="I1148" s="172" t="str">
        <f ca="1">IF(ISERROR($V1148),"",OFFSET('Smelter Look-up'!$H$4,$V1148-4,0))</f>
        <v/>
      </c>
      <c r="J1148" s="172" t="str">
        <f ca="1">IF(ISERROR($V1148),"",OFFSET('Smelter Look-up'!$I$4,$V1148-4,0))</f>
        <v/>
      </c>
      <c r="K1148" s="173"/>
      <c r="L1148" s="173"/>
      <c r="M1148" s="173"/>
      <c r="N1148" s="173"/>
      <c r="O1148" s="173"/>
      <c r="P1148" s="174"/>
      <c r="Q1148" s="175"/>
      <c r="R1148" s="168" t="str">
        <f ca="1">IF(ISERROR($V1148),"",OFFSET('Smelter Look-up'!$C$4,$V1148-4,0)&amp;"")</f>
        <v/>
      </c>
      <c r="S1148" s="167" t="str">
        <f t="shared" ca="1" si="105"/>
        <v/>
      </c>
      <c r="T1148" s="167" t="str">
        <f ca="1">IF(B1148="","",IF(ISERROR(MATCH($J1148,SorP!$B$1:$B$6230,0)),"",INDIRECT("'SorP'!$A$"&amp;MATCH($J1148,SorP!$B$1:$B$6230,0))))</f>
        <v/>
      </c>
      <c r="U1148" s="176"/>
      <c r="V1148" s="177" t="e">
        <f>IF(C1148="",NA(),IF(OR(C1148="Smelter not listed",C1148="Smelter not yet identified"),MATCH($B1148&amp;$D1148,'Smelter Look-up'!$J:$J,0),MATCH($B1148&amp;$C1148,'Smelter Look-up'!$J:$J,0)))</f>
        <v>#N/A</v>
      </c>
      <c r="X1148" s="140">
        <f t="shared" ca="1" si="106"/>
        <v>0</v>
      </c>
      <c r="AB1148" s="178" t="str">
        <f t="shared" si="107"/>
        <v/>
      </c>
    </row>
    <row r="1149" spans="1:28" s="140" customFormat="1" ht="20.25">
      <c r="A1149" s="167"/>
      <c r="B1149" s="168" t="str">
        <f>IF(LEN(A1149)=0,"",INDEX('Smelter Look-up'!$A:$A,MATCH($A1149,'Smelter Look-up'!$E:$E,0)))</f>
        <v/>
      </c>
      <c r="C1149" s="169" t="str">
        <f>IF(LEN(A1149)=0,"",INDEX('Smelter Look-up'!$C:$C,MATCH($A1149,'Smelter Look-up'!$E:$E,0)))</f>
        <v/>
      </c>
      <c r="D1149" s="170"/>
      <c r="E1149" s="168" t="str">
        <f ca="1">IF(ISERROR($V1149),"",OFFSET('Smelter Look-up'!$D$4,$V1149-4,0)&amp;"")</f>
        <v/>
      </c>
      <c r="F1149" s="168" t="str">
        <f ca="1">IF(ISERROR($V1149),"",OFFSET('Smelter Look-up'!$E$4,$V1149-4,0))</f>
        <v/>
      </c>
      <c r="G1149" s="168" t="str">
        <f ca="1">IF(C1149=$X$4,IF(ISERROR($V1149),"Enter smelter details","RMI"),IF(ISERROR($V1149),"",OFFSET('Smelter Look-up'!$F$4,$V1149-4,0)))</f>
        <v/>
      </c>
      <c r="H1149" s="171" t="str">
        <f ca="1">IF(ISERROR($V1149),"",OFFSET('Smelter Look-up'!$G$4,$V1149-4,0))</f>
        <v/>
      </c>
      <c r="I1149" s="172" t="str">
        <f ca="1">IF(ISERROR($V1149),"",OFFSET('Smelter Look-up'!$H$4,$V1149-4,0))</f>
        <v/>
      </c>
      <c r="J1149" s="172" t="str">
        <f ca="1">IF(ISERROR($V1149),"",OFFSET('Smelter Look-up'!$I$4,$V1149-4,0))</f>
        <v/>
      </c>
      <c r="K1149" s="173"/>
      <c r="L1149" s="173"/>
      <c r="M1149" s="173"/>
      <c r="N1149" s="173"/>
      <c r="O1149" s="173"/>
      <c r="P1149" s="174"/>
      <c r="Q1149" s="175"/>
      <c r="R1149" s="168" t="str">
        <f ca="1">IF(ISERROR($V1149),"",OFFSET('Smelter Look-up'!$C$4,$V1149-4,0)&amp;"")</f>
        <v/>
      </c>
      <c r="S1149" s="167" t="str">
        <f t="shared" ca="1" si="105"/>
        <v/>
      </c>
      <c r="T1149" s="167" t="str">
        <f ca="1">IF(B1149="","",IF(ISERROR(MATCH($J1149,SorP!$B$1:$B$6230,0)),"",INDIRECT("'SorP'!$A$"&amp;MATCH($J1149,SorP!$B$1:$B$6230,0))))</f>
        <v/>
      </c>
      <c r="U1149" s="176"/>
      <c r="V1149" s="177" t="e">
        <f>IF(C1149="",NA(),IF(OR(C1149="Smelter not listed",C1149="Smelter not yet identified"),MATCH($B1149&amp;$D1149,'Smelter Look-up'!$J:$J,0),MATCH($B1149&amp;$C1149,'Smelter Look-up'!$J:$J,0)))</f>
        <v>#N/A</v>
      </c>
      <c r="X1149" s="140">
        <f t="shared" ca="1" si="106"/>
        <v>0</v>
      </c>
      <c r="AB1149" s="178" t="str">
        <f t="shared" si="107"/>
        <v/>
      </c>
    </row>
    <row r="1150" spans="1:28" s="140" customFormat="1" ht="20.25">
      <c r="A1150" s="167"/>
      <c r="B1150" s="168" t="str">
        <f>IF(LEN(A1150)=0,"",INDEX('Smelter Look-up'!$A:$A,MATCH($A1150,'Smelter Look-up'!$E:$E,0)))</f>
        <v/>
      </c>
      <c r="C1150" s="169" t="str">
        <f>IF(LEN(A1150)=0,"",INDEX('Smelter Look-up'!$C:$C,MATCH($A1150,'Smelter Look-up'!$E:$E,0)))</f>
        <v/>
      </c>
      <c r="D1150" s="170"/>
      <c r="E1150" s="168" t="str">
        <f ca="1">IF(ISERROR($V1150),"",OFFSET('Smelter Look-up'!$D$4,$V1150-4,0)&amp;"")</f>
        <v/>
      </c>
      <c r="F1150" s="168" t="str">
        <f ca="1">IF(ISERROR($V1150),"",OFFSET('Smelter Look-up'!$E$4,$V1150-4,0))</f>
        <v/>
      </c>
      <c r="G1150" s="168" t="str">
        <f ca="1">IF(C1150=$X$4,IF(ISERROR($V1150),"Enter smelter details","RMI"),IF(ISERROR($V1150),"",OFFSET('Smelter Look-up'!$F$4,$V1150-4,0)))</f>
        <v/>
      </c>
      <c r="H1150" s="171" t="str">
        <f ca="1">IF(ISERROR($V1150),"",OFFSET('Smelter Look-up'!$G$4,$V1150-4,0))</f>
        <v/>
      </c>
      <c r="I1150" s="172" t="str">
        <f ca="1">IF(ISERROR($V1150),"",OFFSET('Smelter Look-up'!$H$4,$V1150-4,0))</f>
        <v/>
      </c>
      <c r="J1150" s="172" t="str">
        <f ca="1">IF(ISERROR($V1150),"",OFFSET('Smelter Look-up'!$I$4,$V1150-4,0))</f>
        <v/>
      </c>
      <c r="K1150" s="173"/>
      <c r="L1150" s="173"/>
      <c r="M1150" s="173"/>
      <c r="N1150" s="173"/>
      <c r="O1150" s="173"/>
      <c r="P1150" s="174"/>
      <c r="Q1150" s="175"/>
      <c r="R1150" s="168" t="str">
        <f ca="1">IF(ISERROR($V1150),"",OFFSET('Smelter Look-up'!$C$4,$V1150-4,0)&amp;"")</f>
        <v/>
      </c>
      <c r="S1150" s="167" t="str">
        <f t="shared" ca="1" si="105"/>
        <v/>
      </c>
      <c r="T1150" s="167" t="str">
        <f ca="1">IF(B1150="","",IF(ISERROR(MATCH($J1150,SorP!$B$1:$B$6230,0)),"",INDIRECT("'SorP'!$A$"&amp;MATCH($J1150,SorP!$B$1:$B$6230,0))))</f>
        <v/>
      </c>
      <c r="U1150" s="176"/>
      <c r="V1150" s="177" t="e">
        <f>IF(C1150="",NA(),IF(OR(C1150="Smelter not listed",C1150="Smelter not yet identified"),MATCH($B1150&amp;$D1150,'Smelter Look-up'!$J:$J,0),MATCH($B1150&amp;$C1150,'Smelter Look-up'!$J:$J,0)))</f>
        <v>#N/A</v>
      </c>
      <c r="X1150" s="140">
        <f t="shared" ca="1" si="106"/>
        <v>0</v>
      </c>
      <c r="AB1150" s="178" t="str">
        <f t="shared" si="107"/>
        <v/>
      </c>
    </row>
    <row r="1151" spans="1:28" s="140" customFormat="1" ht="20.25">
      <c r="A1151" s="167"/>
      <c r="B1151" s="168" t="str">
        <f>IF(LEN(A1151)=0,"",INDEX('Smelter Look-up'!$A:$A,MATCH($A1151,'Smelter Look-up'!$E:$E,0)))</f>
        <v/>
      </c>
      <c r="C1151" s="169" t="str">
        <f>IF(LEN(A1151)=0,"",INDEX('Smelter Look-up'!$C:$C,MATCH($A1151,'Smelter Look-up'!$E:$E,0)))</f>
        <v/>
      </c>
      <c r="D1151" s="170"/>
      <c r="E1151" s="168" t="str">
        <f ca="1">IF(ISERROR($V1151),"",OFFSET('Smelter Look-up'!$D$4,$V1151-4,0)&amp;"")</f>
        <v/>
      </c>
      <c r="F1151" s="168" t="str">
        <f ca="1">IF(ISERROR($V1151),"",OFFSET('Smelter Look-up'!$E$4,$V1151-4,0))</f>
        <v/>
      </c>
      <c r="G1151" s="168" t="str">
        <f ca="1">IF(C1151=$X$4,IF(ISERROR($V1151),"Enter smelter details","RMI"),IF(ISERROR($V1151),"",OFFSET('Smelter Look-up'!$F$4,$V1151-4,0)))</f>
        <v/>
      </c>
      <c r="H1151" s="171" t="str">
        <f ca="1">IF(ISERROR($V1151),"",OFFSET('Smelter Look-up'!$G$4,$V1151-4,0))</f>
        <v/>
      </c>
      <c r="I1151" s="172" t="str">
        <f ca="1">IF(ISERROR($V1151),"",OFFSET('Smelter Look-up'!$H$4,$V1151-4,0))</f>
        <v/>
      </c>
      <c r="J1151" s="172" t="str">
        <f ca="1">IF(ISERROR($V1151),"",OFFSET('Smelter Look-up'!$I$4,$V1151-4,0))</f>
        <v/>
      </c>
      <c r="K1151" s="173"/>
      <c r="L1151" s="173"/>
      <c r="M1151" s="173"/>
      <c r="N1151" s="173"/>
      <c r="O1151" s="173"/>
      <c r="P1151" s="174"/>
      <c r="Q1151" s="175"/>
      <c r="R1151" s="168" t="str">
        <f ca="1">IF(ISERROR($V1151),"",OFFSET('Smelter Look-up'!$C$4,$V1151-4,0)&amp;"")</f>
        <v/>
      </c>
      <c r="S1151" s="167" t="str">
        <f t="shared" ca="1" si="105"/>
        <v/>
      </c>
      <c r="T1151" s="167" t="str">
        <f ca="1">IF(B1151="","",IF(ISERROR(MATCH($J1151,SorP!$B$1:$B$6230,0)),"",INDIRECT("'SorP'!$A$"&amp;MATCH($J1151,SorP!$B$1:$B$6230,0))))</f>
        <v/>
      </c>
      <c r="U1151" s="176"/>
      <c r="V1151" s="177" t="e">
        <f>IF(C1151="",NA(),IF(OR(C1151="Smelter not listed",C1151="Smelter not yet identified"),MATCH($B1151&amp;$D1151,'Smelter Look-up'!$J:$J,0),MATCH($B1151&amp;$C1151,'Smelter Look-up'!$J:$J,0)))</f>
        <v>#N/A</v>
      </c>
      <c r="X1151" s="140">
        <f t="shared" ca="1" si="106"/>
        <v>0</v>
      </c>
      <c r="AB1151" s="178" t="str">
        <f t="shared" si="107"/>
        <v/>
      </c>
    </row>
    <row r="1152" spans="1:28" s="140" customFormat="1" ht="20.25">
      <c r="A1152" s="167"/>
      <c r="B1152" s="168" t="str">
        <f>IF(LEN(A1152)=0,"",INDEX('Smelter Look-up'!$A:$A,MATCH($A1152,'Smelter Look-up'!$E:$E,0)))</f>
        <v/>
      </c>
      <c r="C1152" s="169" t="str">
        <f>IF(LEN(A1152)=0,"",INDEX('Smelter Look-up'!$C:$C,MATCH($A1152,'Smelter Look-up'!$E:$E,0)))</f>
        <v/>
      </c>
      <c r="D1152" s="170"/>
      <c r="E1152" s="168" t="str">
        <f ca="1">IF(ISERROR($V1152),"",OFFSET('Smelter Look-up'!$D$4,$V1152-4,0)&amp;"")</f>
        <v/>
      </c>
      <c r="F1152" s="168" t="str">
        <f ca="1">IF(ISERROR($V1152),"",OFFSET('Smelter Look-up'!$E$4,$V1152-4,0))</f>
        <v/>
      </c>
      <c r="G1152" s="168" t="str">
        <f ca="1">IF(C1152=$X$4,IF(ISERROR($V1152),"Enter smelter details","RMI"),IF(ISERROR($V1152),"",OFFSET('Smelter Look-up'!$F$4,$V1152-4,0)))</f>
        <v/>
      </c>
      <c r="H1152" s="171" t="str">
        <f ca="1">IF(ISERROR($V1152),"",OFFSET('Smelter Look-up'!$G$4,$V1152-4,0))</f>
        <v/>
      </c>
      <c r="I1152" s="172" t="str">
        <f ca="1">IF(ISERROR($V1152),"",OFFSET('Smelter Look-up'!$H$4,$V1152-4,0))</f>
        <v/>
      </c>
      <c r="J1152" s="172" t="str">
        <f ca="1">IF(ISERROR($V1152),"",OFFSET('Smelter Look-up'!$I$4,$V1152-4,0))</f>
        <v/>
      </c>
      <c r="K1152" s="173"/>
      <c r="L1152" s="173"/>
      <c r="M1152" s="173"/>
      <c r="N1152" s="173"/>
      <c r="O1152" s="173"/>
      <c r="P1152" s="174"/>
      <c r="Q1152" s="175"/>
      <c r="R1152" s="168" t="str">
        <f ca="1">IF(ISERROR($V1152),"",OFFSET('Smelter Look-up'!$C$4,$V1152-4,0)&amp;"")</f>
        <v/>
      </c>
      <c r="S1152" s="167" t="str">
        <f t="shared" ca="1" si="105"/>
        <v/>
      </c>
      <c r="T1152" s="167" t="str">
        <f ca="1">IF(B1152="","",IF(ISERROR(MATCH($J1152,SorP!$B$1:$B$6230,0)),"",INDIRECT("'SorP'!$A$"&amp;MATCH($J1152,SorP!$B$1:$B$6230,0))))</f>
        <v/>
      </c>
      <c r="U1152" s="176"/>
      <c r="V1152" s="177" t="e">
        <f>IF(C1152="",NA(),IF(OR(C1152="Smelter not listed",C1152="Smelter not yet identified"),MATCH($B1152&amp;$D1152,'Smelter Look-up'!$J:$J,0),MATCH($B1152&amp;$C1152,'Smelter Look-up'!$J:$J,0)))</f>
        <v>#N/A</v>
      </c>
      <c r="X1152" s="140">
        <f t="shared" ca="1" si="106"/>
        <v>0</v>
      </c>
      <c r="AB1152" s="178" t="str">
        <f t="shared" si="107"/>
        <v/>
      </c>
    </row>
    <row r="1153" spans="1:28" s="140" customFormat="1" ht="20.25">
      <c r="A1153" s="167"/>
      <c r="B1153" s="168" t="str">
        <f>IF(LEN(A1153)=0,"",INDEX('Smelter Look-up'!$A:$A,MATCH($A1153,'Smelter Look-up'!$E:$E,0)))</f>
        <v/>
      </c>
      <c r="C1153" s="169" t="str">
        <f>IF(LEN(A1153)=0,"",INDEX('Smelter Look-up'!$C:$C,MATCH($A1153,'Smelter Look-up'!$E:$E,0)))</f>
        <v/>
      </c>
      <c r="D1153" s="170"/>
      <c r="E1153" s="168" t="str">
        <f ca="1">IF(ISERROR($V1153),"",OFFSET('Smelter Look-up'!$D$4,$V1153-4,0)&amp;"")</f>
        <v/>
      </c>
      <c r="F1153" s="168" t="str">
        <f ca="1">IF(ISERROR($V1153),"",OFFSET('Smelter Look-up'!$E$4,$V1153-4,0))</f>
        <v/>
      </c>
      <c r="G1153" s="168" t="str">
        <f ca="1">IF(C1153=$X$4,IF(ISERROR($V1153),"Enter smelter details","RMI"),IF(ISERROR($V1153),"",OFFSET('Smelter Look-up'!$F$4,$V1153-4,0)))</f>
        <v/>
      </c>
      <c r="H1153" s="171" t="str">
        <f ca="1">IF(ISERROR($V1153),"",OFFSET('Smelter Look-up'!$G$4,$V1153-4,0))</f>
        <v/>
      </c>
      <c r="I1153" s="172" t="str">
        <f ca="1">IF(ISERROR($V1153),"",OFFSET('Smelter Look-up'!$H$4,$V1153-4,0))</f>
        <v/>
      </c>
      <c r="J1153" s="172" t="str">
        <f ca="1">IF(ISERROR($V1153),"",OFFSET('Smelter Look-up'!$I$4,$V1153-4,0))</f>
        <v/>
      </c>
      <c r="K1153" s="173"/>
      <c r="L1153" s="173"/>
      <c r="M1153" s="173"/>
      <c r="N1153" s="173"/>
      <c r="O1153" s="173"/>
      <c r="P1153" s="174"/>
      <c r="Q1153" s="175"/>
      <c r="R1153" s="168" t="str">
        <f ca="1">IF(ISERROR($V1153),"",OFFSET('Smelter Look-up'!$C$4,$V1153-4,0)&amp;"")</f>
        <v/>
      </c>
      <c r="S1153" s="167" t="str">
        <f t="shared" ca="1" si="105"/>
        <v/>
      </c>
      <c r="T1153" s="167" t="str">
        <f ca="1">IF(B1153="","",IF(ISERROR(MATCH($J1153,SorP!$B$1:$B$6230,0)),"",INDIRECT("'SorP'!$A$"&amp;MATCH($J1153,SorP!$B$1:$B$6230,0))))</f>
        <v/>
      </c>
      <c r="U1153" s="176"/>
      <c r="V1153" s="177" t="e">
        <f>IF(C1153="",NA(),IF(OR(C1153="Smelter not listed",C1153="Smelter not yet identified"),MATCH($B1153&amp;$D1153,'Smelter Look-up'!$J:$J,0),MATCH($B1153&amp;$C1153,'Smelter Look-up'!$J:$J,0)))</f>
        <v>#N/A</v>
      </c>
      <c r="X1153" s="140">
        <f t="shared" ca="1" si="106"/>
        <v>0</v>
      </c>
      <c r="AB1153" s="178" t="str">
        <f t="shared" si="107"/>
        <v/>
      </c>
    </row>
    <row r="1154" spans="1:28" s="140" customFormat="1" ht="20.25">
      <c r="A1154" s="167"/>
      <c r="B1154" s="168" t="str">
        <f>IF(LEN(A1154)=0,"",INDEX('Smelter Look-up'!$A:$A,MATCH($A1154,'Smelter Look-up'!$E:$E,0)))</f>
        <v/>
      </c>
      <c r="C1154" s="169" t="str">
        <f>IF(LEN(A1154)=0,"",INDEX('Smelter Look-up'!$C:$C,MATCH($A1154,'Smelter Look-up'!$E:$E,0)))</f>
        <v/>
      </c>
      <c r="D1154" s="170"/>
      <c r="E1154" s="168" t="str">
        <f ca="1">IF(ISERROR($V1154),"",OFFSET('Smelter Look-up'!$D$4,$V1154-4,0)&amp;"")</f>
        <v/>
      </c>
      <c r="F1154" s="168" t="str">
        <f ca="1">IF(ISERROR($V1154),"",OFFSET('Smelter Look-up'!$E$4,$V1154-4,0))</f>
        <v/>
      </c>
      <c r="G1154" s="168" t="str">
        <f ca="1">IF(C1154=$X$4,IF(ISERROR($V1154),"Enter smelter details","RMI"),IF(ISERROR($V1154),"",OFFSET('Smelter Look-up'!$F$4,$V1154-4,0)))</f>
        <v/>
      </c>
      <c r="H1154" s="171" t="str">
        <f ca="1">IF(ISERROR($V1154),"",OFFSET('Smelter Look-up'!$G$4,$V1154-4,0))</f>
        <v/>
      </c>
      <c r="I1154" s="172" t="str">
        <f ca="1">IF(ISERROR($V1154),"",OFFSET('Smelter Look-up'!$H$4,$V1154-4,0))</f>
        <v/>
      </c>
      <c r="J1154" s="172" t="str">
        <f ca="1">IF(ISERROR($V1154),"",OFFSET('Smelter Look-up'!$I$4,$V1154-4,0))</f>
        <v/>
      </c>
      <c r="K1154" s="173"/>
      <c r="L1154" s="173"/>
      <c r="M1154" s="173"/>
      <c r="N1154" s="173"/>
      <c r="O1154" s="173"/>
      <c r="P1154" s="174"/>
      <c r="Q1154" s="175"/>
      <c r="R1154" s="168" t="str">
        <f ca="1">IF(ISERROR($V1154),"",OFFSET('Smelter Look-up'!$C$4,$V1154-4,0)&amp;"")</f>
        <v/>
      </c>
      <c r="S1154" s="167" t="str">
        <f t="shared" ca="1" si="105"/>
        <v/>
      </c>
      <c r="T1154" s="167" t="str">
        <f ca="1">IF(B1154="","",IF(ISERROR(MATCH($J1154,SorP!$B$1:$B$6230,0)),"",INDIRECT("'SorP'!$A$"&amp;MATCH($J1154,SorP!$B$1:$B$6230,0))))</f>
        <v/>
      </c>
      <c r="U1154" s="176"/>
      <c r="V1154" s="177" t="e">
        <f>IF(C1154="",NA(),IF(OR(C1154="Smelter not listed",C1154="Smelter not yet identified"),MATCH($B1154&amp;$D1154,'Smelter Look-up'!$J:$J,0),MATCH($B1154&amp;$C1154,'Smelter Look-up'!$J:$J,0)))</f>
        <v>#N/A</v>
      </c>
      <c r="X1154" s="140">
        <f t="shared" ca="1" si="106"/>
        <v>0</v>
      </c>
      <c r="AB1154" s="178" t="str">
        <f t="shared" si="107"/>
        <v/>
      </c>
    </row>
    <row r="1155" spans="1:28" s="140" customFormat="1" ht="20.25">
      <c r="A1155" s="167"/>
      <c r="B1155" s="168" t="str">
        <f>IF(LEN(A1155)=0,"",INDEX('Smelter Look-up'!$A:$A,MATCH($A1155,'Smelter Look-up'!$E:$E,0)))</f>
        <v/>
      </c>
      <c r="C1155" s="169" t="str">
        <f>IF(LEN(A1155)=0,"",INDEX('Smelter Look-up'!$C:$C,MATCH($A1155,'Smelter Look-up'!$E:$E,0)))</f>
        <v/>
      </c>
      <c r="D1155" s="170"/>
      <c r="E1155" s="168" t="str">
        <f ca="1">IF(ISERROR($V1155),"",OFFSET('Smelter Look-up'!$D$4,$V1155-4,0)&amp;"")</f>
        <v/>
      </c>
      <c r="F1155" s="168" t="str">
        <f ca="1">IF(ISERROR($V1155),"",OFFSET('Smelter Look-up'!$E$4,$V1155-4,0))</f>
        <v/>
      </c>
      <c r="G1155" s="168" t="str">
        <f ca="1">IF(C1155=$X$4,IF(ISERROR($V1155),"Enter smelter details","RMI"),IF(ISERROR($V1155),"",OFFSET('Smelter Look-up'!$F$4,$V1155-4,0)))</f>
        <v/>
      </c>
      <c r="H1155" s="171" t="str">
        <f ca="1">IF(ISERROR($V1155),"",OFFSET('Smelter Look-up'!$G$4,$V1155-4,0))</f>
        <v/>
      </c>
      <c r="I1155" s="172" t="str">
        <f ca="1">IF(ISERROR($V1155),"",OFFSET('Smelter Look-up'!$H$4,$V1155-4,0))</f>
        <v/>
      </c>
      <c r="J1155" s="172" t="str">
        <f ca="1">IF(ISERROR($V1155),"",OFFSET('Smelter Look-up'!$I$4,$V1155-4,0))</f>
        <v/>
      </c>
      <c r="K1155" s="173"/>
      <c r="L1155" s="173"/>
      <c r="M1155" s="173"/>
      <c r="N1155" s="173"/>
      <c r="O1155" s="173"/>
      <c r="P1155" s="174"/>
      <c r="Q1155" s="175"/>
      <c r="R1155" s="168" t="str">
        <f ca="1">IF(ISERROR($V1155),"",OFFSET('Smelter Look-up'!$C$4,$V1155-4,0)&amp;"")</f>
        <v/>
      </c>
      <c r="S1155" s="167" t="str">
        <f t="shared" ca="1" si="105"/>
        <v/>
      </c>
      <c r="T1155" s="167" t="str">
        <f ca="1">IF(B1155="","",IF(ISERROR(MATCH($J1155,SorP!$B$1:$B$6230,0)),"",INDIRECT("'SorP'!$A$"&amp;MATCH($J1155,SorP!$B$1:$B$6230,0))))</f>
        <v/>
      </c>
      <c r="U1155" s="176"/>
      <c r="V1155" s="177" t="e">
        <f>IF(C1155="",NA(),IF(OR(C1155="Smelter not listed",C1155="Smelter not yet identified"),MATCH($B1155&amp;$D1155,'Smelter Look-up'!$J:$J,0),MATCH($B1155&amp;$C1155,'Smelter Look-up'!$J:$J,0)))</f>
        <v>#N/A</v>
      </c>
      <c r="X1155" s="140">
        <f t="shared" ca="1" si="106"/>
        <v>0</v>
      </c>
      <c r="AB1155" s="178" t="str">
        <f t="shared" si="107"/>
        <v/>
      </c>
    </row>
    <row r="1156" spans="1:28" s="140" customFormat="1" ht="20.25">
      <c r="A1156" s="167"/>
      <c r="B1156" s="168" t="str">
        <f>IF(LEN(A1156)=0,"",INDEX('Smelter Look-up'!$A:$A,MATCH($A1156,'Smelter Look-up'!$E:$E,0)))</f>
        <v/>
      </c>
      <c r="C1156" s="169" t="str">
        <f>IF(LEN(A1156)=0,"",INDEX('Smelter Look-up'!$C:$C,MATCH($A1156,'Smelter Look-up'!$E:$E,0)))</f>
        <v/>
      </c>
      <c r="D1156" s="170"/>
      <c r="E1156" s="168" t="str">
        <f ca="1">IF(ISERROR($V1156),"",OFFSET('Smelter Look-up'!$D$4,$V1156-4,0)&amp;"")</f>
        <v/>
      </c>
      <c r="F1156" s="168" t="str">
        <f ca="1">IF(ISERROR($V1156),"",OFFSET('Smelter Look-up'!$E$4,$V1156-4,0))</f>
        <v/>
      </c>
      <c r="G1156" s="168" t="str">
        <f ca="1">IF(C1156=$X$4,IF(ISERROR($V1156),"Enter smelter details","RMI"),IF(ISERROR($V1156),"",OFFSET('Smelter Look-up'!$F$4,$V1156-4,0)))</f>
        <v/>
      </c>
      <c r="H1156" s="171" t="str">
        <f ca="1">IF(ISERROR($V1156),"",OFFSET('Smelter Look-up'!$G$4,$V1156-4,0))</f>
        <v/>
      </c>
      <c r="I1156" s="172" t="str">
        <f ca="1">IF(ISERROR($V1156),"",OFFSET('Smelter Look-up'!$H$4,$V1156-4,0))</f>
        <v/>
      </c>
      <c r="J1156" s="172" t="str">
        <f ca="1">IF(ISERROR($V1156),"",OFFSET('Smelter Look-up'!$I$4,$V1156-4,0))</f>
        <v/>
      </c>
      <c r="K1156" s="173"/>
      <c r="L1156" s="173"/>
      <c r="M1156" s="173"/>
      <c r="N1156" s="173"/>
      <c r="O1156" s="173"/>
      <c r="P1156" s="174"/>
      <c r="Q1156" s="175"/>
      <c r="R1156" s="168" t="str">
        <f ca="1">IF(ISERROR($V1156),"",OFFSET('Smelter Look-up'!$C$4,$V1156-4,0)&amp;"")</f>
        <v/>
      </c>
      <c r="S1156" s="167" t="str">
        <f t="shared" ca="1" si="105"/>
        <v/>
      </c>
      <c r="T1156" s="167" t="str">
        <f ca="1">IF(B1156="","",IF(ISERROR(MATCH($J1156,SorP!$B$1:$B$6230,0)),"",INDIRECT("'SorP'!$A$"&amp;MATCH($J1156,SorP!$B$1:$B$6230,0))))</f>
        <v/>
      </c>
      <c r="U1156" s="176"/>
      <c r="V1156" s="177" t="e">
        <f>IF(C1156="",NA(),IF(OR(C1156="Smelter not listed",C1156="Smelter not yet identified"),MATCH($B1156&amp;$D1156,'Smelter Look-up'!$J:$J,0),MATCH($B1156&amp;$C1156,'Smelter Look-up'!$J:$J,0)))</f>
        <v>#N/A</v>
      </c>
      <c r="X1156" s="140">
        <f t="shared" ca="1" si="106"/>
        <v>0</v>
      </c>
      <c r="AB1156" s="178" t="str">
        <f t="shared" si="107"/>
        <v/>
      </c>
    </row>
    <row r="1157" spans="1:28" s="140" customFormat="1" ht="20.25">
      <c r="A1157" s="167"/>
      <c r="B1157" s="168" t="str">
        <f>IF(LEN(A1157)=0,"",INDEX('Smelter Look-up'!$A:$A,MATCH($A1157,'Smelter Look-up'!$E:$E,0)))</f>
        <v/>
      </c>
      <c r="C1157" s="169" t="str">
        <f>IF(LEN(A1157)=0,"",INDEX('Smelter Look-up'!$C:$C,MATCH($A1157,'Smelter Look-up'!$E:$E,0)))</f>
        <v/>
      </c>
      <c r="D1157" s="170"/>
      <c r="E1157" s="168" t="str">
        <f ca="1">IF(ISERROR($V1157),"",OFFSET('Smelter Look-up'!$D$4,$V1157-4,0)&amp;"")</f>
        <v/>
      </c>
      <c r="F1157" s="168" t="str">
        <f ca="1">IF(ISERROR($V1157),"",OFFSET('Smelter Look-up'!$E$4,$V1157-4,0))</f>
        <v/>
      </c>
      <c r="G1157" s="168" t="str">
        <f ca="1">IF(C1157=$X$4,IF(ISERROR($V1157),"Enter smelter details","RMI"),IF(ISERROR($V1157),"",OFFSET('Smelter Look-up'!$F$4,$V1157-4,0)))</f>
        <v/>
      </c>
      <c r="H1157" s="171" t="str">
        <f ca="1">IF(ISERROR($V1157),"",OFFSET('Smelter Look-up'!$G$4,$V1157-4,0))</f>
        <v/>
      </c>
      <c r="I1157" s="172" t="str">
        <f ca="1">IF(ISERROR($V1157),"",OFFSET('Smelter Look-up'!$H$4,$V1157-4,0))</f>
        <v/>
      </c>
      <c r="J1157" s="172" t="str">
        <f ca="1">IF(ISERROR($V1157),"",OFFSET('Smelter Look-up'!$I$4,$V1157-4,0))</f>
        <v/>
      </c>
      <c r="K1157" s="173"/>
      <c r="L1157" s="173"/>
      <c r="M1157" s="173"/>
      <c r="N1157" s="173"/>
      <c r="O1157" s="173"/>
      <c r="P1157" s="174"/>
      <c r="Q1157" s="175"/>
      <c r="R1157" s="168" t="str">
        <f ca="1">IF(ISERROR($V1157),"",OFFSET('Smelter Look-up'!$C$4,$V1157-4,0)&amp;"")</f>
        <v/>
      </c>
      <c r="S1157" s="167" t="str">
        <f t="shared" ca="1" si="105"/>
        <v/>
      </c>
      <c r="T1157" s="167" t="str">
        <f ca="1">IF(B1157="","",IF(ISERROR(MATCH($J1157,SorP!$B$1:$B$6230,0)),"",INDIRECT("'SorP'!$A$"&amp;MATCH($J1157,SorP!$B$1:$B$6230,0))))</f>
        <v/>
      </c>
      <c r="U1157" s="176"/>
      <c r="V1157" s="177" t="e">
        <f>IF(C1157="",NA(),IF(OR(C1157="Smelter not listed",C1157="Smelter not yet identified"),MATCH($B1157&amp;$D1157,'Smelter Look-up'!$J:$J,0),MATCH($B1157&amp;$C1157,'Smelter Look-up'!$J:$J,0)))</f>
        <v>#N/A</v>
      </c>
      <c r="X1157" s="140">
        <f t="shared" ca="1" si="106"/>
        <v>0</v>
      </c>
      <c r="AB1157" s="178" t="str">
        <f t="shared" si="107"/>
        <v/>
      </c>
    </row>
    <row r="1158" spans="1:28" s="140" customFormat="1" ht="20.25">
      <c r="A1158" s="167"/>
      <c r="B1158" s="168" t="str">
        <f>IF(LEN(A1158)=0,"",INDEX('Smelter Look-up'!$A:$A,MATCH($A1158,'Smelter Look-up'!$E:$E,0)))</f>
        <v/>
      </c>
      <c r="C1158" s="169" t="str">
        <f>IF(LEN(A1158)=0,"",INDEX('Smelter Look-up'!$C:$C,MATCH($A1158,'Smelter Look-up'!$E:$E,0)))</f>
        <v/>
      </c>
      <c r="D1158" s="170"/>
      <c r="E1158" s="168" t="str">
        <f ca="1">IF(ISERROR($V1158),"",OFFSET('Smelter Look-up'!$D$4,$V1158-4,0)&amp;"")</f>
        <v/>
      </c>
      <c r="F1158" s="168" t="str">
        <f ca="1">IF(ISERROR($V1158),"",OFFSET('Smelter Look-up'!$E$4,$V1158-4,0))</f>
        <v/>
      </c>
      <c r="G1158" s="168" t="str">
        <f ca="1">IF(C1158=$X$4,IF(ISERROR($V1158),"Enter smelter details","RMI"),IF(ISERROR($V1158),"",OFFSET('Smelter Look-up'!$F$4,$V1158-4,0)))</f>
        <v/>
      </c>
      <c r="H1158" s="171" t="str">
        <f ca="1">IF(ISERROR($V1158),"",OFFSET('Smelter Look-up'!$G$4,$V1158-4,0))</f>
        <v/>
      </c>
      <c r="I1158" s="172" t="str">
        <f ca="1">IF(ISERROR($V1158),"",OFFSET('Smelter Look-up'!$H$4,$V1158-4,0))</f>
        <v/>
      </c>
      <c r="J1158" s="172" t="str">
        <f ca="1">IF(ISERROR($V1158),"",OFFSET('Smelter Look-up'!$I$4,$V1158-4,0))</f>
        <v/>
      </c>
      <c r="K1158" s="173"/>
      <c r="L1158" s="173"/>
      <c r="M1158" s="173"/>
      <c r="N1158" s="173"/>
      <c r="O1158" s="173"/>
      <c r="P1158" s="174"/>
      <c r="Q1158" s="175"/>
      <c r="R1158" s="168" t="str">
        <f ca="1">IF(ISERROR($V1158),"",OFFSET('Smelter Look-up'!$C$4,$V1158-4,0)&amp;"")</f>
        <v/>
      </c>
      <c r="S1158" s="167" t="str">
        <f t="shared" ca="1" si="105"/>
        <v/>
      </c>
      <c r="T1158" s="167" t="str">
        <f ca="1">IF(B1158="","",IF(ISERROR(MATCH($J1158,SorP!$B$1:$B$6230,0)),"",INDIRECT("'SorP'!$A$"&amp;MATCH($J1158,SorP!$B$1:$B$6230,0))))</f>
        <v/>
      </c>
      <c r="U1158" s="176"/>
      <c r="V1158" s="177" t="e">
        <f>IF(C1158="",NA(),IF(OR(C1158="Smelter not listed",C1158="Smelter not yet identified"),MATCH($B1158&amp;$D1158,'Smelter Look-up'!$J:$J,0),MATCH($B1158&amp;$C1158,'Smelter Look-up'!$J:$J,0)))</f>
        <v>#N/A</v>
      </c>
      <c r="X1158" s="140">
        <f t="shared" ca="1" si="106"/>
        <v>0</v>
      </c>
      <c r="AB1158" s="178" t="str">
        <f t="shared" si="107"/>
        <v/>
      </c>
    </row>
    <row r="1159" spans="1:28" s="140" customFormat="1" ht="20.25">
      <c r="A1159" s="167"/>
      <c r="B1159" s="168" t="str">
        <f>IF(LEN(A1159)=0,"",INDEX('Smelter Look-up'!$A:$A,MATCH($A1159,'Smelter Look-up'!$E:$E,0)))</f>
        <v/>
      </c>
      <c r="C1159" s="169" t="str">
        <f>IF(LEN(A1159)=0,"",INDEX('Smelter Look-up'!$C:$C,MATCH($A1159,'Smelter Look-up'!$E:$E,0)))</f>
        <v/>
      </c>
      <c r="D1159" s="170"/>
      <c r="E1159" s="168" t="str">
        <f ca="1">IF(ISERROR($V1159),"",OFFSET('Smelter Look-up'!$D$4,$V1159-4,0)&amp;"")</f>
        <v/>
      </c>
      <c r="F1159" s="168" t="str">
        <f ca="1">IF(ISERROR($V1159),"",OFFSET('Smelter Look-up'!$E$4,$V1159-4,0))</f>
        <v/>
      </c>
      <c r="G1159" s="168" t="str">
        <f ca="1">IF(C1159=$X$4,IF(ISERROR($V1159),"Enter smelter details","RMI"),IF(ISERROR($V1159),"",OFFSET('Smelter Look-up'!$F$4,$V1159-4,0)))</f>
        <v/>
      </c>
      <c r="H1159" s="171" t="str">
        <f ca="1">IF(ISERROR($V1159),"",OFFSET('Smelter Look-up'!$G$4,$V1159-4,0))</f>
        <v/>
      </c>
      <c r="I1159" s="172" t="str">
        <f ca="1">IF(ISERROR($V1159),"",OFFSET('Smelter Look-up'!$H$4,$V1159-4,0))</f>
        <v/>
      </c>
      <c r="J1159" s="172" t="str">
        <f ca="1">IF(ISERROR($V1159),"",OFFSET('Smelter Look-up'!$I$4,$V1159-4,0))</f>
        <v/>
      </c>
      <c r="K1159" s="173"/>
      <c r="L1159" s="173"/>
      <c r="M1159" s="173"/>
      <c r="N1159" s="173"/>
      <c r="O1159" s="173"/>
      <c r="P1159" s="174"/>
      <c r="Q1159" s="175"/>
      <c r="R1159" s="168" t="str">
        <f ca="1">IF(ISERROR($V1159),"",OFFSET('Smelter Look-up'!$C$4,$V1159-4,0)&amp;"")</f>
        <v/>
      </c>
      <c r="S1159" s="167" t="str">
        <f t="shared" ca="1" si="105"/>
        <v/>
      </c>
      <c r="T1159" s="167" t="str">
        <f ca="1">IF(B1159="","",IF(ISERROR(MATCH($J1159,SorP!$B$1:$B$6230,0)),"",INDIRECT("'SorP'!$A$"&amp;MATCH($J1159,SorP!$B$1:$B$6230,0))))</f>
        <v/>
      </c>
      <c r="U1159" s="176"/>
      <c r="V1159" s="177" t="e">
        <f>IF(C1159="",NA(),IF(OR(C1159="Smelter not listed",C1159="Smelter not yet identified"),MATCH($B1159&amp;$D1159,'Smelter Look-up'!$J:$J,0),MATCH($B1159&amp;$C1159,'Smelter Look-up'!$J:$J,0)))</f>
        <v>#N/A</v>
      </c>
      <c r="X1159" s="140">
        <f t="shared" ca="1" si="106"/>
        <v>0</v>
      </c>
      <c r="AB1159" s="178" t="str">
        <f t="shared" si="107"/>
        <v/>
      </c>
    </row>
    <row r="1160" spans="1:28" s="140" customFormat="1" ht="20.25">
      <c r="A1160" s="167"/>
      <c r="B1160" s="168" t="str">
        <f>IF(LEN(A1160)=0,"",INDEX('Smelter Look-up'!$A:$A,MATCH($A1160,'Smelter Look-up'!$E:$E,0)))</f>
        <v/>
      </c>
      <c r="C1160" s="169" t="str">
        <f>IF(LEN(A1160)=0,"",INDEX('Smelter Look-up'!$C:$C,MATCH($A1160,'Smelter Look-up'!$E:$E,0)))</f>
        <v/>
      </c>
      <c r="D1160" s="170"/>
      <c r="E1160" s="168" t="str">
        <f ca="1">IF(ISERROR($V1160),"",OFFSET('Smelter Look-up'!$D$4,$V1160-4,0)&amp;"")</f>
        <v/>
      </c>
      <c r="F1160" s="168" t="str">
        <f ca="1">IF(ISERROR($V1160),"",OFFSET('Smelter Look-up'!$E$4,$V1160-4,0))</f>
        <v/>
      </c>
      <c r="G1160" s="168" t="str">
        <f ca="1">IF(C1160=$X$4,IF(ISERROR($V1160),"Enter smelter details","RMI"),IF(ISERROR($V1160),"",OFFSET('Smelter Look-up'!$F$4,$V1160-4,0)))</f>
        <v/>
      </c>
      <c r="H1160" s="171" t="str">
        <f ca="1">IF(ISERROR($V1160),"",OFFSET('Smelter Look-up'!$G$4,$V1160-4,0))</f>
        <v/>
      </c>
      <c r="I1160" s="172" t="str">
        <f ca="1">IF(ISERROR($V1160),"",OFFSET('Smelter Look-up'!$H$4,$V1160-4,0))</f>
        <v/>
      </c>
      <c r="J1160" s="172" t="str">
        <f ca="1">IF(ISERROR($V1160),"",OFFSET('Smelter Look-up'!$I$4,$V1160-4,0))</f>
        <v/>
      </c>
      <c r="K1160" s="173"/>
      <c r="L1160" s="173"/>
      <c r="M1160" s="173"/>
      <c r="N1160" s="173"/>
      <c r="O1160" s="173"/>
      <c r="P1160" s="174"/>
      <c r="Q1160" s="175"/>
      <c r="R1160" s="168" t="str">
        <f ca="1">IF(ISERROR($V1160),"",OFFSET('Smelter Look-up'!$C$4,$V1160-4,0)&amp;"")</f>
        <v/>
      </c>
      <c r="S1160" s="167" t="str">
        <f t="shared" ca="1" si="105"/>
        <v/>
      </c>
      <c r="T1160" s="167" t="str">
        <f ca="1">IF(B1160="","",IF(ISERROR(MATCH($J1160,SorP!$B$1:$B$6230,0)),"",INDIRECT("'SorP'!$A$"&amp;MATCH($J1160,SorP!$B$1:$B$6230,0))))</f>
        <v/>
      </c>
      <c r="U1160" s="176"/>
      <c r="V1160" s="177" t="e">
        <f>IF(C1160="",NA(),IF(OR(C1160="Smelter not listed",C1160="Smelter not yet identified"),MATCH($B1160&amp;$D1160,'Smelter Look-up'!$J:$J,0),MATCH($B1160&amp;$C1160,'Smelter Look-up'!$J:$J,0)))</f>
        <v>#N/A</v>
      </c>
      <c r="AB1160" s="178"/>
    </row>
    <row r="1161" spans="1:28" s="140" customFormat="1" ht="20.25">
      <c r="A1161" s="167"/>
      <c r="B1161" s="168" t="str">
        <f>IF(LEN(A1161)=0,"",INDEX('Smelter Look-up'!$A:$A,MATCH($A1161,'Smelter Look-up'!$E:$E,0)))</f>
        <v/>
      </c>
      <c r="C1161" s="169" t="str">
        <f>IF(LEN(A1161)=0,"",INDEX('Smelter Look-up'!$C:$C,MATCH($A1161,'Smelter Look-up'!$E:$E,0)))</f>
        <v/>
      </c>
      <c r="D1161" s="170"/>
      <c r="E1161" s="168" t="str">
        <f ca="1">IF(ISERROR($V1161),"",OFFSET('Smelter Look-up'!$D$4,$V1161-4,0)&amp;"")</f>
        <v/>
      </c>
      <c r="F1161" s="168" t="str">
        <f ca="1">IF(ISERROR($V1161),"",OFFSET('Smelter Look-up'!$E$4,$V1161-4,0))</f>
        <v/>
      </c>
      <c r="G1161" s="168" t="str">
        <f ca="1">IF(C1161=$X$4,IF(ISERROR($V1161),"Enter smelter details","RMI"),IF(ISERROR($V1161),"",OFFSET('Smelter Look-up'!$F$4,$V1161-4,0)))</f>
        <v/>
      </c>
      <c r="H1161" s="171" t="str">
        <f ca="1">IF(ISERROR($V1161),"",OFFSET('Smelter Look-up'!$G$4,$V1161-4,0))</f>
        <v/>
      </c>
      <c r="I1161" s="172" t="str">
        <f ca="1">IF(ISERROR($V1161),"",OFFSET('Smelter Look-up'!$H$4,$V1161-4,0))</f>
        <v/>
      </c>
      <c r="J1161" s="172" t="str">
        <f ca="1">IF(ISERROR($V1161),"",OFFSET('Smelter Look-up'!$I$4,$V1161-4,0))</f>
        <v/>
      </c>
      <c r="K1161" s="173"/>
      <c r="L1161" s="173"/>
      <c r="M1161" s="173"/>
      <c r="N1161" s="173"/>
      <c r="O1161" s="173"/>
      <c r="P1161" s="174"/>
      <c r="Q1161" s="175"/>
      <c r="R1161" s="168" t="str">
        <f ca="1">IF(ISERROR($V1161),"",OFFSET('Smelter Look-up'!$C$4,$V1161-4,0)&amp;"")</f>
        <v/>
      </c>
      <c r="S1161" s="167" t="str">
        <f t="shared" ca="1" si="105"/>
        <v/>
      </c>
      <c r="T1161" s="167" t="str">
        <f ca="1">IF(B1161="","",IF(ISERROR(MATCH($J1161,SorP!$B$1:$B$6230,0)),"",INDIRECT("'SorP'!$A$"&amp;MATCH($J1161,SorP!$B$1:$B$6230,0))))</f>
        <v/>
      </c>
      <c r="U1161" s="176"/>
      <c r="V1161" s="177" t="e">
        <f>IF(C1161="",NA(),IF(OR(C1161="Smelter not listed",C1161="Smelter not yet identified"),MATCH($B1161&amp;$D1161,'Smelter Look-up'!$J:$J,0),MATCH($B1161&amp;$C1161,'Smelter Look-up'!$J:$J,0)))</f>
        <v>#N/A</v>
      </c>
      <c r="AB1161" s="178"/>
    </row>
    <row r="1162" spans="1:28" s="140" customFormat="1" ht="20.25">
      <c r="A1162" s="167"/>
      <c r="B1162" s="168" t="str">
        <f>IF(LEN(A1162)=0,"",INDEX('Smelter Look-up'!$A:$A,MATCH($A1162,'Smelter Look-up'!$E:$E,0)))</f>
        <v/>
      </c>
      <c r="C1162" s="169" t="str">
        <f>IF(LEN(A1162)=0,"",INDEX('Smelter Look-up'!$C:$C,MATCH($A1162,'Smelter Look-up'!$E:$E,0)))</f>
        <v/>
      </c>
      <c r="D1162" s="170"/>
      <c r="E1162" s="168" t="str">
        <f ca="1">IF(ISERROR($V1162),"",OFFSET('Smelter Look-up'!$D$4,$V1162-4,0)&amp;"")</f>
        <v/>
      </c>
      <c r="F1162" s="168" t="str">
        <f ca="1">IF(ISERROR($V1162),"",OFFSET('Smelter Look-up'!$E$4,$V1162-4,0))</f>
        <v/>
      </c>
      <c r="G1162" s="168" t="str">
        <f ca="1">IF(C1162=$X$4,IF(ISERROR($V1162),"Enter smelter details","RMI"),IF(ISERROR($V1162),"",OFFSET('Smelter Look-up'!$F$4,$V1162-4,0)))</f>
        <v/>
      </c>
      <c r="H1162" s="171" t="str">
        <f ca="1">IF(ISERROR($V1162),"",OFFSET('Smelter Look-up'!$G$4,$V1162-4,0))</f>
        <v/>
      </c>
      <c r="I1162" s="172" t="str">
        <f ca="1">IF(ISERROR($V1162),"",OFFSET('Smelter Look-up'!$H$4,$V1162-4,0))</f>
        <v/>
      </c>
      <c r="J1162" s="172" t="str">
        <f ca="1">IF(ISERROR($V1162),"",OFFSET('Smelter Look-up'!$I$4,$V1162-4,0))</f>
        <v/>
      </c>
      <c r="K1162" s="173"/>
      <c r="L1162" s="173"/>
      <c r="M1162" s="173"/>
      <c r="N1162" s="173"/>
      <c r="O1162" s="173"/>
      <c r="P1162" s="174"/>
      <c r="Q1162" s="175"/>
      <c r="R1162" s="168" t="str">
        <f ca="1">IF(ISERROR($V1162),"",OFFSET('Smelter Look-up'!$C$4,$V1162-4,0)&amp;"")</f>
        <v/>
      </c>
      <c r="S1162" s="167" t="str">
        <f t="shared" ca="1" si="105"/>
        <v/>
      </c>
      <c r="T1162" s="167" t="str">
        <f ca="1">IF(B1162="","",IF(ISERROR(MATCH($J1162,SorP!$B$1:$B$6230,0)),"",INDIRECT("'SorP'!$A$"&amp;MATCH($J1162,SorP!$B$1:$B$6230,0))))</f>
        <v/>
      </c>
      <c r="U1162" s="176"/>
      <c r="V1162" s="177" t="e">
        <f>IF(C1162="",NA(),IF(OR(C1162="Smelter not listed",C1162="Smelter not yet identified"),MATCH($B1162&amp;$D1162,'Smelter Look-up'!$J:$J,0),MATCH($B1162&amp;$C1162,'Smelter Look-up'!$J:$J,0)))</f>
        <v>#N/A</v>
      </c>
      <c r="AB1162" s="178"/>
    </row>
    <row r="1163" spans="1:28" s="140" customFormat="1" ht="20.25">
      <c r="A1163" s="167"/>
      <c r="B1163" s="168" t="str">
        <f>IF(LEN(A1163)=0,"",INDEX('Smelter Look-up'!$A:$A,MATCH($A1163,'Smelter Look-up'!$E:$E,0)))</f>
        <v/>
      </c>
      <c r="C1163" s="169" t="str">
        <f>IF(LEN(A1163)=0,"",INDEX('Smelter Look-up'!$C:$C,MATCH($A1163,'Smelter Look-up'!$E:$E,0)))</f>
        <v/>
      </c>
      <c r="D1163" s="170"/>
      <c r="E1163" s="168" t="str">
        <f ca="1">IF(ISERROR($V1163),"",OFFSET('Smelter Look-up'!$D$4,$V1163-4,0)&amp;"")</f>
        <v/>
      </c>
      <c r="F1163" s="168" t="str">
        <f ca="1">IF(ISERROR($V1163),"",OFFSET('Smelter Look-up'!$E$4,$V1163-4,0))</f>
        <v/>
      </c>
      <c r="G1163" s="168" t="str">
        <f ca="1">IF(C1163=$X$4,IF(ISERROR($V1163),"Enter smelter details","RMI"),IF(ISERROR($V1163),"",OFFSET('Smelter Look-up'!$F$4,$V1163-4,0)))</f>
        <v/>
      </c>
      <c r="H1163" s="171" t="str">
        <f ca="1">IF(ISERROR($V1163),"",OFFSET('Smelter Look-up'!$G$4,$V1163-4,0))</f>
        <v/>
      </c>
      <c r="I1163" s="172" t="str">
        <f ca="1">IF(ISERROR($V1163),"",OFFSET('Smelter Look-up'!$H$4,$V1163-4,0))</f>
        <v/>
      </c>
      <c r="J1163" s="172" t="str">
        <f ca="1">IF(ISERROR($V1163),"",OFFSET('Smelter Look-up'!$I$4,$V1163-4,0))</f>
        <v/>
      </c>
      <c r="K1163" s="173"/>
      <c r="L1163" s="173"/>
      <c r="M1163" s="173"/>
      <c r="N1163" s="173"/>
      <c r="O1163" s="173"/>
      <c r="P1163" s="174"/>
      <c r="Q1163" s="175"/>
      <c r="R1163" s="168" t="str">
        <f ca="1">IF(ISERROR($V1163),"",OFFSET('Smelter Look-up'!$C$4,$V1163-4,0)&amp;"")</f>
        <v/>
      </c>
      <c r="S1163" s="167" t="str">
        <f t="shared" ca="1" si="105"/>
        <v/>
      </c>
      <c r="T1163" s="167" t="str">
        <f ca="1">IF(B1163="","",IF(ISERROR(MATCH($J1163,SorP!$B$1:$B$6230,0)),"",INDIRECT("'SorP'!$A$"&amp;MATCH($J1163,SorP!$B$1:$B$6230,0))))</f>
        <v/>
      </c>
      <c r="U1163" s="176"/>
      <c r="V1163" s="177" t="e">
        <f>IF(C1163="",NA(),IF(OR(C1163="Smelter not listed",C1163="Smelter not yet identified"),MATCH($B1163&amp;$D1163,'Smelter Look-up'!$J:$J,0),MATCH($B1163&amp;$C1163,'Smelter Look-up'!$J:$J,0)))</f>
        <v>#N/A</v>
      </c>
      <c r="AB1163" s="178"/>
    </row>
    <row r="1164" spans="1:28" s="140" customFormat="1" ht="20.25">
      <c r="A1164" s="167"/>
      <c r="B1164" s="168" t="str">
        <f>IF(LEN(A1164)=0,"",INDEX('Smelter Look-up'!$A:$A,MATCH($A1164,'Smelter Look-up'!$E:$E,0)))</f>
        <v/>
      </c>
      <c r="C1164" s="169" t="str">
        <f>IF(LEN(A1164)=0,"",INDEX('Smelter Look-up'!$C:$C,MATCH($A1164,'Smelter Look-up'!$E:$E,0)))</f>
        <v/>
      </c>
      <c r="D1164" s="170"/>
      <c r="E1164" s="168" t="str">
        <f ca="1">IF(ISERROR($V1164),"",OFFSET('Smelter Look-up'!$D$4,$V1164-4,0)&amp;"")</f>
        <v/>
      </c>
      <c r="F1164" s="168" t="str">
        <f ca="1">IF(ISERROR($V1164),"",OFFSET('Smelter Look-up'!$E$4,$V1164-4,0))</f>
        <v/>
      </c>
      <c r="G1164" s="168" t="str">
        <f ca="1">IF(C1164=$X$4,IF(ISERROR($V1164),"Enter smelter details","RMI"),IF(ISERROR($V1164),"",OFFSET('Smelter Look-up'!$F$4,$V1164-4,0)))</f>
        <v/>
      </c>
      <c r="H1164" s="171" t="str">
        <f ca="1">IF(ISERROR($V1164),"",OFFSET('Smelter Look-up'!$G$4,$V1164-4,0))</f>
        <v/>
      </c>
      <c r="I1164" s="172" t="str">
        <f ca="1">IF(ISERROR($V1164),"",OFFSET('Smelter Look-up'!$H$4,$V1164-4,0))</f>
        <v/>
      </c>
      <c r="J1164" s="172" t="str">
        <f ca="1">IF(ISERROR($V1164),"",OFFSET('Smelter Look-up'!$I$4,$V1164-4,0))</f>
        <v/>
      </c>
      <c r="K1164" s="173"/>
      <c r="L1164" s="173"/>
      <c r="M1164" s="173"/>
      <c r="N1164" s="173"/>
      <c r="O1164" s="173"/>
      <c r="P1164" s="174"/>
      <c r="Q1164" s="175"/>
      <c r="R1164" s="168" t="str">
        <f ca="1">IF(ISERROR($V1164),"",OFFSET('Smelter Look-up'!$C$4,$V1164-4,0)&amp;"")</f>
        <v/>
      </c>
      <c r="S1164" s="167" t="str">
        <f t="shared" ca="1" si="105"/>
        <v/>
      </c>
      <c r="T1164" s="167" t="str">
        <f ca="1">IF(B1164="","",IF(ISERROR(MATCH($J1164,SorP!$B$1:$B$6230,0)),"",INDIRECT("'SorP'!$A$"&amp;MATCH($J1164,SorP!$B$1:$B$6230,0))))</f>
        <v/>
      </c>
      <c r="U1164" s="176"/>
      <c r="V1164" s="177" t="e">
        <f>IF(C1164="",NA(),IF(OR(C1164="Smelter not listed",C1164="Smelter not yet identified"),MATCH($B1164&amp;$D1164,'Smelter Look-up'!$J:$J,0),MATCH($B1164&amp;$C1164,'Smelter Look-up'!$J:$J,0)))</f>
        <v>#N/A</v>
      </c>
      <c r="AB1164" s="178"/>
    </row>
    <row r="1165" spans="1:28" s="140" customFormat="1" ht="20.25">
      <c r="A1165" s="167"/>
      <c r="B1165" s="168" t="str">
        <f>IF(LEN(A1165)=0,"",INDEX('Smelter Look-up'!$A:$A,MATCH($A1165,'Smelter Look-up'!$E:$E,0)))</f>
        <v/>
      </c>
      <c r="C1165" s="169" t="str">
        <f>IF(LEN(A1165)=0,"",INDEX('Smelter Look-up'!$C:$C,MATCH($A1165,'Smelter Look-up'!$E:$E,0)))</f>
        <v/>
      </c>
      <c r="D1165" s="170"/>
      <c r="E1165" s="168" t="str">
        <f ca="1">IF(ISERROR($V1165),"",OFFSET('Smelter Look-up'!$D$4,$V1165-4,0)&amp;"")</f>
        <v/>
      </c>
      <c r="F1165" s="168" t="str">
        <f ca="1">IF(ISERROR($V1165),"",OFFSET('Smelter Look-up'!$E$4,$V1165-4,0))</f>
        <v/>
      </c>
      <c r="G1165" s="168" t="str">
        <f ca="1">IF(C1165=$X$4,IF(ISERROR($V1165),"Enter smelter details","RMI"),IF(ISERROR($V1165),"",OFFSET('Smelter Look-up'!$F$4,$V1165-4,0)))</f>
        <v/>
      </c>
      <c r="H1165" s="171" t="str">
        <f ca="1">IF(ISERROR($V1165),"",OFFSET('Smelter Look-up'!$G$4,$V1165-4,0))</f>
        <v/>
      </c>
      <c r="I1165" s="172" t="str">
        <f ca="1">IF(ISERROR($V1165),"",OFFSET('Smelter Look-up'!$H$4,$V1165-4,0))</f>
        <v/>
      </c>
      <c r="J1165" s="172" t="str">
        <f ca="1">IF(ISERROR($V1165),"",OFFSET('Smelter Look-up'!$I$4,$V1165-4,0))</f>
        <v/>
      </c>
      <c r="K1165" s="173"/>
      <c r="L1165" s="173"/>
      <c r="M1165" s="173"/>
      <c r="N1165" s="173"/>
      <c r="O1165" s="173"/>
      <c r="P1165" s="174"/>
      <c r="Q1165" s="175"/>
      <c r="R1165" s="168" t="str">
        <f ca="1">IF(ISERROR($V1165),"",OFFSET('Smelter Look-up'!$C$4,$V1165-4,0)&amp;"")</f>
        <v/>
      </c>
      <c r="S1165" s="167" t="str">
        <f t="shared" ca="1" si="105"/>
        <v/>
      </c>
      <c r="T1165" s="167" t="str">
        <f ca="1">IF(B1165="","",IF(ISERROR(MATCH($J1165,SorP!$B$1:$B$6230,0)),"",INDIRECT("'SorP'!$A$"&amp;MATCH($J1165,SorP!$B$1:$B$6230,0))))</f>
        <v/>
      </c>
      <c r="U1165" s="176"/>
      <c r="V1165" s="177" t="e">
        <f>IF(C1165="",NA(),IF(OR(C1165="Smelter not listed",C1165="Smelter not yet identified"),MATCH($B1165&amp;$D1165,'Smelter Look-up'!$J:$J,0),MATCH($B1165&amp;$C1165,'Smelter Look-up'!$J:$J,0)))</f>
        <v>#N/A</v>
      </c>
      <c r="AB1165" s="178"/>
    </row>
    <row r="1166" spans="1:28" s="140" customFormat="1" ht="20.25">
      <c r="A1166" s="167"/>
      <c r="B1166" s="168" t="str">
        <f>IF(LEN(A1166)=0,"",INDEX('Smelter Look-up'!$A:$A,MATCH($A1166,'Smelter Look-up'!$E:$E,0)))</f>
        <v/>
      </c>
      <c r="C1166" s="169" t="str">
        <f>IF(LEN(A1166)=0,"",INDEX('Smelter Look-up'!$C:$C,MATCH($A1166,'Smelter Look-up'!$E:$E,0)))</f>
        <v/>
      </c>
      <c r="D1166" s="170"/>
      <c r="E1166" s="168" t="str">
        <f ca="1">IF(ISERROR($V1166),"",OFFSET('Smelter Look-up'!$D$4,$V1166-4,0)&amp;"")</f>
        <v/>
      </c>
      <c r="F1166" s="168" t="str">
        <f ca="1">IF(ISERROR($V1166),"",OFFSET('Smelter Look-up'!$E$4,$V1166-4,0))</f>
        <v/>
      </c>
      <c r="G1166" s="168" t="str">
        <f ca="1">IF(C1166=$X$4,IF(ISERROR($V1166),"Enter smelter details","RMI"),IF(ISERROR($V1166),"",OFFSET('Smelter Look-up'!$F$4,$V1166-4,0)))</f>
        <v/>
      </c>
      <c r="H1166" s="171" t="str">
        <f ca="1">IF(ISERROR($V1166),"",OFFSET('Smelter Look-up'!$G$4,$V1166-4,0))</f>
        <v/>
      </c>
      <c r="I1166" s="172" t="str">
        <f ca="1">IF(ISERROR($V1166),"",OFFSET('Smelter Look-up'!$H$4,$V1166-4,0))</f>
        <v/>
      </c>
      <c r="J1166" s="172" t="str">
        <f ca="1">IF(ISERROR($V1166),"",OFFSET('Smelter Look-up'!$I$4,$V1166-4,0))</f>
        <v/>
      </c>
      <c r="K1166" s="173"/>
      <c r="L1166" s="173"/>
      <c r="M1166" s="173"/>
      <c r="N1166" s="173"/>
      <c r="O1166" s="173"/>
      <c r="P1166" s="174"/>
      <c r="Q1166" s="175"/>
      <c r="R1166" s="168" t="str">
        <f ca="1">IF(ISERROR($V1166),"",OFFSET('Smelter Look-up'!$C$4,$V1166-4,0)&amp;"")</f>
        <v/>
      </c>
      <c r="S1166" s="167" t="str">
        <f t="shared" ca="1" si="105"/>
        <v/>
      </c>
      <c r="T1166" s="167" t="str">
        <f ca="1">IF(B1166="","",IF(ISERROR(MATCH($J1166,SorP!$B$1:$B$6230,0)),"",INDIRECT("'SorP'!$A$"&amp;MATCH($J1166,SorP!$B$1:$B$6230,0))))</f>
        <v/>
      </c>
      <c r="U1166" s="176"/>
      <c r="V1166" s="177" t="e">
        <f>IF(C1166="",NA(),IF(OR(C1166="Smelter not listed",C1166="Smelter not yet identified"),MATCH($B1166&amp;$D1166,'Smelter Look-up'!$J:$J,0),MATCH($B1166&amp;$C1166,'Smelter Look-up'!$J:$J,0)))</f>
        <v>#N/A</v>
      </c>
      <c r="AB1166" s="178"/>
    </row>
    <row r="1167" spans="1:28" s="140" customFormat="1" ht="20.25">
      <c r="A1167" s="167"/>
      <c r="B1167" s="168" t="str">
        <f>IF(LEN(A1167)=0,"",INDEX('Smelter Look-up'!$A:$A,MATCH($A1167,'Smelter Look-up'!$E:$E,0)))</f>
        <v/>
      </c>
      <c r="C1167" s="169" t="str">
        <f>IF(LEN(A1167)=0,"",INDEX('Smelter Look-up'!$C:$C,MATCH($A1167,'Smelter Look-up'!$E:$E,0)))</f>
        <v/>
      </c>
      <c r="D1167" s="170"/>
      <c r="E1167" s="168" t="str">
        <f ca="1">IF(ISERROR($V1167),"",OFFSET('Smelter Look-up'!$D$4,$V1167-4,0)&amp;"")</f>
        <v/>
      </c>
      <c r="F1167" s="168" t="str">
        <f ca="1">IF(ISERROR($V1167),"",OFFSET('Smelter Look-up'!$E$4,$V1167-4,0))</f>
        <v/>
      </c>
      <c r="G1167" s="168" t="str">
        <f ca="1">IF(C1167=$X$4,IF(ISERROR($V1167),"Enter smelter details","RMI"),IF(ISERROR($V1167),"",OFFSET('Smelter Look-up'!$F$4,$V1167-4,0)))</f>
        <v/>
      </c>
      <c r="H1167" s="171" t="str">
        <f ca="1">IF(ISERROR($V1167),"",OFFSET('Smelter Look-up'!$G$4,$V1167-4,0))</f>
        <v/>
      </c>
      <c r="I1167" s="172" t="str">
        <f ca="1">IF(ISERROR($V1167),"",OFFSET('Smelter Look-up'!$H$4,$V1167-4,0))</f>
        <v/>
      </c>
      <c r="J1167" s="172" t="str">
        <f ca="1">IF(ISERROR($V1167),"",OFFSET('Smelter Look-up'!$I$4,$V1167-4,0))</f>
        <v/>
      </c>
      <c r="K1167" s="173"/>
      <c r="L1167" s="173"/>
      <c r="M1167" s="173"/>
      <c r="N1167" s="173"/>
      <c r="O1167" s="173"/>
      <c r="P1167" s="174"/>
      <c r="Q1167" s="175"/>
      <c r="R1167" s="168" t="str">
        <f ca="1">IF(ISERROR($V1167),"",OFFSET('Smelter Look-up'!$C$4,$V1167-4,0)&amp;"")</f>
        <v/>
      </c>
      <c r="S1167" s="167" t="str">
        <f t="shared" ca="1" si="105"/>
        <v/>
      </c>
      <c r="T1167" s="167" t="str">
        <f ca="1">IF(B1167="","",IF(ISERROR(MATCH($J1167,SorP!$B$1:$B$6230,0)),"",INDIRECT("'SorP'!$A$"&amp;MATCH($J1167,SorP!$B$1:$B$6230,0))))</f>
        <v/>
      </c>
      <c r="U1167" s="176"/>
      <c r="V1167" s="177" t="e">
        <f>IF(C1167="",NA(),IF(OR(C1167="Smelter not listed",C1167="Smelter not yet identified"),MATCH($B1167&amp;$D1167,'Smelter Look-up'!$J:$J,0),MATCH($B1167&amp;$C1167,'Smelter Look-up'!$J:$J,0)))</f>
        <v>#N/A</v>
      </c>
      <c r="AB1167" s="178"/>
    </row>
    <row r="1168" spans="1:28" s="140" customFormat="1" ht="20.25">
      <c r="A1168" s="167"/>
      <c r="B1168" s="168" t="str">
        <f>IF(LEN(A1168)=0,"",INDEX('Smelter Look-up'!$A:$A,MATCH($A1168,'Smelter Look-up'!$E:$E,0)))</f>
        <v/>
      </c>
      <c r="C1168" s="169" t="str">
        <f>IF(LEN(A1168)=0,"",INDEX('Smelter Look-up'!$C:$C,MATCH($A1168,'Smelter Look-up'!$E:$E,0)))</f>
        <v/>
      </c>
      <c r="D1168" s="170"/>
      <c r="E1168" s="168" t="str">
        <f ca="1">IF(ISERROR($V1168),"",OFFSET('Smelter Look-up'!$D$4,$V1168-4,0)&amp;"")</f>
        <v/>
      </c>
      <c r="F1168" s="168" t="str">
        <f ca="1">IF(ISERROR($V1168),"",OFFSET('Smelter Look-up'!$E$4,$V1168-4,0))</f>
        <v/>
      </c>
      <c r="G1168" s="168" t="str">
        <f ca="1">IF(C1168=$X$4,IF(ISERROR($V1168),"Enter smelter details","RMI"),IF(ISERROR($V1168),"",OFFSET('Smelter Look-up'!$F$4,$V1168-4,0)))</f>
        <v/>
      </c>
      <c r="H1168" s="171" t="str">
        <f ca="1">IF(ISERROR($V1168),"",OFFSET('Smelter Look-up'!$G$4,$V1168-4,0))</f>
        <v/>
      </c>
      <c r="I1168" s="172" t="str">
        <f ca="1">IF(ISERROR($V1168),"",OFFSET('Smelter Look-up'!$H$4,$V1168-4,0))</f>
        <v/>
      </c>
      <c r="J1168" s="172" t="str">
        <f ca="1">IF(ISERROR($V1168),"",OFFSET('Smelter Look-up'!$I$4,$V1168-4,0))</f>
        <v/>
      </c>
      <c r="K1168" s="173"/>
      <c r="L1168" s="173"/>
      <c r="M1168" s="173"/>
      <c r="N1168" s="173"/>
      <c r="O1168" s="173"/>
      <c r="P1168" s="174"/>
      <c r="Q1168" s="175"/>
      <c r="R1168" s="168" t="str">
        <f ca="1">IF(ISERROR($V1168),"",OFFSET('Smelter Look-up'!$C$4,$V1168-4,0)&amp;"")</f>
        <v/>
      </c>
      <c r="S1168" s="167" t="str">
        <f t="shared" ca="1" si="105"/>
        <v/>
      </c>
      <c r="T1168" s="167" t="str">
        <f ca="1">IF(B1168="","",IF(ISERROR(MATCH($J1168,SorP!$B$1:$B$6230,0)),"",INDIRECT("'SorP'!$A$"&amp;MATCH($J1168,SorP!$B$1:$B$6230,0))))</f>
        <v/>
      </c>
      <c r="U1168" s="176"/>
      <c r="V1168" s="177" t="e">
        <f>IF(C1168="",NA(),IF(OR(C1168="Smelter not listed",C1168="Smelter not yet identified"),MATCH($B1168&amp;$D1168,'Smelter Look-up'!$J:$J,0),MATCH($B1168&amp;$C1168,'Smelter Look-up'!$J:$J,0)))</f>
        <v>#N/A</v>
      </c>
      <c r="AB1168" s="178"/>
    </row>
    <row r="1169" spans="1:28" s="140" customFormat="1" ht="20.25">
      <c r="A1169" s="167"/>
      <c r="B1169" s="168" t="str">
        <f>IF(LEN(A1169)=0,"",INDEX('Smelter Look-up'!$A:$A,MATCH($A1169,'Smelter Look-up'!$E:$E,0)))</f>
        <v/>
      </c>
      <c r="C1169" s="169" t="str">
        <f>IF(LEN(A1169)=0,"",INDEX('Smelter Look-up'!$C:$C,MATCH($A1169,'Smelter Look-up'!$E:$E,0)))</f>
        <v/>
      </c>
      <c r="D1169" s="170"/>
      <c r="E1169" s="168" t="str">
        <f ca="1">IF(ISERROR($V1169),"",OFFSET('Smelter Look-up'!$D$4,$V1169-4,0)&amp;"")</f>
        <v/>
      </c>
      <c r="F1169" s="168" t="str">
        <f ca="1">IF(ISERROR($V1169),"",OFFSET('Smelter Look-up'!$E$4,$V1169-4,0))</f>
        <v/>
      </c>
      <c r="G1169" s="168" t="str">
        <f ca="1">IF(C1169=$X$4,IF(ISERROR($V1169),"Enter smelter details","RMI"),IF(ISERROR($V1169),"",OFFSET('Smelter Look-up'!$F$4,$V1169-4,0)))</f>
        <v/>
      </c>
      <c r="H1169" s="171" t="str">
        <f ca="1">IF(ISERROR($V1169),"",OFFSET('Smelter Look-up'!$G$4,$V1169-4,0))</f>
        <v/>
      </c>
      <c r="I1169" s="172" t="str">
        <f ca="1">IF(ISERROR($V1169),"",OFFSET('Smelter Look-up'!$H$4,$V1169-4,0))</f>
        <v/>
      </c>
      <c r="J1169" s="172" t="str">
        <f ca="1">IF(ISERROR($V1169),"",OFFSET('Smelter Look-up'!$I$4,$V1169-4,0))</f>
        <v/>
      </c>
      <c r="K1169" s="173"/>
      <c r="L1169" s="173"/>
      <c r="M1169" s="173"/>
      <c r="N1169" s="173"/>
      <c r="O1169" s="173"/>
      <c r="P1169" s="174"/>
      <c r="Q1169" s="175"/>
      <c r="R1169" s="168" t="str">
        <f ca="1">IF(ISERROR($V1169),"",OFFSET('Smelter Look-up'!$C$4,$V1169-4,0)&amp;"")</f>
        <v/>
      </c>
      <c r="S1169" s="167" t="str">
        <f t="shared" ca="1" si="105"/>
        <v/>
      </c>
      <c r="T1169" s="167" t="str">
        <f ca="1">IF(B1169="","",IF(ISERROR(MATCH($J1169,SorP!$B$1:$B$6230,0)),"",INDIRECT("'SorP'!$A$"&amp;MATCH($J1169,SorP!$B$1:$B$6230,0))))</f>
        <v/>
      </c>
      <c r="U1169" s="176"/>
      <c r="V1169" s="177" t="e">
        <f>IF(C1169="",NA(),IF(OR(C1169="Smelter not listed",C1169="Smelter not yet identified"),MATCH($B1169&amp;$D1169,'Smelter Look-up'!$J:$J,0),MATCH($B1169&amp;$C1169,'Smelter Look-up'!$J:$J,0)))</f>
        <v>#N/A</v>
      </c>
      <c r="AB1169" s="178"/>
    </row>
    <row r="1170" spans="1:28" s="140" customFormat="1" ht="20.25">
      <c r="A1170" s="167"/>
      <c r="B1170" s="168" t="str">
        <f>IF(LEN(A1170)=0,"",INDEX('Smelter Look-up'!$A:$A,MATCH($A1170,'Smelter Look-up'!$E:$E,0)))</f>
        <v/>
      </c>
      <c r="C1170" s="169" t="str">
        <f>IF(LEN(A1170)=0,"",INDEX('Smelter Look-up'!$C:$C,MATCH($A1170,'Smelter Look-up'!$E:$E,0)))</f>
        <v/>
      </c>
      <c r="D1170" s="170"/>
      <c r="E1170" s="168" t="str">
        <f ca="1">IF(ISERROR($V1170),"",OFFSET('Smelter Look-up'!$D$4,$V1170-4,0)&amp;"")</f>
        <v/>
      </c>
      <c r="F1170" s="168" t="str">
        <f ca="1">IF(ISERROR($V1170),"",OFFSET('Smelter Look-up'!$E$4,$V1170-4,0))</f>
        <v/>
      </c>
      <c r="G1170" s="168" t="str">
        <f ca="1">IF(C1170=$X$4,IF(ISERROR($V1170),"Enter smelter details","RMI"),IF(ISERROR($V1170),"",OFFSET('Smelter Look-up'!$F$4,$V1170-4,0)))</f>
        <v/>
      </c>
      <c r="H1170" s="171" t="str">
        <f ca="1">IF(ISERROR($V1170),"",OFFSET('Smelter Look-up'!$G$4,$V1170-4,0))</f>
        <v/>
      </c>
      <c r="I1170" s="172" t="str">
        <f ca="1">IF(ISERROR($V1170),"",OFFSET('Smelter Look-up'!$H$4,$V1170-4,0))</f>
        <v/>
      </c>
      <c r="J1170" s="172" t="str">
        <f ca="1">IF(ISERROR($V1170),"",OFFSET('Smelter Look-up'!$I$4,$V1170-4,0))</f>
        <v/>
      </c>
      <c r="K1170" s="173"/>
      <c r="L1170" s="173"/>
      <c r="M1170" s="173"/>
      <c r="N1170" s="173"/>
      <c r="O1170" s="173"/>
      <c r="P1170" s="174"/>
      <c r="Q1170" s="175"/>
      <c r="R1170" s="168" t="str">
        <f ca="1">IF(ISERROR($V1170),"",OFFSET('Smelter Look-up'!$C$4,$V1170-4,0)&amp;"")</f>
        <v/>
      </c>
      <c r="S1170" s="167" t="str">
        <f t="shared" ca="1" si="105"/>
        <v/>
      </c>
      <c r="T1170" s="167" t="str">
        <f ca="1">IF(B1170="","",IF(ISERROR(MATCH($J1170,SorP!$B$1:$B$6230,0)),"",INDIRECT("'SorP'!$A$"&amp;MATCH($J1170,SorP!$B$1:$B$6230,0))))</f>
        <v/>
      </c>
      <c r="U1170" s="176"/>
      <c r="V1170" s="177" t="e">
        <f>IF(C1170="",NA(),IF(OR(C1170="Smelter not listed",C1170="Smelter not yet identified"),MATCH($B1170&amp;$D1170,'Smelter Look-up'!$J:$J,0),MATCH($B1170&amp;$C1170,'Smelter Look-up'!$J:$J,0)))</f>
        <v>#N/A</v>
      </c>
      <c r="AB1170" s="178"/>
    </row>
    <row r="1171" spans="1:28" s="140" customFormat="1" ht="20.25">
      <c r="A1171" s="167"/>
      <c r="B1171" s="168" t="str">
        <f>IF(LEN(A1171)=0,"",INDEX('Smelter Look-up'!$A:$A,MATCH($A1171,'Smelter Look-up'!$E:$E,0)))</f>
        <v/>
      </c>
      <c r="C1171" s="169" t="str">
        <f>IF(LEN(A1171)=0,"",INDEX('Smelter Look-up'!$C:$C,MATCH($A1171,'Smelter Look-up'!$E:$E,0)))</f>
        <v/>
      </c>
      <c r="D1171" s="170"/>
      <c r="E1171" s="168" t="str">
        <f ca="1">IF(ISERROR($V1171),"",OFFSET('Smelter Look-up'!$D$4,$V1171-4,0)&amp;"")</f>
        <v/>
      </c>
      <c r="F1171" s="168" t="str">
        <f ca="1">IF(ISERROR($V1171),"",OFFSET('Smelter Look-up'!$E$4,$V1171-4,0))</f>
        <v/>
      </c>
      <c r="G1171" s="168" t="str">
        <f ca="1">IF(C1171=$X$4,IF(ISERROR($V1171),"Enter smelter details","RMI"),IF(ISERROR($V1171),"",OFFSET('Smelter Look-up'!$F$4,$V1171-4,0)))</f>
        <v/>
      </c>
      <c r="H1171" s="171" t="str">
        <f ca="1">IF(ISERROR($V1171),"",OFFSET('Smelter Look-up'!$G$4,$V1171-4,0))</f>
        <v/>
      </c>
      <c r="I1171" s="172" t="str">
        <f ca="1">IF(ISERROR($V1171),"",OFFSET('Smelter Look-up'!$H$4,$V1171-4,0))</f>
        <v/>
      </c>
      <c r="J1171" s="172" t="str">
        <f ca="1">IF(ISERROR($V1171),"",OFFSET('Smelter Look-up'!$I$4,$V1171-4,0))</f>
        <v/>
      </c>
      <c r="K1171" s="173"/>
      <c r="L1171" s="173"/>
      <c r="M1171" s="173"/>
      <c r="N1171" s="173"/>
      <c r="O1171" s="173"/>
      <c r="P1171" s="174"/>
      <c r="Q1171" s="175"/>
      <c r="R1171" s="168" t="str">
        <f ca="1">IF(ISERROR($V1171),"",OFFSET('Smelter Look-up'!$C$4,$V1171-4,0)&amp;"")</f>
        <v/>
      </c>
      <c r="S1171" s="167" t="str">
        <f t="shared" ca="1" si="105"/>
        <v/>
      </c>
      <c r="T1171" s="167" t="str">
        <f ca="1">IF(B1171="","",IF(ISERROR(MATCH($J1171,SorP!$B$1:$B$6230,0)),"",INDIRECT("'SorP'!$A$"&amp;MATCH($J1171,SorP!$B$1:$B$6230,0))))</f>
        <v/>
      </c>
      <c r="U1171" s="176"/>
      <c r="V1171" s="177" t="e">
        <f>IF(C1171="",NA(),IF(OR(C1171="Smelter not listed",C1171="Smelter not yet identified"),MATCH($B1171&amp;$D1171,'Smelter Look-up'!$J:$J,0),MATCH($B1171&amp;$C1171,'Smelter Look-up'!$J:$J,0)))</f>
        <v>#N/A</v>
      </c>
      <c r="X1171" s="140">
        <f ca="1">IF(AND(C1171="Smelter not listed",OR(LEN(D1171)=0,LEN(E1171)=0)),1,0)</f>
        <v>0</v>
      </c>
      <c r="AB1171" s="178" t="str">
        <f>B1171&amp;C1171</f>
        <v/>
      </c>
    </row>
    <row r="1172" spans="1:28" ht="13.5" thickBot="1">
      <c r="A1172" s="179"/>
      <c r="B1172" s="180"/>
      <c r="C1172" s="180"/>
      <c r="D1172" s="181"/>
      <c r="E1172" s="181"/>
      <c r="F1172" s="181"/>
      <c r="G1172" s="181"/>
      <c r="H1172" s="181"/>
      <c r="I1172" s="181"/>
      <c r="J1172" s="181"/>
      <c r="K1172" s="181"/>
      <c r="L1172" s="181"/>
      <c r="M1172" s="181"/>
      <c r="N1172" s="181"/>
      <c r="O1172" s="181"/>
      <c r="P1172" s="181"/>
      <c r="Q1172" s="182"/>
      <c r="R1172" s="168"/>
      <c r="S1172" s="167" t="str">
        <f t="shared" ca="1" si="105"/>
        <v/>
      </c>
      <c r="T1172" s="167" t="str">
        <f ca="1">IF(B1172="","",IF(ISERROR(MATCH($J1172,SorP!$B$1:$B$6230,0)),"",INDIRECT("'SorP'!$A$"&amp;MATCH($J1172,SorP!$B$1:$B$6230,0))))</f>
        <v/>
      </c>
      <c r="AB1172" s="140" t="str">
        <f>B1172&amp;C1172</f>
        <v/>
      </c>
    </row>
    <row r="1173" spans="1:28" ht="13.5" thickTop="1"/>
  </sheetData>
  <sheetProtection algorithmName="SHA-512" hashValue="mn1+VsP8c1+W+Vb5NFg+2X3H0G8LLTfYdeajZu8ob6wtznV4yOaJN+TeCKUUB1L7JjhKxB/UrK+T2lTQe6z0cQ==" saltValue="LnCl4FtrpWUjUmm2bo0sRQ==" spinCount="100000" sheet="1" formatRows="0" deleteRows="0" autoFilter="0"/>
  <autoFilter ref="A4:Q1172" xr:uid="{00000000-0009-0000-0000-000004000000}"/>
  <mergeCells count="3">
    <mergeCell ref="J2:O2"/>
    <mergeCell ref="B3:E3"/>
    <mergeCell ref="G3:I3"/>
  </mergeCells>
  <conditionalFormatting sqref="D5:D1171">
    <cfRule type="expression" dxfId="24" priority="1" stopIfTrue="1">
      <formula>IF(AND(LEN($C5)&gt;0,AND($C5&lt;&gt;"Smelter Not Listed",ISBLANK($D5))),1,0)</formula>
    </cfRule>
    <cfRule type="expression" dxfId="23" priority="2" stopIfTrue="1">
      <formula>IF(AND(D5="",$C5=$X$4),TRUE)</formula>
    </cfRule>
    <cfRule type="expression" dxfId="22" priority="3" stopIfTrue="1">
      <formula>IF(FIND("!",D5),TRUE)</formula>
    </cfRule>
  </conditionalFormatting>
  <conditionalFormatting sqref="G5:G1171">
    <cfRule type="expression" dxfId="21" priority="4" stopIfTrue="1">
      <formula>IF(FIND("Enter smelter details",G5),TRUE)</formula>
    </cfRule>
  </conditionalFormatting>
  <conditionalFormatting sqref="C5:C1171">
    <cfRule type="expression" dxfId="20" priority="5" stopIfTrue="1">
      <formula>IF(AND(B5&lt;&gt;"",C5=""),TRUE)</formula>
    </cfRule>
  </conditionalFormatting>
  <conditionalFormatting sqref="F5:F1171">
    <cfRule type="expression" dxfId="19" priority="6" stopIfTrue="1">
      <formula>IF(AND(LEN($A5)&gt;0,$A5&lt;&gt;$F5),TRUE,FALSE)</formula>
    </cfRule>
  </conditionalFormatting>
  <conditionalFormatting sqref="B5:B1171">
    <cfRule type="expression" dxfId="18" priority="7" stopIfTrue="1">
      <formula>IF(B5="",TRUE)</formula>
    </cfRule>
    <cfRule type="expression" dxfId="17" priority="10" stopIfTrue="1">
      <formula>IF(AND(COUNTIF(MetalSmelter,B5&amp;C5)=0,LEN(C5)&gt;0),TRUE,FALSE)</formula>
    </cfRule>
  </conditionalFormatting>
  <conditionalFormatting sqref="R5:R1172 E5:E1171">
    <cfRule type="expression" dxfId="16" priority="8" stopIfTrue="1">
      <formula>IF(AND(E5="",$C5=$X$4),TRUE)</formula>
    </cfRule>
    <cfRule type="expression" dxfId="15" priority="9" stopIfTrue="1">
      <formula>IF(FIND("!",E5),TRUE)</formula>
    </cfRule>
  </conditionalFormatting>
  <dataValidations count="5">
    <dataValidation type="list" allowBlank="1" showInputMessage="1" showErrorMessage="1" sqref="B5:B1171" xr:uid="{00000000-0002-0000-0400-000000000000}">
      <formula1>Metal</formula1>
    </dataValidation>
    <dataValidation showErrorMessage="1" sqref="F5:G1171" xr:uid="{00000000-0002-0000-0400-000001000000}"/>
    <dataValidation type="list" showInputMessage="1" showErrorMessage="1" sqref="C5:C1171" xr:uid="{00000000-0002-0000-0400-000002000000}">
      <formula1>SN</formula1>
    </dataValidation>
    <dataValidation type="list" allowBlank="1" showInputMessage="1" showErrorMessage="1" sqref="E5:E1171" xr:uid="{00000000-0002-0000-0400-000003000000}">
      <formula1>CL</formula1>
    </dataValidation>
    <dataValidation type="list" allowBlank="1" showInputMessage="1" showErrorMessage="1" sqref="P5:P1171"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oddFooter xml:space="preserve">&amp;L_x000D_&amp;1#&amp;"Calibri"&amp;8&amp;K000000  Rockwell Automation Company 'Internal' </oddFoot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Normal="100" workbookViewId="0">
      <pane xSplit="1" ySplit="3" topLeftCell="B4" activePane="bottomRight" state="frozen"/>
      <selection pane="topRight"/>
      <selection pane="bottomLeft"/>
      <selection pane="bottomRight" activeCell="A69" sqref="A69"/>
    </sheetView>
  </sheetViews>
  <sheetFormatPr defaultColWidth="8.875" defaultRowHeight="12.75"/>
  <cols>
    <col min="1" max="1" width="45.125" style="183" customWidth="1"/>
    <col min="2" max="2" width="42.875" style="184" customWidth="1"/>
    <col min="3" max="3" width="51.625" style="183" customWidth="1"/>
    <col min="4" max="4" width="29.125" style="184" customWidth="1"/>
    <col min="5" max="5" width="9" style="183" customWidth="1"/>
    <col min="6" max="6" width="13.625" style="183" hidden="1" customWidth="1"/>
    <col min="7" max="7" width="13.375" style="183" hidden="1" customWidth="1"/>
    <col min="8" max="9" width="9" style="183" hidden="1" customWidth="1"/>
    <col min="10" max="10" width="48.875" style="183" hidden="1" customWidth="1"/>
    <col min="11" max="11" width="9" style="183" hidden="1" customWidth="1"/>
    <col min="12" max="15" width="8.875" style="183" hidden="1" customWidth="1"/>
    <col min="16" max="16" width="8.875" style="183" customWidth="1"/>
    <col min="17" max="16384" width="8.875" style="183"/>
  </cols>
  <sheetData>
    <row r="1" spans="1:10" ht="30">
      <c r="A1" s="385" t="str">
        <f ca="1">OFFSET(L!$C$1,MATCH("Checker"&amp;ADDRESS(ROW(),COLUMN(),4),L!$A:$A,0)-1,SL,,)</f>
        <v>To ensure all required fields have been populated before submitting to your customers review form for any line items highlighted in red</v>
      </c>
      <c r="B1" s="385"/>
      <c r="C1" s="385"/>
      <c r="D1" s="185" t="str">
        <f ca="1">OFFSET(L!$C$1,MATCH("Checker"&amp;ADDRESS(ROW(),COLUMN(),4),L!$A:$A,0)-1,SL,,)</f>
        <v>Required fields remaining to be completed</v>
      </c>
      <c r="E1" s="184" t="s">
        <v>97</v>
      </c>
    </row>
    <row r="2" spans="1:10" ht="15">
      <c r="A2" s="186" t="s">
        <v>3233</v>
      </c>
      <c r="B2" s="187" t="str">
        <f>IF(F65=1,"Click here to return to Smelter List","")</f>
        <v>Click here to return to Smelter List</v>
      </c>
      <c r="C2" s="188" t="str">
        <f>IF(F65=1,"Click here to return to Product List","")</f>
        <v>Click here to return to Product List</v>
      </c>
      <c r="D2" s="189" t="str">
        <f ca="1">IF(H70=0,"0",H70)</f>
        <v>0</v>
      </c>
    </row>
    <row r="3" spans="1:10" ht="15">
      <c r="A3" s="190" t="str">
        <f ca="1">OFFSET(L!$C$1,MATCH("Checker"&amp;ADDRESS(ROW(),COLUMN(),4),L!$A:$A,0)-1,SL,,)</f>
        <v>Required Fields</v>
      </c>
      <c r="B3" s="190" t="str">
        <f ca="1">OFFSET(L!$C$1,MATCH("Checker"&amp;ADDRESS(ROW(),COLUMN(),4),L!$A:$A,0)-1,SL,,)</f>
        <v>Answer provided</v>
      </c>
      <c r="C3" s="190" t="str">
        <f ca="1">OFFSET(L!$C$1,MATCH("Checker"&amp;ADDRESS(ROW(),COLUMN(),4),L!$A:$A,0)-1,SL,,)</f>
        <v>Notes</v>
      </c>
      <c r="D3" s="190" t="str">
        <f ca="1">OFFSET(L!$C$1,MATCH("Checker"&amp;ADDRESS(ROW(),COLUMN(),4),L!$A:$A,0)-1,SL,,)</f>
        <v>Hyperlink to source</v>
      </c>
      <c r="F3" s="191" t="s">
        <v>3234</v>
      </c>
      <c r="G3" s="183" t="s">
        <v>3235</v>
      </c>
      <c r="H3" s="183" t="s">
        <v>3236</v>
      </c>
      <c r="I3" s="183" t="s">
        <v>3237</v>
      </c>
      <c r="J3" s="183" t="s">
        <v>3238</v>
      </c>
    </row>
    <row r="4" spans="1:10" ht="39">
      <c r="A4" s="192" t="str">
        <f ca="1">Declaration!B8</f>
        <v>Company Name (*):</v>
      </c>
      <c r="B4" s="193" t="str">
        <f>Declaration!D8</f>
        <v>Sprecher + Schuh</v>
      </c>
      <c r="C4" s="193" t="str">
        <f t="shared" ref="C4:C12" ca="1" si="0">IF(H4=1,J4,I4)</f>
        <v>Complete</v>
      </c>
      <c r="D4" s="194" t="str">
        <f>IF(H4=1,"Click here to enter Company Name","")</f>
        <v/>
      </c>
      <c r="E4" s="184" t="s">
        <v>100</v>
      </c>
      <c r="F4" s="195">
        <v>1</v>
      </c>
      <c r="G4" s="196">
        <f>IF(B4=0,1,0)</f>
        <v>0</v>
      </c>
      <c r="H4" s="197">
        <f t="shared" ref="H4:H17" si="1">F4*G4</f>
        <v>0</v>
      </c>
      <c r="I4" s="198" t="str">
        <f ca="1">OFFSET(L!$C$1,MATCH("Checker"&amp;"Comp",L!$A:$A,0)-1,SL,,)</f>
        <v>Complete</v>
      </c>
      <c r="J4" s="199" t="str">
        <f ca="1">OFFSET(L!$C$1,MATCH("Checker"&amp;ADDRESS(ROW(),COLUMN(),4),L!$A:$A,0)-1,SL,,)</f>
        <v>Provide your company name on the Declaration tab cell D8</v>
      </c>
    </row>
    <row r="5" spans="1:10" ht="39">
      <c r="A5" s="192" t="str">
        <f ca="1">Declaration!B9</f>
        <v>Declaration Scope or Class (*):</v>
      </c>
      <c r="B5" s="193" t="str">
        <f>Declaration!D9</f>
        <v>A. Company</v>
      </c>
      <c r="C5" s="193" t="str">
        <f t="shared" ca="1" si="0"/>
        <v>Complete</v>
      </c>
      <c r="D5" s="194" t="str">
        <f>IF(H5=1,"Click here to enter Declaration Scope","")</f>
        <v/>
      </c>
      <c r="E5" s="184" t="s">
        <v>100</v>
      </c>
      <c r="F5" s="195">
        <v>1</v>
      </c>
      <c r="G5" s="196">
        <f>IF(B5=0,1,0)</f>
        <v>0</v>
      </c>
      <c r="H5" s="197">
        <f t="shared" si="1"/>
        <v>0</v>
      </c>
      <c r="I5" s="198" t="str">
        <f ca="1">OFFSET(L!$C$1,MATCH("Checker"&amp;"Comp",L!$A:$A,0)-1,SL,,)</f>
        <v>Complete</v>
      </c>
      <c r="J5" s="199" t="str">
        <f ca="1">OFFSET(L!$C$1,MATCH("Checker"&amp;ADDRESS(ROW(),COLUMN(),4),L!$A:$A,0)-1,SL,,)</f>
        <v>Select the scope of declaration on the Declaration tab cell D9</v>
      </c>
    </row>
    <row r="6" spans="1:10" ht="39">
      <c r="A6" s="192" t="str">
        <f ca="1">Declaration!B10</f>
        <v>Description of Scope:</v>
      </c>
      <c r="B6" s="193" t="str">
        <f>Declaration!D10</f>
        <v/>
      </c>
      <c r="C6" s="193" t="str">
        <f t="shared" ca="1" si="0"/>
        <v>Complete</v>
      </c>
      <c r="D6" s="194" t="str">
        <f>IF(H6=1,"Click here to provide a Description of Scope","")</f>
        <v/>
      </c>
      <c r="E6" s="184" t="s">
        <v>100</v>
      </c>
      <c r="F6" s="200">
        <f>IF(OR(B5=Declaration!P9,B5=Declaration!Q9,B5=0),0,1)</f>
        <v>0</v>
      </c>
      <c r="G6" s="196">
        <f>IF(B6=0,1,0)</f>
        <v>0</v>
      </c>
      <c r="H6" s="197">
        <f t="shared" si="1"/>
        <v>0</v>
      </c>
      <c r="I6" s="198" t="str">
        <f ca="1">OFFSET(L!$C$1,MATCH("Checker"&amp;"Comp",L!$A:$A,0)-1,SL,,)</f>
        <v>Complete</v>
      </c>
      <c r="J6" s="183" t="str">
        <f ca="1">OFFSET(L!$C$1,MATCH("Checker"&amp;ADDRESS(ROW(),COLUMN(),4),L!$A:$A,0)-1,SL,,)</f>
        <v>Provide description of scope on Declaration tab cell D10</v>
      </c>
    </row>
    <row r="7" spans="1:10" ht="39">
      <c r="A7" s="192" t="str">
        <f ca="1">Declaration!B15</f>
        <v>Contact Name (*):</v>
      </c>
      <c r="B7" s="193" t="str">
        <f>Declaration!D15</f>
        <v>Jimmy Alvarez</v>
      </c>
      <c r="C7" s="193" t="str">
        <f t="shared" ca="1" si="0"/>
        <v>Complete</v>
      </c>
      <c r="D7" s="194" t="str">
        <f>IF(H7=1,"Click here to enter Contact Name","")</f>
        <v/>
      </c>
      <c r="E7" s="184" t="s">
        <v>100</v>
      </c>
      <c r="F7" s="195">
        <v>1</v>
      </c>
      <c r="G7" s="196">
        <f>IF(B7=0,1,0)</f>
        <v>0</v>
      </c>
      <c r="H7" s="197">
        <f t="shared" si="1"/>
        <v>0</v>
      </c>
      <c r="I7" s="198" t="str">
        <f ca="1">OFFSET(L!$C$1,MATCH("Checker"&amp;"Comp",L!$A:$A,0)-1,SL,,)</f>
        <v>Complete</v>
      </c>
      <c r="J7" s="183" t="str">
        <f ca="1">OFFSET(L!$C$1,MATCH("Checker"&amp;ADDRESS(ROW(),COLUMN(),4),L!$A:$A,0)-1,SL,,)</f>
        <v>Provide contact name in Declaration tab cell D15</v>
      </c>
    </row>
    <row r="8" spans="1:10" ht="39">
      <c r="A8" s="192" t="str">
        <f ca="1">Declaration!B16</f>
        <v>Email – Contact (*):</v>
      </c>
      <c r="B8" s="193" t="str">
        <f>Declaration!D16</f>
        <v>jalvarez3@ra.rockwell.com</v>
      </c>
      <c r="C8" s="193" t="str">
        <f t="shared" ca="1" si="0"/>
        <v>Complete</v>
      </c>
      <c r="D8" s="194" t="str">
        <f>IF(H8=1,"Click here to enter Email-Contact","")</f>
        <v/>
      </c>
      <c r="E8" s="184" t="s">
        <v>100</v>
      </c>
      <c r="F8" s="195">
        <v>1</v>
      </c>
      <c r="G8" s="196">
        <f>IF(ISNUMBER(SEARCH("@",B8)),0,1)</f>
        <v>0</v>
      </c>
      <c r="H8" s="197">
        <f t="shared" si="1"/>
        <v>0</v>
      </c>
      <c r="I8" s="198" t="str">
        <f ca="1">OFFSET(L!$C$1,MATCH("Checker"&amp;"Comp",L!$A:$A,0)-1,SL,,)</f>
        <v>Complete</v>
      </c>
      <c r="J8" s="183" t="str">
        <f ca="1">OFFSET(L!$C$1,MATCH("Checker"&amp;ADDRESS(ROW(),COLUMN(),4),L!$A:$A,0)-1,SL,,)</f>
        <v>Provide a valid email for contact in Declaration tab cell D16</v>
      </c>
    </row>
    <row r="9" spans="1:10" ht="39">
      <c r="A9" s="192" t="str">
        <f ca="1">Declaration!B17</f>
        <v>Phone – Contact (*):</v>
      </c>
      <c r="B9" s="201" t="str">
        <f>Declaration!D17</f>
        <v>440-264-3330</v>
      </c>
      <c r="C9" s="193" t="str">
        <f t="shared" ca="1" si="0"/>
        <v>Complete</v>
      </c>
      <c r="D9" s="194" t="str">
        <f>IF(H9=1,"Click here to enter Phone-Contact","")</f>
        <v/>
      </c>
      <c r="E9" s="184" t="s">
        <v>100</v>
      </c>
      <c r="F9" s="195">
        <v>1</v>
      </c>
      <c r="G9" s="196">
        <f>IF(B9=0,1,0)</f>
        <v>0</v>
      </c>
      <c r="H9" s="197">
        <f t="shared" si="1"/>
        <v>0</v>
      </c>
      <c r="I9" s="198" t="str">
        <f ca="1">OFFSET(L!$C$1,MATCH("Checker"&amp;"Comp",L!$A:$A,0)-1,SL,,)</f>
        <v>Complete</v>
      </c>
      <c r="J9" s="183" t="str">
        <f ca="1">OFFSET(L!$C$1,MATCH("Checker"&amp;ADDRESS(ROW(),COLUMN(),4),L!$A:$A,0)-1,SL,,)</f>
        <v>Provide a phone number for contact in Declaration tab cell D17</v>
      </c>
    </row>
    <row r="10" spans="1:10" ht="39">
      <c r="A10" s="192" t="str">
        <f ca="1">Declaration!B18</f>
        <v>Authorizer (*):</v>
      </c>
      <c r="B10" s="193" t="str">
        <f>Declaration!D18</f>
        <v>Jimmy Alvarez</v>
      </c>
      <c r="C10" s="193" t="str">
        <f t="shared" ca="1" si="0"/>
        <v>Complete</v>
      </c>
      <c r="D10" s="194" t="str">
        <f>IF(H10=1,"Click here to enter an Authorized Company Representative's name","")</f>
        <v/>
      </c>
      <c r="E10" s="184" t="s">
        <v>100</v>
      </c>
      <c r="F10" s="195">
        <v>1</v>
      </c>
      <c r="G10" s="196">
        <f>IF(B10=0,1,0)</f>
        <v>0</v>
      </c>
      <c r="H10" s="197">
        <f t="shared" si="1"/>
        <v>0</v>
      </c>
      <c r="I10" s="198" t="str">
        <f ca="1">OFFSET(L!$C$1,MATCH("Checker"&amp;"Comp",L!$A:$A,0)-1,SL,,)</f>
        <v>Complete</v>
      </c>
      <c r="J10" s="183" t="str">
        <f ca="1">OFFSET(L!$C$1,MATCH("Checker"&amp;ADDRESS(ROW(),COLUMN(),4),L!$A:$A,0)-1,SL,,)</f>
        <v>Provide authorized company representative contact name in Declaration tab cell D18</v>
      </c>
    </row>
    <row r="11" spans="1:10" ht="39">
      <c r="A11" s="192" t="str">
        <f ca="1">Declaration!B20</f>
        <v>Email - Authorizer (*):</v>
      </c>
      <c r="B11" s="193" t="str">
        <f>Declaration!D20</f>
        <v>jalvarez3@ra.rockwell.com</v>
      </c>
      <c r="C11" s="193" t="str">
        <f t="shared" ca="1" si="0"/>
        <v>Complete</v>
      </c>
      <c r="D11" s="194" t="str">
        <f>IF(H11=1,"Click here to enter Representative's email","")</f>
        <v/>
      </c>
      <c r="E11" s="184" t="s">
        <v>100</v>
      </c>
      <c r="F11" s="195">
        <v>1</v>
      </c>
      <c r="G11" s="196">
        <f>IF(ISNUMBER(SEARCH("@",B11)),0,1)</f>
        <v>0</v>
      </c>
      <c r="H11" s="197">
        <f t="shared" si="1"/>
        <v>0</v>
      </c>
      <c r="I11" s="198" t="str">
        <f ca="1">OFFSET(L!$C$1,MATCH("Checker"&amp;"Comp",L!$A:$A,0)-1,SL,,)</f>
        <v>Complete</v>
      </c>
      <c r="J11" s="183" t="str">
        <f ca="1">OFFSET(L!$C$1,MATCH("Checker"&amp;ADDRESS(ROW(),COLUMN(),4),L!$A:$A,0)-1,SL,,)</f>
        <v>Provide an email for authorized company representative on Declaration tab cell D20</v>
      </c>
    </row>
    <row r="12" spans="1:10" ht="39">
      <c r="A12" s="192" t="str">
        <f ca="1">Declaration!B22</f>
        <v>Effective Date (*):</v>
      </c>
      <c r="B12" s="202" t="str">
        <f>Declaration!D22</f>
        <v>05-May-2023</v>
      </c>
      <c r="C12" s="193" t="str">
        <f t="shared" ca="1" si="0"/>
        <v>Complete</v>
      </c>
      <c r="D12" s="194" t="str">
        <f>IF(H12=1,"Click here to enter Date of Completion","")</f>
        <v/>
      </c>
      <c r="E12" s="184" t="s">
        <v>100</v>
      </c>
      <c r="F12" s="195">
        <v>1</v>
      </c>
      <c r="G12" s="196">
        <f>IF(B12=0,1,0)</f>
        <v>0</v>
      </c>
      <c r="H12" s="197">
        <f t="shared" si="1"/>
        <v>0</v>
      </c>
      <c r="I12" s="198" t="str">
        <f ca="1">OFFSET(L!$C$1,MATCH("Checker"&amp;"Comp",L!$A:$A,0)-1,SL,,)</f>
        <v>Complete</v>
      </c>
      <c r="J12" s="183" t="str">
        <f ca="1">OFFSET(L!$C$1,MATCH("Checker"&amp;ADDRESS(ROW(),COLUMN(),4),L!$A:$A,0)-1,SL,,)</f>
        <v>Provide date the form was completed on Declaration tab cell D22</v>
      </c>
    </row>
    <row r="13" spans="1:10" ht="63.75">
      <c r="A13" s="193" t="str">
        <f ca="1">Declaration!B25</f>
        <v>1) Is any 3TG intentionally added or used in the product(s) or in the production process? (*)</v>
      </c>
      <c r="B13" s="203"/>
      <c r="C13" s="203"/>
      <c r="D13" s="204"/>
      <c r="E13" s="184" t="s">
        <v>102</v>
      </c>
      <c r="F13" s="195"/>
      <c r="H13" s="183">
        <f t="shared" si="1"/>
        <v>0</v>
      </c>
    </row>
    <row r="14" spans="1:10" ht="26.25">
      <c r="A14" s="192" t="str">
        <f ca="1">Declaration!B26</f>
        <v>Tantalum  (*)</v>
      </c>
      <c r="B14" s="193" t="str">
        <f>Declaration!D26</f>
        <v>Yes</v>
      </c>
      <c r="C14" s="193" t="str">
        <f ca="1">IF(H14=1,J14,I14)</f>
        <v>Complete</v>
      </c>
      <c r="D14" s="194" t="str">
        <f>IF(H14=1,"Click here to answer question 1 for Tantalum","")</f>
        <v/>
      </c>
      <c r="E14" s="184" t="s">
        <v>97</v>
      </c>
      <c r="F14" s="195">
        <v>1</v>
      </c>
      <c r="G14" s="196">
        <f>IF(B14=0,1,0)</f>
        <v>0</v>
      </c>
      <c r="H14" s="197">
        <f t="shared" si="1"/>
        <v>0</v>
      </c>
      <c r="I14" s="198" t="str">
        <f ca="1">OFFSET(L!$C$1,MATCH("Checker"&amp;"Comp",L!$A:$A,0)-1,SL,,)</f>
        <v>Complete</v>
      </c>
      <c r="J14" s="199" t="str">
        <f ca="1">OFFSET(L!$C$1,MATCH("Checker"&amp;ADDRESS(ROW(),COLUMN(),4),L!$A:$A,0)-1,SL,,)</f>
        <v>Declare if Tantalum is intentionally added to your products on Declaration tab cell D26</v>
      </c>
    </row>
    <row r="15" spans="1:10" ht="39">
      <c r="A15" s="192" t="str">
        <f ca="1">Declaration!B27</f>
        <v>Tin  (*)</v>
      </c>
      <c r="B15" s="193" t="str">
        <f>Declaration!D27</f>
        <v>Yes</v>
      </c>
      <c r="C15" s="193" t="str">
        <f ca="1">IF(H15=1,J15,I15)</f>
        <v>Complete</v>
      </c>
      <c r="D15" s="194" t="str">
        <f>IF(H15=1,"Click here to answer question 1 for Tin","")</f>
        <v/>
      </c>
      <c r="E15" s="184" t="s">
        <v>100</v>
      </c>
      <c r="F15" s="195">
        <v>1</v>
      </c>
      <c r="G15" s="196">
        <f>IF(B15=0,1,0)</f>
        <v>0</v>
      </c>
      <c r="H15" s="197">
        <f t="shared" si="1"/>
        <v>0</v>
      </c>
      <c r="I15" s="198" t="str">
        <f ca="1">OFFSET(L!$C$1,MATCH("Checker"&amp;"Comp",L!$A:$A,0)-1,SL,,)</f>
        <v>Complete</v>
      </c>
      <c r="J15" s="199" t="str">
        <f ca="1">OFFSET(L!$C$1,MATCH("Checker"&amp;ADDRESS(ROW(),COLUMN(),4),L!$A:$A,0)-1,SL,,)</f>
        <v>Declare if Tin is intentionally added to your products on Declaration tab cell D27</v>
      </c>
    </row>
    <row r="16" spans="1:10" ht="39">
      <c r="A16" s="192" t="str">
        <f ca="1">Declaration!B28</f>
        <v>Gold  (*)</v>
      </c>
      <c r="B16" s="193" t="str">
        <f>Declaration!D28</f>
        <v>Yes</v>
      </c>
      <c r="C16" s="193" t="str">
        <f ca="1">IF(H16=1,J16,I16)</f>
        <v>Complete</v>
      </c>
      <c r="D16" s="194" t="str">
        <f>IF(H16=1,"Click here to answer question 1 for Gold","")</f>
        <v/>
      </c>
      <c r="E16" s="184" t="s">
        <v>100</v>
      </c>
      <c r="F16" s="195">
        <v>1</v>
      </c>
      <c r="G16" s="196">
        <f>IF(B16=0,1,0)</f>
        <v>0</v>
      </c>
      <c r="H16" s="197">
        <f t="shared" si="1"/>
        <v>0</v>
      </c>
      <c r="I16" s="198" t="str">
        <f ca="1">OFFSET(L!$C$1,MATCH("Checker"&amp;"Comp",L!$A:$A,0)-1,SL,,)</f>
        <v>Complete</v>
      </c>
      <c r="J16" s="199" t="str">
        <f ca="1">OFFSET(L!$C$1,MATCH("Checker"&amp;ADDRESS(ROW(),COLUMN(),4),L!$A:$A,0)-1,SL,,)</f>
        <v>Declare if Gold is intentionally added to your products on Declaration tab cell D28</v>
      </c>
    </row>
    <row r="17" spans="1:10" ht="39">
      <c r="A17" s="192" t="str">
        <f ca="1">Declaration!B29</f>
        <v>Tungsten  (*)</v>
      </c>
      <c r="B17" s="193" t="str">
        <f>Declaration!D29</f>
        <v>Yes</v>
      </c>
      <c r="C17" s="193" t="str">
        <f ca="1">IF(H17=1,J17,I17)</f>
        <v>Complete</v>
      </c>
      <c r="D17" s="194" t="str">
        <f>IF(H17=1,"Click here to answer question 1 for Tungsten","")</f>
        <v/>
      </c>
      <c r="E17" s="184" t="s">
        <v>100</v>
      </c>
      <c r="F17" s="195">
        <v>1</v>
      </c>
      <c r="G17" s="196">
        <f>IF(B17=0,1,0)</f>
        <v>0</v>
      </c>
      <c r="H17" s="197">
        <f t="shared" si="1"/>
        <v>0</v>
      </c>
      <c r="I17" s="198" t="str">
        <f ca="1">OFFSET(L!$C$1,MATCH("Checker"&amp;"Comp",L!$A:$A,0)-1,SL,,)</f>
        <v>Complete</v>
      </c>
      <c r="J17" s="199" t="str">
        <f ca="1">OFFSET(L!$C$1,MATCH("Checker"&amp;ADDRESS(ROW(),COLUMN(),4),L!$A:$A,0)-1,SL,,)</f>
        <v>Declare if Tungsten is intentionally added to your products on Declaration tab cell D29</v>
      </c>
    </row>
    <row r="18" spans="1:10" ht="51">
      <c r="A18" s="193" t="str">
        <f ca="1">Declaration!B31</f>
        <v>2) Does any 3TG remain in the product(s)? (*)</v>
      </c>
      <c r="B18" s="203"/>
      <c r="C18" s="203"/>
      <c r="D18" s="204"/>
      <c r="E18" s="184" t="s">
        <v>96</v>
      </c>
      <c r="F18" s="195"/>
      <c r="J18" s="199"/>
    </row>
    <row r="19" spans="1:10" ht="39">
      <c r="A19" s="192" t="str">
        <f ca="1">Declaration!B32</f>
        <v>Tantalum  (*)</v>
      </c>
      <c r="B19" s="193" t="str">
        <f>IF($B$14="Yes",Declaration!D32,0)</f>
        <v>Yes</v>
      </c>
      <c r="C19" s="193" t="str">
        <f ca="1">IF(H19=1,J19,I19)</f>
        <v>Complete</v>
      </c>
      <c r="D19" s="205" t="str">
        <f>IF(H19=1,"Click here to answer question 2 for Tantalum","")</f>
        <v/>
      </c>
      <c r="E19" s="184" t="s">
        <v>100</v>
      </c>
      <c r="F19" s="200">
        <f>IF(B$14="No",0,1)</f>
        <v>1</v>
      </c>
      <c r="G19" s="196">
        <f>IF(B19=0,1,0)</f>
        <v>0</v>
      </c>
      <c r="H19" s="197">
        <f>F19*G19</f>
        <v>0</v>
      </c>
      <c r="I19" s="198" t="str">
        <f ca="1">OFFSET(L!$C$1,MATCH("Checker"&amp;"Comp",L!$A:$A,0)-1,SL,,)</f>
        <v>Complete</v>
      </c>
      <c r="J19" s="199" t="str">
        <f ca="1">OFFSET(L!$C$1,MATCH("Checker"&amp;ADDRESS(ROW(),COLUMN(),4),L!$A:$A,0)-1,SL,,)</f>
        <v>Declare if Tantalum is necessary to the production of your products and contained within the finished products declared in Declaration tab cell D32</v>
      </c>
    </row>
    <row r="20" spans="1:10" ht="39">
      <c r="A20" s="192" t="str">
        <f ca="1">Declaration!B33</f>
        <v>Tin  (*)</v>
      </c>
      <c r="B20" s="193" t="str">
        <f>IF($B$15="Yes",Declaration!D33,0)</f>
        <v>Yes</v>
      </c>
      <c r="C20" s="193" t="str">
        <f ca="1">IF(H20=1,J20,I20)</f>
        <v>Complete</v>
      </c>
      <c r="D20" s="205" t="str">
        <f>IF(H20=1,"Click here to answer question 2 for Tin","")</f>
        <v/>
      </c>
      <c r="E20" s="184" t="s">
        <v>100</v>
      </c>
      <c r="F20" s="200">
        <f>IF(B$15="No",0,1)</f>
        <v>1</v>
      </c>
      <c r="G20" s="196">
        <f>IF(B20=0,1,0)</f>
        <v>0</v>
      </c>
      <c r="H20" s="197">
        <f>F20*G20</f>
        <v>0</v>
      </c>
      <c r="I20" s="198" t="str">
        <f ca="1">OFFSET(L!$C$1,MATCH("Checker"&amp;"Comp",L!$A:$A,0)-1,SL,,)</f>
        <v>Complete</v>
      </c>
      <c r="J20" s="199" t="str">
        <f ca="1">OFFSET(L!$C$1,MATCH("Checker"&amp;ADDRESS(ROW(),COLUMN(),4),L!$A:$A,0)-1,SL,,)</f>
        <v>Declare if Tin is necessary to the production of your products and contained within the finished products declared in Declaration tab cell D33</v>
      </c>
    </row>
    <row r="21" spans="1:10" ht="39">
      <c r="A21" s="192" t="str">
        <f ca="1">Declaration!B34</f>
        <v>Gold  (*)</v>
      </c>
      <c r="B21" s="193" t="str">
        <f>IF($B$16="Yes",Declaration!D34,0)</f>
        <v>Yes</v>
      </c>
      <c r="C21" s="193" t="str">
        <f ca="1">IF(H21=1,J21,I21)</f>
        <v>Complete</v>
      </c>
      <c r="D21" s="205" t="str">
        <f>IF(H21=1,"Click here to answer question 2 for Gold","")</f>
        <v/>
      </c>
      <c r="E21" s="184" t="s">
        <v>100</v>
      </c>
      <c r="F21" s="200">
        <f>IF(B$16="No",0,1)</f>
        <v>1</v>
      </c>
      <c r="G21" s="196">
        <f>IF(B21=0,1,0)</f>
        <v>0</v>
      </c>
      <c r="H21" s="197">
        <f>F21*G21</f>
        <v>0</v>
      </c>
      <c r="I21" s="198" t="str">
        <f ca="1">OFFSET(L!$C$1,MATCH("Checker"&amp;"Comp",L!$A:$A,0)-1,SL,,)</f>
        <v>Complete</v>
      </c>
      <c r="J21" s="199" t="str">
        <f ca="1">OFFSET(L!$C$1,MATCH("Checker"&amp;ADDRESS(ROW(),COLUMN(),4),L!$A:$A,0)-1,SL,,)</f>
        <v>Declare if Gold is necessary to the production of your products and contained within the finished products declared in Declaration tab cell D34</v>
      </c>
    </row>
    <row r="22" spans="1:10" ht="39">
      <c r="A22" s="192" t="str">
        <f ca="1">Declaration!B35</f>
        <v>Tungsten  (*)</v>
      </c>
      <c r="B22" s="193" t="str">
        <f>IF($B$17="Yes",Declaration!D35,0)</f>
        <v>Yes</v>
      </c>
      <c r="C22" s="193" t="str">
        <f ca="1">IF(H22=1,J22,I22)</f>
        <v>Complete</v>
      </c>
      <c r="D22" s="205" t="str">
        <f>IF(H22=1,"Click here to answer question 2 for Tungsten","")</f>
        <v/>
      </c>
      <c r="E22" s="184" t="s">
        <v>100</v>
      </c>
      <c r="F22" s="200">
        <f>IF(B$17="No",0,1)</f>
        <v>1</v>
      </c>
      <c r="G22" s="196">
        <f>IF(B22=0,1,0)</f>
        <v>0</v>
      </c>
      <c r="H22" s="197">
        <f>F22*G22</f>
        <v>0</v>
      </c>
      <c r="I22" s="198" t="str">
        <f ca="1">OFFSET(L!$C$1,MATCH("Checker"&amp;"Comp",L!$A:$A,0)-1,SL,,)</f>
        <v>Complete</v>
      </c>
      <c r="J22" s="199" t="str">
        <f ca="1">OFFSET(L!$C$1,MATCH("Checker"&amp;ADDRESS(ROW(),COLUMN(),4),L!$A:$A,0)-1,SL,,)</f>
        <v>Declare if Tungsten is necessary to the production of your products and contained within the finished products declared in Declaration tab cell D35</v>
      </c>
    </row>
    <row r="23" spans="1:10" ht="57.75" customHeight="1">
      <c r="A23" s="193" t="str">
        <f ca="1">Declaration!B37</f>
        <v>3) Do any of the smelters in your supply chain source the 3TG from the covered countries? (SEC term, see definitions tab) (*)</v>
      </c>
      <c r="B23" s="203"/>
      <c r="C23" s="203"/>
      <c r="D23" s="204"/>
      <c r="E23" s="184" t="s">
        <v>100</v>
      </c>
      <c r="F23" s="195"/>
      <c r="J23" s="199"/>
    </row>
    <row r="24" spans="1:10" ht="39">
      <c r="A24" s="192" t="str">
        <f ca="1">Declaration!B38</f>
        <v>Tantalum  (*)</v>
      </c>
      <c r="B24" s="193" t="str">
        <f>IF(AND($B$14="Yes",$B$19="Yes"),Declaration!D38,0)</f>
        <v>Yes</v>
      </c>
      <c r="C24" s="193" t="str">
        <f ca="1">IF(H24=1,J24,I24)</f>
        <v>Complete</v>
      </c>
      <c r="D24" s="205" t="str">
        <f>IF(H24=1,"Click here to answer question 3 for Tantalum","")</f>
        <v/>
      </c>
      <c r="E24" s="184" t="s">
        <v>100</v>
      </c>
      <c r="F24" s="200">
        <f>IF(OR(B14="No",B19="No"),0,1)</f>
        <v>1</v>
      </c>
      <c r="G24" s="196">
        <f>IF(B24=0,1,0)</f>
        <v>0</v>
      </c>
      <c r="H24" s="197">
        <f>F24*G24</f>
        <v>0</v>
      </c>
      <c r="I24" s="198" t="str">
        <f ca="1">OFFSET(L!$C$1,MATCH("Checker"&amp;"Comp",L!$A:$A,0)-1,SL,,)</f>
        <v>Complete</v>
      </c>
      <c r="J24" s="183" t="str">
        <f ca="1">OFFSET(L!$C$1,MATCH("Checker"&amp;ADDRESS(ROW(),COLUMN(),4),L!$A:$A,0)-1,SL,,)</f>
        <v>Declare if Tantalum used within the scope of products declared within this survey response originated from the DRC or an adjoining Country on the Declaration tab cell D38</v>
      </c>
    </row>
    <row r="25" spans="1:10" ht="39">
      <c r="A25" s="192" t="str">
        <f ca="1">Declaration!B39</f>
        <v>Tin  (*)</v>
      </c>
      <c r="B25" s="193" t="str">
        <f>IF(AND($B$15="Yes",$B$20="Yes"),Declaration!D39,0)</f>
        <v>Yes</v>
      </c>
      <c r="C25" s="193" t="str">
        <f ca="1">IF(H25=1,J25,I25)</f>
        <v>Complete</v>
      </c>
      <c r="D25" s="205" t="str">
        <f>IF(H25=1,"Click here to answer question 3 for Tin","")</f>
        <v/>
      </c>
      <c r="E25" s="184" t="s">
        <v>100</v>
      </c>
      <c r="F25" s="200">
        <f>IF(OR(B15="No",B20="No"),0,1)</f>
        <v>1</v>
      </c>
      <c r="G25" s="196">
        <f>IF(B25=0,1,0)</f>
        <v>0</v>
      </c>
      <c r="H25" s="197">
        <f>F25*G25</f>
        <v>0</v>
      </c>
      <c r="I25" s="198" t="str">
        <f ca="1">OFFSET(L!$C$1,MATCH("Checker"&amp;"Comp",L!$A:$A,0)-1,SL,,)</f>
        <v>Complete</v>
      </c>
      <c r="J25" s="183" t="str">
        <f ca="1">OFFSET(L!$C$1,MATCH("Checker"&amp;ADDRESS(ROW(),COLUMN(),4),L!$A:$A,0)-1,SL,,)</f>
        <v>Declare if Tin used within the scope of products declared within this survey response originated from the DRC or an adjoining Country on the Declaration tab cell D39</v>
      </c>
    </row>
    <row r="26" spans="1:10" ht="39">
      <c r="A26" s="192" t="str">
        <f ca="1">Declaration!B40</f>
        <v>Gold  (*)</v>
      </c>
      <c r="B26" s="193" t="str">
        <f>IF(AND($B$16="Yes",$B$21="Yes"),Declaration!D40,0)</f>
        <v>Yes</v>
      </c>
      <c r="C26" s="193" t="str">
        <f ca="1">IF(H26=1,J26,I26)</f>
        <v>Complete</v>
      </c>
      <c r="D26" s="205" t="str">
        <f>IF(H26=1,"Click here to answer question 3 for Gold","")</f>
        <v/>
      </c>
      <c r="E26" s="184" t="s">
        <v>100</v>
      </c>
      <c r="F26" s="200">
        <f>IF(OR(B16="No",B21="No"),0,1)</f>
        <v>1</v>
      </c>
      <c r="G26" s="196">
        <f>IF(B26=0,1,0)</f>
        <v>0</v>
      </c>
      <c r="H26" s="197">
        <f>F26*G26</f>
        <v>0</v>
      </c>
      <c r="I26" s="198" t="str">
        <f ca="1">OFFSET(L!$C$1,MATCH("Checker"&amp;"Comp",L!$A:$A,0)-1,SL,,)</f>
        <v>Complete</v>
      </c>
      <c r="J26" s="183" t="str">
        <f ca="1">OFFSET(L!$C$1,MATCH("Checker"&amp;ADDRESS(ROW(),COLUMN(),4),L!$A:$A,0)-1,SL,,)</f>
        <v>Declare if Gold used within the scope of products declared within this survey response originated from the DRC or an adjoining Country on the Declaration tab cell D40</v>
      </c>
    </row>
    <row r="27" spans="1:10" ht="39">
      <c r="A27" s="192" t="str">
        <f ca="1">Declaration!B41</f>
        <v>Tungsten  (*)</v>
      </c>
      <c r="B27" s="193" t="str">
        <f>IF(AND($B$17="Yes",$B$22="Yes"),Declaration!D41,0)</f>
        <v>Yes</v>
      </c>
      <c r="C27" s="193" t="str">
        <f ca="1">IF(H27=1,J27,I27)</f>
        <v>Complete</v>
      </c>
      <c r="D27" s="205" t="str">
        <f>IF(H27=1,"Click here to answer question 3 for Tungsten","")</f>
        <v/>
      </c>
      <c r="E27" s="184" t="s">
        <v>100</v>
      </c>
      <c r="F27" s="200">
        <f>IF(OR(B17="No",B22="No"),0,1)</f>
        <v>1</v>
      </c>
      <c r="G27" s="196">
        <f>IF(B27=0,1,0)</f>
        <v>0</v>
      </c>
      <c r="H27" s="197">
        <f>F27*G27</f>
        <v>0</v>
      </c>
      <c r="I27" s="198" t="str">
        <f ca="1">OFFSET(L!$C$1,MATCH("Checker"&amp;"Comp",L!$A:$A,0)-1,SL,,)</f>
        <v>Complete</v>
      </c>
      <c r="J27" s="18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93" t="str">
        <f ca="1">Declaration!B43</f>
        <v>4) Do any of the smelters in your supply chain source the 3TG from conflict-affected and high-risk areas? (*)</v>
      </c>
      <c r="B28" s="193"/>
      <c r="C28" s="193"/>
      <c r="D28" s="205"/>
      <c r="E28" s="184"/>
      <c r="F28" s="184"/>
      <c r="G28" s="184"/>
      <c r="I28" s="198"/>
    </row>
    <row r="29" spans="1:10" ht="41.1" customHeight="1">
      <c r="A29" s="192" t="str">
        <f ca="1">Declaration!B44</f>
        <v>Tantalum  (*)</v>
      </c>
      <c r="B29" s="193" t="str">
        <f>IF(AND($B$14="Yes",$B$19="Yes"),Declaration!D44,0)</f>
        <v>Yes</v>
      </c>
      <c r="C29" s="193" t="str">
        <f ca="1">IF(H29=1,J29,I29)</f>
        <v>Complete</v>
      </c>
      <c r="D29" s="206" t="str">
        <f>IF(H29=1,"Click here to answer question 4 for Tantalum","")</f>
        <v/>
      </c>
      <c r="E29" s="184"/>
      <c r="F29" s="200">
        <f>F24</f>
        <v>1</v>
      </c>
      <c r="G29" s="196">
        <f>IF(B29=0,1,0)</f>
        <v>0</v>
      </c>
      <c r="H29" s="197">
        <f>F29*G29</f>
        <v>0</v>
      </c>
      <c r="I29" s="198" t="str">
        <f ca="1">OFFSET(L!$C$1,MATCH("Checker"&amp;"Comp",L!$A:$A,0)-1,SL,,)</f>
        <v>Complete</v>
      </c>
      <c r="J29" s="18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92" t="str">
        <f ca="1">Declaration!B45</f>
        <v>Tin  (*)</v>
      </c>
      <c r="B30" s="193" t="str">
        <f>IF(AND($B$15="Yes",$B$20="Yes"),Declaration!D45,0)</f>
        <v>Yes</v>
      </c>
      <c r="C30" s="193" t="str">
        <f ca="1">IF(H30=1,J30,I30)</f>
        <v>Complete</v>
      </c>
      <c r="D30" s="206" t="str">
        <f>IF(H30=1,"Click here to answer question 4 for Tin","")</f>
        <v/>
      </c>
      <c r="E30" s="184"/>
      <c r="F30" s="200">
        <f>F25</f>
        <v>1</v>
      </c>
      <c r="G30" s="196">
        <f>IF(B30=0,1,0)</f>
        <v>0</v>
      </c>
      <c r="H30" s="197">
        <f>F30*G30</f>
        <v>0</v>
      </c>
      <c r="I30" s="198" t="str">
        <f ca="1">OFFSET(L!$C$1,MATCH("Checker"&amp;"Comp",L!$A:$A,0)-1,SL,,)</f>
        <v>Complete</v>
      </c>
      <c r="J30" s="18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92" t="str">
        <f ca="1">Declaration!B46</f>
        <v>Gold  (*)</v>
      </c>
      <c r="B31" s="193" t="str">
        <f>IF(AND($B$16="Yes",$B$21="Yes"),Declaration!D46,0)</f>
        <v>Yes</v>
      </c>
      <c r="C31" s="193" t="str">
        <f ca="1">IF(H31=1,J31,I31)</f>
        <v>Complete</v>
      </c>
      <c r="D31" s="206" t="str">
        <f>IF(H31=1,"Click here to answer question 4 for Gold","")</f>
        <v/>
      </c>
      <c r="E31" s="184"/>
      <c r="F31" s="200">
        <f>F26</f>
        <v>1</v>
      </c>
      <c r="G31" s="196">
        <f>IF(B31=0,1,0)</f>
        <v>0</v>
      </c>
      <c r="H31" s="197">
        <f>F31*G31</f>
        <v>0</v>
      </c>
      <c r="I31" s="198" t="str">
        <f ca="1">OFFSET(L!$C$1,MATCH("Checker"&amp;"Comp",L!$A:$A,0)-1,SL,,)</f>
        <v>Complete</v>
      </c>
      <c r="J31" s="18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92" t="str">
        <f ca="1">Declaration!B47</f>
        <v>Tungsten  (*)</v>
      </c>
      <c r="B32" s="193" t="str">
        <f>IF(AND($B$17="Yes",$B$22="Yes"),Declaration!D47,0)</f>
        <v>Yes</v>
      </c>
      <c r="C32" s="193" t="str">
        <f ca="1">IF(H32=1,J32,I32)</f>
        <v>Complete</v>
      </c>
      <c r="D32" s="206" t="str">
        <f>IF(H32=1,"Click here to answer question 4 for Tungsten","")</f>
        <v/>
      </c>
      <c r="E32" s="184"/>
      <c r="F32" s="200">
        <f>F27</f>
        <v>1</v>
      </c>
      <c r="G32" s="196">
        <f>IF(B32=0,1,0)</f>
        <v>0</v>
      </c>
      <c r="H32" s="197">
        <f>F32*G32</f>
        <v>0</v>
      </c>
      <c r="I32" s="198" t="str">
        <f ca="1">OFFSET(L!$C$1,MATCH("Checker"&amp;"Comp",L!$A:$A,0)-1,SL,,)</f>
        <v>Complete</v>
      </c>
      <c r="J32" s="183" t="str">
        <f ca="1">OFFSET(L!$C$1,MATCH("Checker"&amp;ADDRESS(ROW(),COLUMN(),4),L!$A:$A,0)-1,SL,,)</f>
        <v>Declare if Tungsten used within the scope of products declared within this survey response originated from a conflict-affected and high-risk area on the Declaration tab cell D47</v>
      </c>
    </row>
    <row r="33" spans="1:10" ht="38.25">
      <c r="A33" s="193" t="str">
        <f ca="1">Declaration!B49</f>
        <v>5) Does 100 percent of the 3TG (necessary to the functionality or production of your products) originate from recycled or scrap sources?  (*)</v>
      </c>
      <c r="B33" s="203"/>
      <c r="C33" s="203"/>
      <c r="D33" s="204"/>
      <c r="E33" s="184" t="s">
        <v>100</v>
      </c>
      <c r="F33" s="195"/>
      <c r="J33" s="199"/>
    </row>
    <row r="34" spans="1:10" ht="39">
      <c r="A34" s="192" t="str">
        <f ca="1">Declaration!B50</f>
        <v>Tantalum  (*)</v>
      </c>
      <c r="B34" s="193" t="str">
        <f>IF(AND($B$14="Yes",$B$19="Yes"),Declaration!D50,0)</f>
        <v>No</v>
      </c>
      <c r="C34" s="193" t="str">
        <f ca="1">IF(H34=1,J34,I34)</f>
        <v>Complete</v>
      </c>
      <c r="D34" s="206" t="str">
        <f>IF(H34=1,"Click here to answer question 5 for Tantalum","")</f>
        <v/>
      </c>
      <c r="E34" s="184" t="s">
        <v>100</v>
      </c>
      <c r="F34" s="200">
        <f>F24</f>
        <v>1</v>
      </c>
      <c r="G34" s="196">
        <f>IF(B34=0,1,0)</f>
        <v>0</v>
      </c>
      <c r="H34" s="197">
        <f>F34*G34</f>
        <v>0</v>
      </c>
      <c r="I34" s="198" t="str">
        <f ca="1">OFFSET(L!$C$1,MATCH("Checker"&amp;"Comp",L!$A:$A,0)-1,SL,,)</f>
        <v>Complete</v>
      </c>
      <c r="J34" s="199" t="str">
        <f ca="1">OFFSET(L!$C$1,MATCH("Checker"&amp;ADDRESS(ROW(),COLUMN(),4),L!$A:$A,0)-1,SL,,)</f>
        <v>Declare if Tantalum used within the scope of products declared within this survey response originated entirely from a recycled or scrap source on the Declaration tab cell D44</v>
      </c>
    </row>
    <row r="35" spans="1:10" ht="39">
      <c r="A35" s="192" t="str">
        <f ca="1">Declaration!B51</f>
        <v>Tin  (*)</v>
      </c>
      <c r="B35" s="193" t="str">
        <f>IF(AND($B$15="Yes",$B$20="Yes"),Declaration!D51,0)</f>
        <v>No</v>
      </c>
      <c r="C35" s="193" t="str">
        <f ca="1">IF(H35=1,J35,I35)</f>
        <v>Complete</v>
      </c>
      <c r="D35" s="206" t="str">
        <f>IF(H35=1,"Click here to answer question 5 for Tin","")</f>
        <v/>
      </c>
      <c r="E35" s="184" t="s">
        <v>100</v>
      </c>
      <c r="F35" s="200">
        <f>F25</f>
        <v>1</v>
      </c>
      <c r="G35" s="196">
        <f>IF(B35=0,1,0)</f>
        <v>0</v>
      </c>
      <c r="H35" s="197">
        <f>F35*G35</f>
        <v>0</v>
      </c>
      <c r="I35" s="198" t="str">
        <f ca="1">OFFSET(L!$C$1,MATCH("Checker"&amp;"Comp",L!$A:$A,0)-1,SL,,)</f>
        <v>Complete</v>
      </c>
      <c r="J35" s="199" t="str">
        <f ca="1">OFFSET(L!$C$1,MATCH("Checker"&amp;ADDRESS(ROW(),COLUMN(),4),L!$A:$A,0)-1,SL,,)</f>
        <v>Declare if Tin used within the scope of products declared within this survey response originated entirely from a recycled or scrap source on the Declaration tab cell D45</v>
      </c>
    </row>
    <row r="36" spans="1:10" ht="39">
      <c r="A36" s="192" t="str">
        <f ca="1">Declaration!B52</f>
        <v>Gold  (*)</v>
      </c>
      <c r="B36" s="193" t="str">
        <f>IF(AND($B$16="Yes",$B$21="Yes"),Declaration!D52,0)</f>
        <v>No</v>
      </c>
      <c r="C36" s="193" t="str">
        <f ca="1">IF(H36=1,J36,I36)</f>
        <v>Complete</v>
      </c>
      <c r="D36" s="206" t="str">
        <f>IF(H36=1,"Click here to answer question 5 for Gold","")</f>
        <v/>
      </c>
      <c r="E36" s="184" t="s">
        <v>100</v>
      </c>
      <c r="F36" s="200">
        <f>F26</f>
        <v>1</v>
      </c>
      <c r="G36" s="196">
        <f>IF(B36=0,1,0)</f>
        <v>0</v>
      </c>
      <c r="H36" s="197">
        <f>F36*G36</f>
        <v>0</v>
      </c>
      <c r="I36" s="198" t="str">
        <f ca="1">OFFSET(L!$C$1,MATCH("Checker"&amp;"Comp",L!$A:$A,0)-1,SL,,)</f>
        <v>Complete</v>
      </c>
      <c r="J36" s="199" t="str">
        <f ca="1">OFFSET(L!$C$1,MATCH("Checker"&amp;ADDRESS(ROW(),COLUMN(),4),L!$A:$A,0)-1,SL,,)</f>
        <v>Declare if Gold used within the scope of products declared within this survey response originated entirely from a recycled or scrap source on the Declaration tab cell D46</v>
      </c>
    </row>
    <row r="37" spans="1:10" ht="39">
      <c r="A37" s="192" t="str">
        <f ca="1">Declaration!B53</f>
        <v>Tungsten  (*)</v>
      </c>
      <c r="B37" s="193" t="str">
        <f>IF(AND($B$17="Yes",$B$22="Yes"),Declaration!D53,0)</f>
        <v>No</v>
      </c>
      <c r="C37" s="193" t="str">
        <f ca="1">IF(H37=1,J37,I37)</f>
        <v>Complete</v>
      </c>
      <c r="D37" s="206" t="str">
        <f>IF(H37=1,"Click here to answer question 5 for Tungsten","")</f>
        <v/>
      </c>
      <c r="E37" s="184" t="s">
        <v>100</v>
      </c>
      <c r="F37" s="200">
        <f>F27</f>
        <v>1</v>
      </c>
      <c r="G37" s="196">
        <f>IF(B37=0,1,0)</f>
        <v>0</v>
      </c>
      <c r="H37" s="197">
        <f>F37*G37</f>
        <v>0</v>
      </c>
      <c r="I37" s="198" t="str">
        <f ca="1">OFFSET(L!$C$1,MATCH("Checker"&amp;"Comp",L!$A:$A,0)-1,SL,,)</f>
        <v>Complete</v>
      </c>
      <c r="J37" s="199" t="str">
        <f ca="1">OFFSET(L!$C$1,MATCH("Checker"&amp;ADDRESS(ROW(),COLUMN(),4),L!$A:$A,0)-1,SL,,)</f>
        <v>Declare if Tungsten used within the scope of products declared within this survey response originated entirely from a recycled or scrap source on the Declaration tab cell D47</v>
      </c>
    </row>
    <row r="38" spans="1:10" ht="38.25">
      <c r="A38" s="193" t="str">
        <f ca="1">Declaration!B55</f>
        <v>6) What percentage of relevant suppliers have provided a response to your supply chain survey?  (*)</v>
      </c>
      <c r="B38" s="203"/>
      <c r="C38" s="203"/>
      <c r="D38" s="204"/>
      <c r="E38" s="184" t="s">
        <v>100</v>
      </c>
      <c r="F38" s="195"/>
    </row>
    <row r="39" spans="1:10" ht="26.25">
      <c r="A39" s="192" t="str">
        <f ca="1">Declaration!B56</f>
        <v>Tantalum  (*)</v>
      </c>
      <c r="B39" s="207" t="str">
        <f>IF(AND($B$14="Yes",$B$19="Yes"),Declaration!D56,0)</f>
        <v>Greater than 50%</v>
      </c>
      <c r="C39" s="193" t="str">
        <f ca="1">IF(H39=1,J39,I39)</f>
        <v>Complete</v>
      </c>
      <c r="D39" s="208" t="str">
        <f>IF(H39=1,"Click here to answer question 6 for Tantalum","")</f>
        <v/>
      </c>
      <c r="E39" s="184" t="s">
        <v>97</v>
      </c>
      <c r="F39" s="200">
        <f>F24</f>
        <v>1</v>
      </c>
      <c r="G39" s="196">
        <f>IF(B39=0,1,0)</f>
        <v>0</v>
      </c>
      <c r="H39" s="197">
        <f>F39*G39</f>
        <v>0</v>
      </c>
      <c r="I39" s="198" t="str">
        <f ca="1">OFFSET(L!$C$1,MATCH("Checker"&amp;"Comp",L!$A:$A,0)-1,SL,,)</f>
        <v>Complete</v>
      </c>
      <c r="J39" s="183" t="str">
        <f ca="1">OFFSET(L!$C$1,MATCH("Checker"&amp;ADDRESS(ROW(),COLUMN(),4),L!$A:$A,0)-1,SL,,)</f>
        <v>Provide % of completeness of supplier's smelter information on Declaration tab cell D50</v>
      </c>
    </row>
    <row r="40" spans="1:10" ht="26.25">
      <c r="A40" s="192" t="str">
        <f ca="1">Declaration!B57</f>
        <v>Tin  (*)</v>
      </c>
      <c r="B40" s="207" t="str">
        <f>IF(AND($B$15="Yes",$B$20="Yes"),Declaration!D57,0)</f>
        <v>Greater than 50%</v>
      </c>
      <c r="C40" s="193" t="str">
        <f ca="1">IF(H40=1,J40,I40)</f>
        <v>Complete</v>
      </c>
      <c r="D40" s="208" t="str">
        <f>IF(H40=1,"Click here to answer question 6 for Tin","")</f>
        <v/>
      </c>
      <c r="E40" s="184" t="s">
        <v>97</v>
      </c>
      <c r="F40" s="200">
        <f>F25</f>
        <v>1</v>
      </c>
      <c r="G40" s="196">
        <f>IF(B40=0,1,0)</f>
        <v>0</v>
      </c>
      <c r="H40" s="197">
        <f>F40*G40</f>
        <v>0</v>
      </c>
      <c r="I40" s="198" t="str">
        <f ca="1">OFFSET(L!$C$1,MATCH("Checker"&amp;"Comp",L!$A:$A,0)-1,SL,,)</f>
        <v>Complete</v>
      </c>
      <c r="J40" s="183" t="str">
        <f ca="1">OFFSET(L!$C$1,MATCH("Checker"&amp;ADDRESS(ROW(),COLUMN(),4),L!$A:$A,0)-1,SL,,)</f>
        <v>Provide % of completeness of supplier's smelter information on Declaration tab cell D51</v>
      </c>
    </row>
    <row r="41" spans="1:10" ht="26.25">
      <c r="A41" s="192" t="str">
        <f ca="1">Declaration!B58</f>
        <v>Gold  (*)</v>
      </c>
      <c r="B41" s="207" t="str">
        <f>IF(AND($B$16="Yes",$B$21="Yes"),Declaration!D58,0)</f>
        <v>Greater than 50%</v>
      </c>
      <c r="C41" s="193" t="str">
        <f ca="1">IF(H41=1,J41,I41)</f>
        <v>Complete</v>
      </c>
      <c r="D41" s="208" t="str">
        <f>IF(H41=1,"Click here to answer question 6 for Gold","")</f>
        <v/>
      </c>
      <c r="E41" s="184" t="s">
        <v>97</v>
      </c>
      <c r="F41" s="200">
        <f>F26</f>
        <v>1</v>
      </c>
      <c r="G41" s="196">
        <f>IF(B41=0,1,0)</f>
        <v>0</v>
      </c>
      <c r="H41" s="197">
        <f>F41*G41</f>
        <v>0</v>
      </c>
      <c r="I41" s="198" t="str">
        <f ca="1">OFFSET(L!$C$1,MATCH("Checker"&amp;"Comp",L!$A:$A,0)-1,SL,,)</f>
        <v>Complete</v>
      </c>
      <c r="J41" s="183" t="str">
        <f ca="1">OFFSET(L!$C$1,MATCH("Checker"&amp;ADDRESS(ROW(),COLUMN(),4),L!$A:$A,0)-1,SL,,)</f>
        <v>Provide % of completeness of supplier's smelter information on Declaration tab cell D52</v>
      </c>
    </row>
    <row r="42" spans="1:10" ht="26.25">
      <c r="A42" s="192" t="str">
        <f ca="1">Declaration!B59</f>
        <v>Tungsten  (*)</v>
      </c>
      <c r="B42" s="207" t="str">
        <f>IF(AND($B$17="Yes",$B$22="Yes"),Declaration!D59,0)</f>
        <v>Greater than 50%</v>
      </c>
      <c r="C42" s="193" t="str">
        <f ca="1">IF(H42=1,J42,I42)</f>
        <v>Complete</v>
      </c>
      <c r="D42" s="208" t="str">
        <f>IF(H42=1,"Click here to answer question 6 for Tungsten","")</f>
        <v/>
      </c>
      <c r="E42" s="184" t="s">
        <v>97</v>
      </c>
      <c r="F42" s="200">
        <f>F27</f>
        <v>1</v>
      </c>
      <c r="G42" s="196">
        <f>IF(B42=0,1,0)</f>
        <v>0</v>
      </c>
      <c r="H42" s="197">
        <f>F42*G42</f>
        <v>0</v>
      </c>
      <c r="I42" s="198" t="str">
        <f ca="1">OFFSET(L!$C$1,MATCH("Checker"&amp;"Comp",L!$A:$A,0)-1,SL,,)</f>
        <v>Complete</v>
      </c>
      <c r="J42" s="183" t="str">
        <f ca="1">OFFSET(L!$C$1,MATCH("Checker"&amp;ADDRESS(ROW(),COLUMN(),4),L!$A:$A,0)-1,SL,,)</f>
        <v>Provide % of completeness of supplier's smelter information on Declaration tab cell D53</v>
      </c>
    </row>
    <row r="43" spans="1:10" ht="51">
      <c r="A43" s="193" t="str">
        <f ca="1">Declaration!B61</f>
        <v>7) Have you identified all of the smelters supplying the 3TG to your supply chain?  (*)</v>
      </c>
      <c r="B43" s="203"/>
      <c r="C43" s="203"/>
      <c r="D43" s="204"/>
      <c r="E43" s="184" t="s">
        <v>96</v>
      </c>
      <c r="F43" s="195"/>
    </row>
    <row r="44" spans="1:10" ht="51.75">
      <c r="A44" s="192" t="str">
        <f ca="1">Declaration!B62</f>
        <v>Tantalum  (*)</v>
      </c>
      <c r="B44" s="193" t="str">
        <f>IF(AND($B$14="Yes",$B$19="Yes"),Declaration!D62,0)</f>
        <v>No</v>
      </c>
      <c r="C44" s="193" t="str">
        <f ca="1">IF(H44=1,J44,I44)</f>
        <v>Complete</v>
      </c>
      <c r="D44" s="206" t="str">
        <f>IF(H44=1,"Click here to answer question 7 for Tantalum","")</f>
        <v/>
      </c>
      <c r="E44" s="184" t="s">
        <v>96</v>
      </c>
      <c r="F44" s="200">
        <f>F24</f>
        <v>1</v>
      </c>
      <c r="G44" s="196">
        <f>IF(B44=0,1,0)</f>
        <v>0</v>
      </c>
      <c r="H44" s="197">
        <f>F44*G44</f>
        <v>0</v>
      </c>
      <c r="I44" s="198" t="str">
        <f ca="1">OFFSET(L!$C$1,MATCH("Checker"&amp;"Comp",L!$A:$A,0)-1,SL,,)</f>
        <v>Complete</v>
      </c>
      <c r="J44" s="183" t="str">
        <f ca="1">OFFSET(L!$C$1,MATCH("Checker"&amp;ADDRESS(ROW(),COLUMN(),4),L!$A:$A,0)-1,SL,,)</f>
        <v>Declare if all smelter names have been provided in this survey response under the scope of products declared on the Declaration tab cell D56</v>
      </c>
    </row>
    <row r="45" spans="1:10" ht="51.75">
      <c r="A45" s="192" t="str">
        <f ca="1">Declaration!B63</f>
        <v>Tin  (*)</v>
      </c>
      <c r="B45" s="193" t="str">
        <f>IF(AND($B$15="Yes",$B$20="Yes"),Declaration!D63,0)</f>
        <v>No</v>
      </c>
      <c r="C45" s="193" t="str">
        <f ca="1">IF(H45=1,J45,I45)</f>
        <v>Complete</v>
      </c>
      <c r="D45" s="206" t="str">
        <f>IF(H45=1,"Click here to answer question 7 for Tin","")</f>
        <v/>
      </c>
      <c r="E45" s="184" t="s">
        <v>96</v>
      </c>
      <c r="F45" s="200">
        <f>F25</f>
        <v>1</v>
      </c>
      <c r="G45" s="196">
        <f>IF(B45=0,1,0)</f>
        <v>0</v>
      </c>
      <c r="H45" s="197">
        <f>F45*G45</f>
        <v>0</v>
      </c>
      <c r="I45" s="198" t="str">
        <f ca="1">OFFSET(L!$C$1,MATCH("Checker"&amp;"Comp",L!$A:$A,0)-1,SL,,)</f>
        <v>Complete</v>
      </c>
      <c r="J45" s="183" t="str">
        <f ca="1">OFFSET(L!$C$1,MATCH("Checker"&amp;ADDRESS(ROW(),COLUMN(),4),L!$A:$A,0)-1,SL,,)</f>
        <v>Declare if all smelter names have been provided in this survey response under the scope of products declared on the Declaration tab cell D57</v>
      </c>
    </row>
    <row r="46" spans="1:10" ht="51.75">
      <c r="A46" s="192" t="str">
        <f ca="1">Declaration!B64</f>
        <v>Gold  (*)</v>
      </c>
      <c r="B46" s="193" t="str">
        <f>IF(AND($B$16="Yes",$B$21="Yes"),Declaration!D64,0)</f>
        <v>No</v>
      </c>
      <c r="C46" s="193" t="str">
        <f ca="1">IF(H46=1,J46,I46)</f>
        <v>Complete</v>
      </c>
      <c r="D46" s="206" t="str">
        <f>IF(H46=1,"Click here to answer question 7 for Gold","")</f>
        <v/>
      </c>
      <c r="E46" s="184" t="s">
        <v>96</v>
      </c>
      <c r="F46" s="200">
        <f>F26</f>
        <v>1</v>
      </c>
      <c r="G46" s="196">
        <f>IF(B46=0,1,0)</f>
        <v>0</v>
      </c>
      <c r="H46" s="197">
        <f>F46*G46</f>
        <v>0</v>
      </c>
      <c r="I46" s="198" t="str">
        <f ca="1">OFFSET(L!$C$1,MATCH("Checker"&amp;"Comp",L!$A:$A,0)-1,SL,,)</f>
        <v>Complete</v>
      </c>
      <c r="J46" s="183" t="str">
        <f ca="1">OFFSET(L!$C$1,MATCH("Checker"&amp;ADDRESS(ROW(),COLUMN(),4),L!$A:$A,0)-1,SL,,)</f>
        <v>Declare if all smelter names have been provided in this survey response under the scope of products declared on the Declaration tab cell D58</v>
      </c>
    </row>
    <row r="47" spans="1:10" ht="51.75">
      <c r="A47" s="192" t="str">
        <f ca="1">Declaration!B65</f>
        <v>Tungsten  (*)</v>
      </c>
      <c r="B47" s="193" t="str">
        <f>IF(AND($B$17="Yes",$B$22="Yes"),Declaration!D65,0)</f>
        <v>No</v>
      </c>
      <c r="C47" s="193" t="str">
        <f ca="1">IF(H47=1,J47,I47)</f>
        <v>Complete</v>
      </c>
      <c r="D47" s="206" t="str">
        <f>IF(H47=1,"Click here to answer question 7 for Tungsten","")</f>
        <v/>
      </c>
      <c r="E47" s="184" t="s">
        <v>96</v>
      </c>
      <c r="F47" s="200">
        <f>F27</f>
        <v>1</v>
      </c>
      <c r="G47" s="196">
        <f>IF(B47=0,1,0)</f>
        <v>0</v>
      </c>
      <c r="H47" s="197">
        <f>F47*G47</f>
        <v>0</v>
      </c>
      <c r="I47" s="198" t="str">
        <f ca="1">OFFSET(L!$C$1,MATCH("Checker"&amp;"Comp",L!$A:$A,0)-1,SL,,)</f>
        <v>Complete</v>
      </c>
      <c r="J47" s="183" t="str">
        <f ca="1">OFFSET(L!$C$1,MATCH("Checker"&amp;ADDRESS(ROW(),COLUMN(),4),L!$A:$A,0)-1,SL,,)</f>
        <v>Declare if all smelter names have been provided in this survey response which the scope of products declared on the Declaration tab cell D59</v>
      </c>
    </row>
    <row r="48" spans="1:10" ht="63.75">
      <c r="A48" s="193" t="str">
        <f ca="1">Declaration!B67</f>
        <v>8) Has all applicable smelter information received by your company been reported in this declaration?  (*)</v>
      </c>
      <c r="B48" s="203"/>
      <c r="C48" s="203"/>
      <c r="D48" s="204"/>
      <c r="E48" s="184" t="s">
        <v>102</v>
      </c>
      <c r="F48" s="195"/>
    </row>
    <row r="49" spans="1:10" ht="39">
      <c r="A49" s="192" t="str">
        <f ca="1">Declaration!B68</f>
        <v>Tantalum  (*)</v>
      </c>
      <c r="B49" s="193" t="str">
        <f>IF(AND($B$14="Yes",$B$19="Yes"),Declaration!D68,0)</f>
        <v>Yes</v>
      </c>
      <c r="C49" s="193" t="str">
        <f ca="1">IF(H49=1,J49,I49)</f>
        <v>Complete</v>
      </c>
      <c r="D49" s="208" t="str">
        <f>IF(H49=1,"Click here to answer question 8 for Tantalum","")</f>
        <v/>
      </c>
      <c r="E49" s="184" t="s">
        <v>100</v>
      </c>
      <c r="F49" s="200">
        <f>F24</f>
        <v>1</v>
      </c>
      <c r="G49" s="196">
        <f>IF(B49=0,1,0)</f>
        <v>0</v>
      </c>
      <c r="H49" s="197">
        <f>F49*G49</f>
        <v>0</v>
      </c>
      <c r="I49" s="198" t="str">
        <f ca="1">OFFSET(L!$C$1,MATCH("Checker"&amp;"Comp",L!$A:$A,0)-1,SL,,)</f>
        <v>Complete</v>
      </c>
      <c r="J49" s="183" t="str">
        <f ca="1">OFFSET(L!$C$1,MATCH("Checker"&amp;ADDRESS(ROW(),COLUMN(),4),L!$A:$A,0)-1,SL,,)</f>
        <v>Declare if all applicable Tantalum smelter information has been provided on Declaration tab cell D62</v>
      </c>
    </row>
    <row r="50" spans="1:10" ht="39">
      <c r="A50" s="192" t="str">
        <f ca="1">Declaration!B69</f>
        <v>Tin  (*)</v>
      </c>
      <c r="B50" s="193" t="str">
        <f>IF(AND($B$15="Yes",$B$20="Yes"),Declaration!D69,0)</f>
        <v>Yes</v>
      </c>
      <c r="C50" s="193" t="str">
        <f ca="1">IF(H50=1,J50,I50)</f>
        <v>Complete</v>
      </c>
      <c r="D50" s="208" t="str">
        <f>IF(H50=1,"Click here to answer question 8 for Tin","")</f>
        <v/>
      </c>
      <c r="E50" s="184" t="s">
        <v>100</v>
      </c>
      <c r="F50" s="200">
        <f>F25</f>
        <v>1</v>
      </c>
      <c r="G50" s="196">
        <f>IF(B50=0,1,0)</f>
        <v>0</v>
      </c>
      <c r="H50" s="197">
        <f>F50*G50</f>
        <v>0</v>
      </c>
      <c r="I50" s="198" t="str">
        <f ca="1">OFFSET(L!$C$1,MATCH("Checker"&amp;"Comp",L!$A:$A,0)-1,SL,,)</f>
        <v>Complete</v>
      </c>
      <c r="J50" s="183" t="str">
        <f ca="1">OFFSET(L!$C$1,MATCH("Checker"&amp;ADDRESS(ROW(),COLUMN(),4),L!$A:$A,0)-1,SL,,)</f>
        <v>Declare if all applicable Tin smelter information has been provided on Declaration tab cell D63</v>
      </c>
    </row>
    <row r="51" spans="1:10" ht="39">
      <c r="A51" s="192" t="str">
        <f ca="1">Declaration!B70</f>
        <v>Gold  (*)</v>
      </c>
      <c r="B51" s="193" t="str">
        <f>IF(AND($B$16="Yes",$B$21="Yes"),Declaration!D70,0)</f>
        <v>Yes</v>
      </c>
      <c r="C51" s="193" t="str">
        <f ca="1">IF(H51=1,J51,I51)</f>
        <v>Complete</v>
      </c>
      <c r="D51" s="208" t="str">
        <f>IF(H51=1,"Click here to answer question 8 for Gold","")</f>
        <v/>
      </c>
      <c r="E51" s="184" t="s">
        <v>100</v>
      </c>
      <c r="F51" s="200">
        <f>F26</f>
        <v>1</v>
      </c>
      <c r="G51" s="196">
        <f>IF(B51=0,1,0)</f>
        <v>0</v>
      </c>
      <c r="H51" s="197">
        <f>F51*G51</f>
        <v>0</v>
      </c>
      <c r="I51" s="198" t="str">
        <f ca="1">OFFSET(L!$C$1,MATCH("Checker"&amp;"Comp",L!$A:$A,0)-1,SL,,)</f>
        <v>Complete</v>
      </c>
      <c r="J51" s="183" t="str">
        <f ca="1">OFFSET(L!$C$1,MATCH("Checker"&amp;ADDRESS(ROW(),COLUMN(),4),L!$A:$A,0)-1,SL,,)</f>
        <v>Declare if all applicable Gold smelter information has been provided on Declaration tab cell D64</v>
      </c>
    </row>
    <row r="52" spans="1:10" ht="39">
      <c r="A52" s="192" t="str">
        <f ca="1">Declaration!B71</f>
        <v>Tungsten  (*)</v>
      </c>
      <c r="B52" s="193" t="str">
        <f>IF(AND($B$17="Yes",$B$22="Yes"),Declaration!D71,0)</f>
        <v>Yes</v>
      </c>
      <c r="C52" s="193" t="str">
        <f ca="1">IF(H52=1,J52,I52)</f>
        <v>Complete</v>
      </c>
      <c r="D52" s="208" t="str">
        <f>IF(H52=1,"Click here to answer question 8 for Tungsten","")</f>
        <v/>
      </c>
      <c r="E52" s="184" t="s">
        <v>100</v>
      </c>
      <c r="F52" s="200">
        <f>F27</f>
        <v>1</v>
      </c>
      <c r="G52" s="196">
        <f>IF(B52=0,1,0)</f>
        <v>0</v>
      </c>
      <c r="H52" s="197">
        <f>F52*G52</f>
        <v>0</v>
      </c>
      <c r="I52" s="198" t="str">
        <f ca="1">OFFSET(L!$C$1,MATCH("Checker"&amp;"Comp",L!$A:$A,0)-1,SL,,)</f>
        <v>Complete</v>
      </c>
      <c r="J52" s="183" t="str">
        <f ca="1">OFFSET(L!$C$1,MATCH("Checker"&amp;ADDRESS(ROW(),COLUMN(),4),L!$A:$A,0)-1,SL,,)</f>
        <v>Declare if all applicable Tungsten smelter information has been provided on Declaration tab cell D65</v>
      </c>
    </row>
    <row r="53" spans="1:10" ht="25.5">
      <c r="A53" s="193" t="str">
        <f ca="1">Declaration!B74</f>
        <v>Question</v>
      </c>
      <c r="B53" s="203"/>
      <c r="C53" s="203"/>
      <c r="D53" s="204"/>
      <c r="E53" s="184" t="s">
        <v>97</v>
      </c>
      <c r="F53" s="195"/>
      <c r="G53" s="195"/>
      <c r="H53" s="195"/>
    </row>
    <row r="54" spans="1:10" ht="39">
      <c r="A54" s="193" t="str">
        <f ca="1">Declaration!B75</f>
        <v>A. Have you established a responsible minerals sourcing policy? (*)</v>
      </c>
      <c r="B54" s="193" t="str">
        <f>Declaration!D75</f>
        <v>Yes</v>
      </c>
      <c r="C54" s="193" t="str">
        <f t="shared" ref="C54:C60" ca="1" si="2">IF(H54=1,J54,I54)</f>
        <v>Complete</v>
      </c>
      <c r="D54" s="194" t="str">
        <f>IF(H54=1,"Click here to answer question (A)","")</f>
        <v/>
      </c>
      <c r="E54" s="184" t="s">
        <v>100</v>
      </c>
      <c r="F54" s="200">
        <f>IF(SUM(F$24:F$27)=0,0,1)</f>
        <v>1</v>
      </c>
      <c r="G54" s="196">
        <f>IF(B54=0,1,0)</f>
        <v>0</v>
      </c>
      <c r="H54" s="197">
        <f t="shared" ref="H54:H60" si="3">F54*G54</f>
        <v>0</v>
      </c>
      <c r="I54" s="198" t="str">
        <f ca="1">OFFSET(L!$C$1,MATCH("Checker"&amp;"Comp",L!$A:$A,0)-1,SL,,)</f>
        <v>Complete</v>
      </c>
      <c r="J54" s="183" t="str">
        <f ca="1">OFFSET(L!$C$1,MATCH("Checker"&amp;ADDRESS(ROW(),COLUMN(),4),L!$A:$A,0)-1,SL,,)</f>
        <v>Answer if your company has a responsible minerals sourcing policy on the Declaration tab cell D75</v>
      </c>
    </row>
    <row r="55" spans="1:10" ht="54.75" customHeight="1">
      <c r="A55" s="193" t="str">
        <f ca="1">Declaration!B77</f>
        <v>B. Is your responsible minerals sourcing policy publicly available on your website? (Note – If yes, the user shall specify the URL in the comment field.) (*)</v>
      </c>
      <c r="B55" s="193" t="str">
        <f>Declaration!D77</f>
        <v>Yes</v>
      </c>
      <c r="C55" s="193" t="str">
        <f t="shared" ca="1" si="2"/>
        <v>Complete</v>
      </c>
      <c r="D55" s="194" t="str">
        <f>IF(H55=1,"Click here to answer question (B)","")</f>
        <v/>
      </c>
      <c r="E55" s="184" t="s">
        <v>100</v>
      </c>
      <c r="F55" s="200">
        <f>F$54</f>
        <v>1</v>
      </c>
      <c r="G55" s="196">
        <f>IF(B55=0,1,0)</f>
        <v>0</v>
      </c>
      <c r="H55" s="197">
        <f t="shared" si="3"/>
        <v>0</v>
      </c>
      <c r="I55" s="198" t="str">
        <f ca="1">OFFSET(L!$C$1,MATCH("Checker"&amp;"Comp",L!$A:$A,0)-1,SL,,)</f>
        <v>Complete</v>
      </c>
      <c r="J55" s="183" t="str">
        <f ca="1">OFFSET(L!$C$1,MATCH("Checker"&amp;ADDRESS(ROW(),COLUMN(),4),L!$A:$A,0)-1,SL,,)</f>
        <v>Answer if your company has made your responsible minerals sourcing policy publically available on your website on the Declaration tab cell D77</v>
      </c>
    </row>
    <row r="56" spans="1:10" ht="38.65" customHeight="1">
      <c r="A56" s="193" t="s">
        <v>3239</v>
      </c>
      <c r="B56" s="193" t="str">
        <f>Declaration!G77</f>
        <v>https://www.sprecherschuh.com/library/approvals/compliance.html</v>
      </c>
      <c r="C56" s="193" t="str">
        <f t="shared" ca="1" si="2"/>
        <v>Complete</v>
      </c>
      <c r="D56" s="194" t="str">
        <f>IF(H56=1,"Click here to specify URL for question (B)","")</f>
        <v/>
      </c>
      <c r="E56" s="184"/>
      <c r="F56" s="200">
        <f>IF(AND(F55=1,B55="Yes"),1,0)</f>
        <v>1</v>
      </c>
      <c r="G56" s="196">
        <f>IF(LEN(B56)&gt;1,0,1)</f>
        <v>0</v>
      </c>
      <c r="H56" s="197">
        <f t="shared" si="3"/>
        <v>0</v>
      </c>
      <c r="I56" s="198" t="str">
        <f ca="1">OFFSET(L!$C$1,MATCH("Checker"&amp;"Comp",L!$A:$A,0)-1,SL,,)</f>
        <v>Complete</v>
      </c>
      <c r="J56" s="209" t="str">
        <f ca="1">OFFSET(L!$C$1,MATCH("Checker"&amp;ADDRESS(ROW(),COLUMN(),4),L!$A:$A,0)-1,SL,,)</f>
        <v>Enter the URL in Declaration worksheet cell G77 if you answer "Yes" for question B. The format of the URL should be "www.companyname.com"</v>
      </c>
    </row>
    <row r="57" spans="1:10" ht="51">
      <c r="A57" s="193" t="str">
        <f ca="1">Declaration!B79</f>
        <v>C. Do you require your direct suppliers to source the 3TG from smelters whose due diligence practices have been validated by an independent third party audit program? (*)</v>
      </c>
      <c r="B57" s="193" t="str">
        <f>Declaration!D79</f>
        <v>No</v>
      </c>
      <c r="C57" s="193" t="str">
        <f t="shared" ca="1" si="2"/>
        <v>Complete</v>
      </c>
      <c r="D57" s="194" t="str">
        <f>IF(H57=1,"Click here to answer question (C)","")</f>
        <v/>
      </c>
      <c r="E57" s="184" t="s">
        <v>100</v>
      </c>
      <c r="F57" s="200">
        <f>F$54</f>
        <v>1</v>
      </c>
      <c r="G57" s="196">
        <f>IF(B57=0,1,0)</f>
        <v>0</v>
      </c>
      <c r="H57" s="197">
        <f t="shared" si="3"/>
        <v>0</v>
      </c>
      <c r="I57" s="198" t="str">
        <f ca="1">OFFSET(L!$C$1,MATCH("Checker"&amp;"Comp",L!$A:$A,0)-1,SL,,)</f>
        <v>Complete</v>
      </c>
      <c r="J57" s="18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93" t="str">
        <f ca="1">Declaration!B81</f>
        <v>D. Have you implemented due diligence measures for responsible sourcing? (*)</v>
      </c>
      <c r="B58" s="193" t="str">
        <f>Declaration!D81</f>
        <v>Yes</v>
      </c>
      <c r="C58" s="193" t="str">
        <f t="shared" ca="1" si="2"/>
        <v>Complete</v>
      </c>
      <c r="D58" s="194" t="str">
        <f>IF(H58=1,"Click here to answer question (D)","")</f>
        <v/>
      </c>
      <c r="E58" s="184" t="s">
        <v>100</v>
      </c>
      <c r="F58" s="200">
        <f>F$54</f>
        <v>1</v>
      </c>
      <c r="G58" s="196">
        <f>IF(B58=0,1,0)</f>
        <v>0</v>
      </c>
      <c r="H58" s="197">
        <f t="shared" si="3"/>
        <v>0</v>
      </c>
      <c r="I58" s="198" t="str">
        <f ca="1">OFFSET(L!$C$1,MATCH("Checker"&amp;"Comp",L!$A:$A,0)-1,SL,,)</f>
        <v>Complete</v>
      </c>
      <c r="J58" s="183" t="str">
        <f ca="1">OFFSET(L!$C$1,MATCH("Checker"&amp;ADDRESS(ROW(),COLUMN(),4),L!$A:$A,0)-1,SL,,)</f>
        <v>Answer if you have implemented due diligence measures for responsible sourcing on Declaration tab cell D81</v>
      </c>
    </row>
    <row r="59" spans="1:10" ht="39">
      <c r="A59" s="193" t="str">
        <f ca="1">Declaration!B83</f>
        <v>E. Does your company conduct Conflict Minerals survey(s) of your relevant supplier(s)? (*)</v>
      </c>
      <c r="B59" s="193" t="str">
        <f>Declaration!D83</f>
        <v>Yes, in conformance with IPC1755 (e.g., CMRT)</v>
      </c>
      <c r="C59" s="193" t="str">
        <f t="shared" ca="1" si="2"/>
        <v>Complete</v>
      </c>
      <c r="D59" s="194" t="str">
        <f>IF(H59=1,"Click here to answer question (E)","")</f>
        <v/>
      </c>
      <c r="E59" s="184" t="s">
        <v>100</v>
      </c>
      <c r="F59" s="200">
        <f>F$54</f>
        <v>1</v>
      </c>
      <c r="G59" s="196">
        <f>IF(B59=0,1,0)</f>
        <v>0</v>
      </c>
      <c r="H59" s="197">
        <f t="shared" si="3"/>
        <v>0</v>
      </c>
      <c r="I59" s="198" t="str">
        <f ca="1">OFFSET(L!$C$1,MATCH("Checker"&amp;"Comp",L!$A:$A,0)-1,SL,,)</f>
        <v>Complete</v>
      </c>
      <c r="J59" s="183" t="str">
        <f ca="1">OFFSET(L!$C$1,MATCH("Checker"&amp;ADDRESS(ROW(),COLUMN(),4),L!$A:$A,0)-1,SL,,)</f>
        <v>Answer if you request your suppliers to fill out this Conflict Minerals Reporting Template on Declaration tab cell D83</v>
      </c>
    </row>
    <row r="60" spans="1:10" ht="39">
      <c r="A60" s="193" t="str">
        <f ca="1">Declaration!B85</f>
        <v>F. Do you review due diligence information received from your suppliers against your company’s expectations? (*)</v>
      </c>
      <c r="B60" s="193" t="str">
        <f>Declaration!D85</f>
        <v>Yes</v>
      </c>
      <c r="C60" s="193" t="str">
        <f t="shared" ca="1" si="2"/>
        <v>Complete</v>
      </c>
      <c r="D60" s="194" t="str">
        <f>IF(H60=1,"Click here to answer question (F)","")</f>
        <v/>
      </c>
      <c r="E60" s="184" t="s">
        <v>100</v>
      </c>
      <c r="F60" s="200">
        <f>F$54</f>
        <v>1</v>
      </c>
      <c r="G60" s="196">
        <f>IF(B60=0,1,0)</f>
        <v>0</v>
      </c>
      <c r="H60" s="197">
        <f t="shared" si="3"/>
        <v>0</v>
      </c>
      <c r="I60" s="198" t="str">
        <f ca="1">OFFSET(L!$C$1,MATCH("Checker"&amp;"Comp",L!$A:$A,0)-1,SL,,)</f>
        <v>Complete</v>
      </c>
      <c r="J60" s="183" t="str">
        <f ca="1">OFFSET(L!$C$1,MATCH("Checker"&amp;ADDRESS(ROW(),COLUMN(),4),L!$A:$A,0)-1,SL,,)</f>
        <v>Answer if you verify responses from your suppliers against your company's expectations on Declaration tab cell D85</v>
      </c>
    </row>
    <row r="61" spans="1:10" ht="15" hidden="1">
      <c r="A61" s="193"/>
      <c r="B61" s="193"/>
      <c r="C61" s="193"/>
      <c r="D61" s="194"/>
      <c r="E61" s="184"/>
      <c r="F61" s="200"/>
      <c r="G61" s="196"/>
      <c r="H61" s="197"/>
      <c r="I61" s="198"/>
    </row>
    <row r="62" spans="1:10" ht="39">
      <c r="A62" s="193" t="str">
        <f ca="1">Declaration!B87</f>
        <v>G. Does your review process include corrective action management? (*)</v>
      </c>
      <c r="B62" s="193" t="str">
        <f>Declaration!D87</f>
        <v>Yes</v>
      </c>
      <c r="C62" s="193" t="str">
        <f t="shared" ref="C62:C68" ca="1" si="4">IF(H62=1,J62,I62)</f>
        <v>Complete</v>
      </c>
      <c r="D62" s="194" t="str">
        <f>IF(H62=1,"Click here to answer question (G)","")</f>
        <v/>
      </c>
      <c r="E62" s="184" t="s">
        <v>100</v>
      </c>
      <c r="F62" s="200">
        <f>F$54</f>
        <v>1</v>
      </c>
      <c r="G62" s="196">
        <f>IF(B62=0,1,0)</f>
        <v>0</v>
      </c>
      <c r="H62" s="197">
        <f t="shared" ref="H62:H69" si="5">F62*G62</f>
        <v>0</v>
      </c>
      <c r="I62" s="198" t="str">
        <f ca="1">OFFSET(L!$C$1,MATCH("Checker"&amp;"Comp",L!$A:$A,0)-1,SL,,)</f>
        <v>Complete</v>
      </c>
      <c r="J62" s="183" t="str">
        <f ca="1">OFFSET(L!$C$1,MATCH("Checker"&amp;ADDRESS(ROW(),COLUMN(),4),L!$A:$A,0)-1,SL,,)</f>
        <v>Answer if your verification process includes corrective action management on Declaration tab cell D87</v>
      </c>
    </row>
    <row r="63" spans="1:10" ht="39">
      <c r="A63" s="193" t="str">
        <f ca="1">Declaration!B89</f>
        <v>H. Is your company required to file an annual conflict minerals disclosure? (*)</v>
      </c>
      <c r="B63" s="193" t="str">
        <f>Declaration!D89</f>
        <v>Yes, with the SEC</v>
      </c>
      <c r="C63" s="193" t="str">
        <f t="shared" ca="1" si="4"/>
        <v>Complete</v>
      </c>
      <c r="D63" s="194" t="str">
        <f>IF(H63=1,"Click here to answer question (H)","")</f>
        <v/>
      </c>
      <c r="E63" s="184" t="s">
        <v>100</v>
      </c>
      <c r="F63" s="200">
        <f>F$54</f>
        <v>1</v>
      </c>
      <c r="G63" s="196">
        <f>IF(B63=0,1,0)</f>
        <v>0</v>
      </c>
      <c r="H63" s="197">
        <f t="shared" si="5"/>
        <v>0</v>
      </c>
      <c r="I63" s="198" t="str">
        <f ca="1">OFFSET(L!$C$1,MATCH("Checker"&amp;"Comp",L!$A:$A,0)-1,SL,,)</f>
        <v>Complete</v>
      </c>
      <c r="J63" s="183" t="str">
        <f ca="1">OFFSET(L!$C$1,MATCH("Checker"&amp;ADDRESS(ROW(),COLUMN(),4),L!$A:$A,0)-1,SL,,)</f>
        <v>Answer if you are subject to the SEC Disclosure requirement, the EU regulation or both on Declaration tab cell D89</v>
      </c>
    </row>
    <row r="64" spans="1:10" ht="39">
      <c r="A64" s="193" t="s">
        <v>3240</v>
      </c>
      <c r="B64" s="193" t="str">
        <f ca="1">IF(G64=1,"No products or item numbers listed","One or more product / item numbers have been provided")</f>
        <v>No products or item numbers listed</v>
      </c>
      <c r="C64" s="193" t="str">
        <f t="shared" ca="1" si="4"/>
        <v>Complete</v>
      </c>
      <c r="D64" s="194" t="str">
        <f ca="1">IF(H64=1,"Click here to enter detail on Product List tab","")</f>
        <v/>
      </c>
      <c r="E64" s="184" t="s">
        <v>100</v>
      </c>
      <c r="F64" s="200">
        <f>IF(B5=Declaration!Q9,1,0)</f>
        <v>0</v>
      </c>
      <c r="G64" s="196" cm="1">
        <f t="array" ref="G64" ca="1">IF(INDIRECT("'Product List'!B6")="",1,0)</f>
        <v>1</v>
      </c>
      <c r="H64" s="197">
        <f t="shared" ca="1" si="5"/>
        <v>0</v>
      </c>
      <c r="I64" s="198" t="str">
        <f ca="1">OFFSET(L!$C$1,MATCH("Checker"&amp;"Comp",L!$A:$A,0)-1,SL,,)</f>
        <v>Complete</v>
      </c>
      <c r="J64" s="183" t="str">
        <f ca="1">OFFSET(L!$C$1,MATCH("Checker"&amp;ADDRESS(ROW(),COLUMN(),4),L!$A:$A,0)-1,SL,,)</f>
        <v>If applicable, provide 1 or more Products or Item Numbers this declaration applies to. From Declaration tab select hyperlink in cell 6H1 to enter Product List tab</v>
      </c>
    </row>
    <row r="65" spans="1:12" ht="39">
      <c r="A65" s="193" t="s">
        <v>3241</v>
      </c>
      <c r="B65" s="193"/>
      <c r="C65" s="193" t="str">
        <f t="shared" ca="1" si="4"/>
        <v>Complete</v>
      </c>
      <c r="D65" s="194" t="str">
        <f ca="1">IF(H65=0,"","Click here to provide smelter information")</f>
        <v/>
      </c>
      <c r="E65" s="184" t="s">
        <v>100</v>
      </c>
      <c r="F65" s="200">
        <f>F24</f>
        <v>1</v>
      </c>
      <c r="G65" s="196">
        <f ca="1">IF(AND(COUNTIF(SmelterIdetifiedForMetal,"Tantalum")&gt;0,COUNTIF('Smelter List'!AB$5:AB$1171,"Tantalum?*")&gt;0),0,1)</f>
        <v>0</v>
      </c>
      <c r="H65" s="197">
        <f t="shared" ca="1" si="5"/>
        <v>0</v>
      </c>
      <c r="I65" s="198" t="str">
        <f ca="1">OFFSET(L!$C$1,MATCH("Checker"&amp;"Comp",L!$A:$A,0)-1,SL,,)</f>
        <v>Complete</v>
      </c>
      <c r="J65" s="183" t="str">
        <f ca="1">OFFSET(L!$C$1,MATCH("Checker"&amp;ADDRESS(ROW(),COLUMN(),4),L!$A:$A,0)-1,SL,,)</f>
        <v>Provide list of tantalum smelters contributing material to supply chain on Smelter List tab</v>
      </c>
      <c r="K65" s="210">
        <f>IF(H14+H19&gt;0,1,0)</f>
        <v>0</v>
      </c>
      <c r="L65" s="183" t="e">
        <f ca="1">OFFSET(L!$C$1,MATCH("Checker"&amp;ADDRESS(ROW(),COLUMN(),4),L!$A:$A,0)-1,SL,,)</f>
        <v>#N/A</v>
      </c>
    </row>
    <row r="66" spans="1:12" ht="39">
      <c r="A66" s="193" t="s">
        <v>3242</v>
      </c>
      <c r="B66" s="193"/>
      <c r="C66" s="193" t="str">
        <f t="shared" ca="1" si="4"/>
        <v>Complete</v>
      </c>
      <c r="D66" s="194" t="str">
        <f ca="1">IF(H66=0,"","Click here to provide smelter information")</f>
        <v/>
      </c>
      <c r="E66" s="184" t="s">
        <v>100</v>
      </c>
      <c r="F66" s="200">
        <f>F25</f>
        <v>1</v>
      </c>
      <c r="G66" s="196">
        <f ca="1">IF(AND(COUNTIF(SmelterIdetifiedForMetal,"Tin")&gt;0,COUNTIF('Smelter List'!AB$5:AB$1171,"Tin?*")&gt;0),0,1)</f>
        <v>0</v>
      </c>
      <c r="H66" s="197">
        <f t="shared" ca="1" si="5"/>
        <v>0</v>
      </c>
      <c r="I66" s="198" t="str">
        <f ca="1">OFFSET(L!$C$1,MATCH("Checker"&amp;"Comp",L!$A:$A,0)-1,SL,,)</f>
        <v>Complete</v>
      </c>
      <c r="J66" s="183" t="str">
        <f ca="1">OFFSET(L!$C$1,MATCH("Checker"&amp;ADDRESS(ROW(),COLUMN(),4),L!$A:$A,0)-1,SL,,)</f>
        <v>Provide list of tin smelters contributing material to supply chain on Smelter List tab</v>
      </c>
      <c r="K66" s="210">
        <f>IF(H15+H20&gt;0,1,0)</f>
        <v>0</v>
      </c>
      <c r="L66" s="183" t="e">
        <f ca="1">OFFSET(L!$C$1,MATCH("Checker"&amp;ADDRESS(ROW(),COLUMN(),4),L!$A:$A,0)-1,SL,,)</f>
        <v>#N/A</v>
      </c>
    </row>
    <row r="67" spans="1:12" ht="39">
      <c r="A67" s="193" t="s">
        <v>3243</v>
      </c>
      <c r="B67" s="193"/>
      <c r="C67" s="193" t="str">
        <f t="shared" ca="1" si="4"/>
        <v>Complete</v>
      </c>
      <c r="D67" s="194" t="str">
        <f ca="1">IF(H67=0,"","Click here to provide smelter information")</f>
        <v/>
      </c>
      <c r="E67" s="184" t="s">
        <v>100</v>
      </c>
      <c r="F67" s="200">
        <f>F26</f>
        <v>1</v>
      </c>
      <c r="G67" s="196">
        <f ca="1">IF(AND(COUNTIF(SmelterIdetifiedForMetal,"Gold")&gt;0,COUNTIF('Smelter List'!AB$5:AB$1171,"Gold?*")&gt;0),0,1)</f>
        <v>0</v>
      </c>
      <c r="H67" s="197">
        <f t="shared" ca="1" si="5"/>
        <v>0</v>
      </c>
      <c r="I67" s="198" t="str">
        <f ca="1">OFFSET(L!$C$1,MATCH("Checker"&amp;"Comp",L!$A:$A,0)-1,SL,,)</f>
        <v>Complete</v>
      </c>
      <c r="J67" s="183" t="str">
        <f ca="1">OFFSET(L!$C$1,MATCH("Checker"&amp;ADDRESS(ROW(),COLUMN(),4),L!$A:$A,0)-1,SL,,)</f>
        <v>Provide list of gold smelters contributing material to supply chain on Smelter List tab</v>
      </c>
      <c r="K67" s="210">
        <f>IF(H16+H21&gt;0,1,0)</f>
        <v>0</v>
      </c>
      <c r="L67" s="183" t="e">
        <f ca="1">OFFSET(L!$C$1,MATCH("Checker"&amp;ADDRESS(ROW(),COLUMN(),4),L!$A:$A,0)-1,SL,,)</f>
        <v>#N/A</v>
      </c>
    </row>
    <row r="68" spans="1:12" ht="39">
      <c r="A68" s="193" t="s">
        <v>3244</v>
      </c>
      <c r="B68" s="193"/>
      <c r="C68" s="193" t="str">
        <f t="shared" ca="1" si="4"/>
        <v>Complete</v>
      </c>
      <c r="D68" s="194" t="str">
        <f ca="1">IF(H68=0,"","Click here to provide smelter information")</f>
        <v/>
      </c>
      <c r="E68" s="184" t="s">
        <v>100</v>
      </c>
      <c r="F68" s="200">
        <f>F27</f>
        <v>1</v>
      </c>
      <c r="G68" s="196">
        <f ca="1">IF(AND(COUNTIF(SmelterIdetifiedForMetal,"Tungsten")&gt;0,COUNTIF('Smelter List'!AB$5:AB$1171,"Tungsten?*")&gt;0),0,1)</f>
        <v>0</v>
      </c>
      <c r="H68" s="197">
        <f t="shared" ca="1" si="5"/>
        <v>0</v>
      </c>
      <c r="I68" s="198" t="str">
        <f ca="1">OFFSET(L!$C$1,MATCH("Checker"&amp;"Comp",L!$A:$A,0)-1,SL,,)</f>
        <v>Complete</v>
      </c>
      <c r="J68" s="183" t="str">
        <f ca="1">OFFSET(L!$C$1,MATCH("Checker"&amp;ADDRESS(ROW(),COLUMN(),4),L!$A:$A,0)-1,SL,,)</f>
        <v>Provide list of tungsten smelters contributing material to supply chain on Smelter List tab</v>
      </c>
      <c r="K68" s="210">
        <f>IF(H17+H22&gt;0,1,0)</f>
        <v>0</v>
      </c>
      <c r="L68" s="183" t="e">
        <f ca="1">OFFSET(L!$C$1,MATCH("Checker"&amp;ADDRESS(ROW(),COLUMN(),4),L!$A:$A,0)-1,SL,,)</f>
        <v>#N/A</v>
      </c>
    </row>
    <row r="69" spans="1:12" ht="25.5">
      <c r="A69" s="211" t="s">
        <v>3245</v>
      </c>
      <c r="B69" s="193"/>
      <c r="C69" s="211" t="str">
        <f ca="1">IF(F69=0,J69,IF(G69=0,I69,L69))</f>
        <v>Complete</v>
      </c>
      <c r="D69" s="194"/>
      <c r="E69" s="184"/>
      <c r="F69" s="200">
        <f ca="1">IF(COUNTIF('Smelter List'!$C:$C,"Smelter not listed")=0,0,1)</f>
        <v>1</v>
      </c>
      <c r="G69" s="196" cm="1">
        <f t="array" aca="1" ref="G69" ca="1">IF(OR(SUMPRODUCT(('Smelter List'!$C:$C="Smelter not listed")*('Smelter List'!$D:$D=""))&gt;0,SUMPRODUCT(('Smelter List'!$C:$C="Smelter not listed")*('Smelter List'!$E:$E=""))&gt;0),1,0)</f>
        <v>0</v>
      </c>
      <c r="H69" s="197">
        <f t="shared" ca="1" si="5"/>
        <v>0</v>
      </c>
      <c r="I69" s="198" t="str">
        <f ca="1">OFFSET(L!$C$1,MATCH("Checker"&amp;"Comp",L!$A:$A,0)-1,SL,,)</f>
        <v>Complete</v>
      </c>
      <c r="J69" s="183" t="s">
        <v>2522</v>
      </c>
      <c r="K69" s="210"/>
      <c r="L69" s="183" t="s">
        <v>3246</v>
      </c>
    </row>
    <row r="70" spans="1:12">
      <c r="H70" s="183">
        <f ca="1">SUM(H4:H69)</f>
        <v>0</v>
      </c>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headerFooter>
    <oddFooter xml:space="preserve">&amp;L_x000D_&amp;1#&amp;"Calibri"&amp;8&amp;K000000  Rockwell Automation Company 'Internal' </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Normal="100" workbookViewId="0">
      <pane xSplit="2" ySplit="5" topLeftCell="C6" activePane="bottomRight" state="frozen"/>
      <selection pane="topRight"/>
      <selection pane="bottomLeft"/>
      <selection pane="bottomRight" activeCell="A4" sqref="A4 B6"/>
    </sheetView>
  </sheetViews>
  <sheetFormatPr defaultColWidth="8.875" defaultRowHeight="12.75"/>
  <cols>
    <col min="1" max="1" width="3.125" style="212" customWidth="1"/>
    <col min="2" max="2" width="39.875" style="213" customWidth="1"/>
    <col min="3" max="3" width="39.875" style="212" customWidth="1"/>
    <col min="4" max="4" width="58.875" style="212" customWidth="1"/>
    <col min="5" max="5" width="1.625" style="212" customWidth="1"/>
    <col min="6" max="6" width="9" style="212" customWidth="1"/>
    <col min="7" max="7" width="8.875" style="214" customWidth="1"/>
    <col min="8" max="16384" width="8.875" style="214"/>
  </cols>
  <sheetData>
    <row r="1" spans="1:6" s="215" customFormat="1" ht="35.1" customHeight="1">
      <c r="A1" s="387" t="str">
        <f ca="1">OFFSET(L!$C$1,MATCH("Product List"&amp;ADDRESS(ROW(),COLUMN(),4),L!$A:$A,0)-1,SL,,)</f>
        <v>Completion required only if reporting level "Product (or List of Products)" selected on the 'Declaration' worksheet.</v>
      </c>
      <c r="B1" s="388"/>
      <c r="C1" s="388"/>
      <c r="D1" s="388"/>
      <c r="E1" s="216"/>
      <c r="F1"/>
    </row>
    <row r="2" spans="1:6" s="215" customFormat="1">
      <c r="A2" s="217"/>
      <c r="B2" s="146"/>
      <c r="C2" s="146"/>
      <c r="D2"/>
      <c r="E2" s="218"/>
      <c r="F2"/>
    </row>
    <row r="3" spans="1:6" s="215" customFormat="1">
      <c r="A3" s="217"/>
      <c r="B3" s="146"/>
      <c r="C3" s="146"/>
      <c r="D3" s="146"/>
      <c r="E3" s="218"/>
      <c r="F3"/>
    </row>
    <row r="4" spans="1:6" s="215" customFormat="1" ht="15.75" customHeight="1">
      <c r="A4" s="217"/>
      <c r="B4" s="386" t="s">
        <v>3233</v>
      </c>
      <c r="C4" s="386"/>
      <c r="D4" s="386"/>
      <c r="E4" s="218"/>
      <c r="F4"/>
    </row>
    <row r="5" spans="1:6" s="215" customFormat="1" ht="15.75">
      <c r="A5" s="219"/>
      <c r="B5" s="220" t="str">
        <f ca="1">OFFSET(L!$C$1,MATCH("Product List"&amp;ADDRESS(ROW(),COLUMN(),4),L!$A:$A,0)-1,SL,,)</f>
        <v>Manufacturer’s Product Number (*)</v>
      </c>
      <c r="C5" s="220" t="str">
        <f ca="1">OFFSET(L!$C$1,MATCH("Product List"&amp;ADDRESS(ROW(),COLUMN(),4),L!$A:$A,0)-1,SL,,)</f>
        <v>Manufacturer’s Product Name</v>
      </c>
      <c r="D5" s="96" t="str">
        <f ca="1">OFFSET(L!$C$1,MATCH("Product List"&amp;ADDRESS(ROW(),COLUMN(),4),L!$A:$A,0)-1,SL,,)</f>
        <v>Comments</v>
      </c>
      <c r="E5" s="218"/>
      <c r="F5"/>
    </row>
    <row r="6" spans="1:6" ht="15.75">
      <c r="A6" s="221"/>
      <c r="B6" s="83"/>
      <c r="C6" s="222"/>
      <c r="D6" s="222"/>
      <c r="E6" s="223"/>
    </row>
    <row r="7" spans="1:6" ht="15.75">
      <c r="A7" s="224"/>
      <c r="B7" s="83"/>
      <c r="C7" s="222"/>
      <c r="D7" s="222"/>
      <c r="E7" s="223"/>
    </row>
    <row r="8" spans="1:6" ht="15.75">
      <c r="A8" s="224"/>
      <c r="B8" s="83"/>
      <c r="C8" s="222"/>
      <c r="D8" s="222"/>
      <c r="E8" s="223"/>
    </row>
    <row r="9" spans="1:6" ht="15.75">
      <c r="A9" s="224"/>
      <c r="B9" s="83"/>
      <c r="C9" s="222"/>
      <c r="D9" s="222"/>
      <c r="E9" s="223"/>
    </row>
    <row r="10" spans="1:6" ht="15.75">
      <c r="A10" s="224"/>
      <c r="B10" s="83"/>
      <c r="C10" s="222"/>
      <c r="D10" s="222"/>
      <c r="E10" s="223"/>
    </row>
    <row r="11" spans="1:6" ht="15.75">
      <c r="A11" s="224"/>
      <c r="B11" s="83"/>
      <c r="C11" s="222"/>
      <c r="D11" s="222"/>
      <c r="E11" s="223"/>
    </row>
    <row r="12" spans="1:6" ht="15.75">
      <c r="A12" s="224"/>
      <c r="B12" s="83"/>
      <c r="C12" s="222"/>
      <c r="D12" s="222"/>
      <c r="E12" s="223"/>
    </row>
    <row r="13" spans="1:6" ht="15.75">
      <c r="A13" s="224"/>
      <c r="B13" s="83"/>
      <c r="C13" s="222"/>
      <c r="D13" s="222"/>
      <c r="E13" s="223"/>
    </row>
    <row r="14" spans="1:6" ht="15.75">
      <c r="A14" s="224"/>
      <c r="B14" s="83"/>
      <c r="C14" s="222"/>
      <c r="D14" s="222"/>
      <c r="E14" s="223"/>
    </row>
    <row r="15" spans="1:6" ht="15.75">
      <c r="A15" s="224"/>
      <c r="B15" s="83"/>
      <c r="C15" s="222"/>
      <c r="D15" s="222"/>
      <c r="E15" s="223"/>
    </row>
    <row r="16" spans="1:6" ht="15.75">
      <c r="A16" s="224"/>
      <c r="B16" s="83"/>
      <c r="C16" s="222"/>
      <c r="D16" s="222"/>
      <c r="E16" s="223"/>
    </row>
    <row r="17" spans="1:5" ht="15.75">
      <c r="A17" s="224"/>
      <c r="B17" s="83"/>
      <c r="C17" s="222"/>
      <c r="D17" s="222"/>
      <c r="E17" s="223"/>
    </row>
    <row r="18" spans="1:5" ht="15.75">
      <c r="A18" s="224"/>
      <c r="B18" s="83"/>
      <c r="C18" s="222"/>
      <c r="D18" s="222"/>
      <c r="E18" s="223"/>
    </row>
    <row r="19" spans="1:5" ht="15.75">
      <c r="A19" s="224"/>
      <c r="B19" s="83"/>
      <c r="C19" s="222"/>
      <c r="D19" s="222"/>
      <c r="E19" s="223"/>
    </row>
    <row r="20" spans="1:5" ht="15.75">
      <c r="A20" s="224"/>
      <c r="B20" s="83"/>
      <c r="C20" s="222"/>
      <c r="D20" s="222"/>
      <c r="E20" s="223"/>
    </row>
    <row r="21" spans="1:5" ht="15.75">
      <c r="A21" s="224"/>
      <c r="B21" s="83"/>
      <c r="C21" s="222"/>
      <c r="D21" s="222"/>
      <c r="E21" s="223"/>
    </row>
    <row r="22" spans="1:5" ht="15.75">
      <c r="A22" s="224"/>
      <c r="B22" s="83"/>
      <c r="C22" s="222"/>
      <c r="D22" s="222"/>
      <c r="E22" s="223"/>
    </row>
    <row r="23" spans="1:5" ht="15.75">
      <c r="A23" s="224"/>
      <c r="B23" s="83"/>
      <c r="C23" s="222"/>
      <c r="D23" s="222"/>
      <c r="E23" s="223"/>
    </row>
    <row r="24" spans="1:5" ht="15.75">
      <c r="A24" s="224"/>
      <c r="B24" s="83"/>
      <c r="C24" s="222"/>
      <c r="D24" s="222"/>
      <c r="E24" s="223"/>
    </row>
    <row r="25" spans="1:5" ht="15.75">
      <c r="A25" s="224"/>
      <c r="B25" s="83"/>
      <c r="C25" s="222"/>
      <c r="D25" s="222"/>
      <c r="E25" s="223"/>
    </row>
    <row r="26" spans="1:5" ht="15.75">
      <c r="A26" s="224"/>
      <c r="B26" s="83"/>
      <c r="C26" s="222"/>
      <c r="D26" s="222"/>
      <c r="E26" s="223"/>
    </row>
    <row r="27" spans="1:5" ht="15.75">
      <c r="A27" s="224"/>
      <c r="B27" s="83"/>
      <c r="C27" s="222"/>
      <c r="D27" s="222"/>
      <c r="E27" s="223"/>
    </row>
    <row r="28" spans="1:5" ht="15.75">
      <c r="A28" s="224"/>
      <c r="B28" s="83"/>
      <c r="C28" s="222"/>
      <c r="D28" s="222"/>
      <c r="E28" s="223"/>
    </row>
    <row r="29" spans="1:5" ht="15.75">
      <c r="A29" s="224"/>
      <c r="B29" s="83"/>
      <c r="C29" s="222"/>
      <c r="D29" s="222"/>
      <c r="E29" s="223"/>
    </row>
    <row r="30" spans="1:5" ht="15.75">
      <c r="A30" s="224"/>
      <c r="B30" s="83"/>
      <c r="C30" s="222"/>
      <c r="D30" s="222"/>
      <c r="E30" s="223"/>
    </row>
    <row r="31" spans="1:5" ht="15.75">
      <c r="A31" s="224"/>
      <c r="B31" s="83"/>
      <c r="C31" s="222"/>
      <c r="D31" s="222"/>
      <c r="E31" s="223"/>
    </row>
    <row r="32" spans="1:5" ht="15.75">
      <c r="A32" s="224"/>
      <c r="B32" s="83"/>
      <c r="C32" s="222"/>
      <c r="D32" s="222"/>
      <c r="E32" s="223"/>
    </row>
    <row r="33" spans="1:5" ht="15.75">
      <c r="A33" s="224"/>
      <c r="B33" s="83"/>
      <c r="C33" s="222"/>
      <c r="D33" s="222"/>
      <c r="E33" s="223"/>
    </row>
    <row r="34" spans="1:5" ht="15.75">
      <c r="A34" s="224"/>
      <c r="B34" s="83"/>
      <c r="C34" s="222"/>
      <c r="D34" s="222"/>
      <c r="E34" s="223"/>
    </row>
    <row r="35" spans="1:5" ht="15.75">
      <c r="A35" s="224"/>
      <c r="B35" s="83"/>
      <c r="C35" s="222"/>
      <c r="D35" s="222"/>
      <c r="E35" s="223"/>
    </row>
    <row r="36" spans="1:5" ht="15.75">
      <c r="A36" s="224"/>
      <c r="B36" s="83"/>
      <c r="C36" s="222"/>
      <c r="D36" s="222"/>
      <c r="E36" s="223"/>
    </row>
    <row r="37" spans="1:5" ht="15.75">
      <c r="A37" s="224"/>
      <c r="B37" s="83"/>
      <c r="C37" s="222"/>
      <c r="D37" s="222"/>
      <c r="E37" s="223"/>
    </row>
    <row r="38" spans="1:5" ht="15.75">
      <c r="A38" s="224"/>
      <c r="B38" s="83"/>
      <c r="C38" s="222"/>
      <c r="D38" s="222"/>
      <c r="E38" s="223"/>
    </row>
    <row r="39" spans="1:5" ht="15.75">
      <c r="A39" s="224"/>
      <c r="B39" s="83"/>
      <c r="C39" s="222"/>
      <c r="D39" s="222"/>
      <c r="E39" s="223"/>
    </row>
    <row r="40" spans="1:5" ht="15.75">
      <c r="A40" s="224"/>
      <c r="B40" s="83"/>
      <c r="C40" s="222"/>
      <c r="D40" s="222"/>
      <c r="E40" s="223"/>
    </row>
    <row r="41" spans="1:5" ht="15.75">
      <c r="A41" s="224"/>
      <c r="B41" s="83"/>
      <c r="C41" s="222"/>
      <c r="D41" s="222"/>
      <c r="E41" s="223"/>
    </row>
    <row r="42" spans="1:5" ht="15.75">
      <c r="A42" s="224"/>
      <c r="B42" s="83"/>
      <c r="C42" s="222"/>
      <c r="D42" s="222"/>
      <c r="E42" s="223"/>
    </row>
    <row r="43" spans="1:5" ht="15.75">
      <c r="A43" s="224"/>
      <c r="B43" s="83"/>
      <c r="C43" s="222"/>
      <c r="D43" s="222"/>
      <c r="E43" s="223"/>
    </row>
    <row r="44" spans="1:5" ht="15.75">
      <c r="A44" s="224"/>
      <c r="B44" s="83"/>
      <c r="C44" s="222"/>
      <c r="D44" s="222"/>
      <c r="E44" s="223"/>
    </row>
    <row r="45" spans="1:5" ht="15.75">
      <c r="A45" s="224"/>
      <c r="B45" s="83"/>
      <c r="C45" s="222"/>
      <c r="D45" s="222"/>
      <c r="E45" s="223"/>
    </row>
    <row r="46" spans="1:5" ht="15.75">
      <c r="A46" s="224"/>
      <c r="B46" s="83"/>
      <c r="C46" s="222"/>
      <c r="D46" s="222"/>
      <c r="E46" s="223"/>
    </row>
    <row r="47" spans="1:5" ht="15.75">
      <c r="A47" s="224"/>
      <c r="B47" s="83"/>
      <c r="C47" s="222"/>
      <c r="D47" s="222"/>
      <c r="E47" s="223"/>
    </row>
    <row r="48" spans="1:5" ht="15.75">
      <c r="A48" s="224"/>
      <c r="B48" s="83"/>
      <c r="C48" s="222"/>
      <c r="D48" s="222"/>
      <c r="E48" s="223"/>
    </row>
    <row r="49" spans="1:5" ht="15.75">
      <c r="A49" s="224"/>
      <c r="B49" s="83"/>
      <c r="C49" s="222"/>
      <c r="D49" s="222"/>
      <c r="E49" s="223"/>
    </row>
    <row r="50" spans="1:5" ht="15.75">
      <c r="A50" s="224"/>
      <c r="B50" s="83"/>
      <c r="C50" s="222"/>
      <c r="D50" s="222"/>
      <c r="E50" s="223"/>
    </row>
    <row r="51" spans="1:5" ht="15.75">
      <c r="A51" s="224"/>
      <c r="B51" s="83"/>
      <c r="C51" s="222"/>
      <c r="D51" s="222"/>
      <c r="E51" s="223"/>
    </row>
    <row r="52" spans="1:5" ht="15.75">
      <c r="A52" s="224"/>
      <c r="B52" s="83"/>
      <c r="C52" s="222"/>
      <c r="D52" s="222"/>
      <c r="E52" s="223"/>
    </row>
    <row r="53" spans="1:5" ht="15.75">
      <c r="A53" s="224"/>
      <c r="B53" s="83"/>
      <c r="C53" s="222"/>
      <c r="D53" s="222"/>
      <c r="E53" s="223"/>
    </row>
    <row r="54" spans="1:5" ht="15.75">
      <c r="A54" s="224"/>
      <c r="B54" s="83"/>
      <c r="C54" s="222"/>
      <c r="D54" s="222"/>
      <c r="E54" s="223"/>
    </row>
    <row r="55" spans="1:5" ht="15.75">
      <c r="A55" s="224"/>
      <c r="B55" s="83"/>
      <c r="C55" s="222"/>
      <c r="D55" s="222"/>
      <c r="E55" s="223"/>
    </row>
    <row r="56" spans="1:5" ht="15.75">
      <c r="A56" s="224"/>
      <c r="B56" s="83"/>
      <c r="C56" s="222"/>
      <c r="D56" s="222"/>
      <c r="E56" s="223"/>
    </row>
    <row r="57" spans="1:5" ht="15.75">
      <c r="A57" s="224"/>
      <c r="B57" s="83"/>
      <c r="C57" s="222"/>
      <c r="D57" s="222"/>
      <c r="E57" s="223"/>
    </row>
    <row r="58" spans="1:5" ht="15.75">
      <c r="A58" s="224"/>
      <c r="B58" s="83"/>
      <c r="C58" s="222"/>
      <c r="D58" s="222"/>
      <c r="E58" s="223"/>
    </row>
    <row r="59" spans="1:5" ht="15.75">
      <c r="A59" s="224"/>
      <c r="B59" s="83"/>
      <c r="C59" s="222"/>
      <c r="D59" s="222"/>
      <c r="E59" s="223"/>
    </row>
    <row r="60" spans="1:5" ht="15.75">
      <c r="A60" s="224"/>
      <c r="B60" s="83"/>
      <c r="C60" s="222"/>
      <c r="D60" s="222"/>
      <c r="E60" s="223"/>
    </row>
    <row r="61" spans="1:5" ht="15.75">
      <c r="A61" s="224"/>
      <c r="B61" s="83"/>
      <c r="C61" s="222"/>
      <c r="D61" s="222"/>
      <c r="E61" s="223"/>
    </row>
    <row r="62" spans="1:5" ht="15.75">
      <c r="A62" s="224"/>
      <c r="B62" s="83"/>
      <c r="C62" s="222"/>
      <c r="D62" s="222"/>
      <c r="E62" s="223"/>
    </row>
    <row r="63" spans="1:5" ht="15.75">
      <c r="A63" s="224"/>
      <c r="B63" s="83"/>
      <c r="C63" s="222"/>
      <c r="D63" s="222"/>
      <c r="E63" s="223"/>
    </row>
    <row r="64" spans="1:5" ht="15.75">
      <c r="A64" s="224"/>
      <c r="B64" s="83"/>
      <c r="C64" s="222"/>
      <c r="D64" s="222"/>
      <c r="E64" s="223"/>
    </row>
    <row r="65" spans="1:5" ht="15.75">
      <c r="A65" s="224"/>
      <c r="B65" s="83"/>
      <c r="C65" s="222"/>
      <c r="D65" s="222"/>
      <c r="E65" s="223"/>
    </row>
    <row r="66" spans="1:5" ht="15.75">
      <c r="A66" s="224"/>
      <c r="B66" s="83"/>
      <c r="C66" s="222"/>
      <c r="D66" s="222"/>
      <c r="E66" s="223"/>
    </row>
    <row r="67" spans="1:5" ht="15.75">
      <c r="A67" s="224"/>
      <c r="B67" s="83"/>
      <c r="C67" s="222"/>
      <c r="D67" s="222"/>
      <c r="E67" s="223"/>
    </row>
    <row r="68" spans="1:5" ht="15.75">
      <c r="A68" s="224"/>
      <c r="B68" s="83"/>
      <c r="C68" s="222"/>
      <c r="D68" s="222"/>
      <c r="E68" s="223"/>
    </row>
    <row r="69" spans="1:5" ht="15.75">
      <c r="A69" s="224"/>
      <c r="B69" s="83"/>
      <c r="C69" s="222"/>
      <c r="D69" s="222"/>
      <c r="E69" s="223"/>
    </row>
    <row r="70" spans="1:5" ht="15.75">
      <c r="A70" s="224"/>
      <c r="B70" s="83"/>
      <c r="C70" s="222"/>
      <c r="D70" s="222"/>
      <c r="E70" s="223"/>
    </row>
    <row r="71" spans="1:5" ht="15.75">
      <c r="A71" s="224"/>
      <c r="B71" s="83"/>
      <c r="C71" s="222"/>
      <c r="D71" s="222"/>
      <c r="E71" s="223"/>
    </row>
    <row r="72" spans="1:5" ht="15.75">
      <c r="A72" s="224"/>
      <c r="B72" s="83"/>
      <c r="C72" s="222"/>
      <c r="D72" s="222"/>
      <c r="E72" s="223"/>
    </row>
    <row r="73" spans="1:5" ht="15.75">
      <c r="A73" s="224"/>
      <c r="B73" s="83"/>
      <c r="C73" s="222"/>
      <c r="D73" s="222"/>
      <c r="E73" s="223"/>
    </row>
    <row r="74" spans="1:5" ht="15.75">
      <c r="A74" s="224"/>
      <c r="B74" s="83"/>
      <c r="C74" s="222"/>
      <c r="D74" s="222"/>
      <c r="E74" s="223"/>
    </row>
    <row r="75" spans="1:5" ht="15.75">
      <c r="A75" s="224"/>
      <c r="B75" s="83"/>
      <c r="C75" s="222"/>
      <c r="D75" s="222"/>
      <c r="E75" s="223"/>
    </row>
    <row r="76" spans="1:5" ht="15.75">
      <c r="A76" s="224"/>
      <c r="B76" s="83"/>
      <c r="C76" s="222"/>
      <c r="D76" s="222"/>
      <c r="E76" s="223"/>
    </row>
    <row r="77" spans="1:5" ht="15.75">
      <c r="A77" s="224"/>
      <c r="B77" s="83"/>
      <c r="C77" s="222"/>
      <c r="D77" s="222"/>
      <c r="E77" s="223"/>
    </row>
    <row r="78" spans="1:5" ht="15.75">
      <c r="A78" s="224"/>
      <c r="B78" s="83"/>
      <c r="C78" s="222"/>
      <c r="D78" s="222"/>
      <c r="E78" s="223"/>
    </row>
    <row r="79" spans="1:5" ht="15.75">
      <c r="A79" s="224"/>
      <c r="B79" s="83"/>
      <c r="C79" s="222"/>
      <c r="D79" s="222"/>
      <c r="E79" s="223"/>
    </row>
    <row r="80" spans="1:5" ht="15.75">
      <c r="A80" s="224"/>
      <c r="B80" s="83"/>
      <c r="C80" s="222"/>
      <c r="D80" s="222"/>
      <c r="E80" s="223"/>
    </row>
    <row r="81" spans="1:5" ht="15.75">
      <c r="A81" s="224"/>
      <c r="B81" s="83"/>
      <c r="C81" s="222"/>
      <c r="D81" s="222"/>
      <c r="E81" s="223"/>
    </row>
    <row r="82" spans="1:5" ht="15.75">
      <c r="A82" s="224"/>
      <c r="B82" s="83"/>
      <c r="C82" s="222"/>
      <c r="D82" s="222"/>
      <c r="E82" s="223"/>
    </row>
    <row r="83" spans="1:5" ht="15.75">
      <c r="A83" s="224"/>
      <c r="B83" s="83"/>
      <c r="C83" s="222"/>
      <c r="D83" s="222"/>
      <c r="E83" s="223"/>
    </row>
    <row r="84" spans="1:5" ht="15.75">
      <c r="A84" s="224"/>
      <c r="B84" s="83"/>
      <c r="C84" s="222"/>
      <c r="D84" s="222"/>
      <c r="E84" s="223"/>
    </row>
    <row r="85" spans="1:5" ht="15.75">
      <c r="A85" s="224"/>
      <c r="B85" s="83"/>
      <c r="C85" s="222"/>
      <c r="D85" s="222"/>
      <c r="E85" s="223"/>
    </row>
    <row r="86" spans="1:5" ht="15.75">
      <c r="A86" s="224"/>
      <c r="B86" s="83"/>
      <c r="C86" s="222"/>
      <c r="D86" s="222"/>
      <c r="E86" s="223"/>
    </row>
    <row r="87" spans="1:5" ht="15.75">
      <c r="A87" s="224"/>
      <c r="B87" s="83"/>
      <c r="C87" s="222"/>
      <c r="D87" s="222"/>
      <c r="E87" s="223"/>
    </row>
    <row r="88" spans="1:5" ht="15.75">
      <c r="A88" s="224"/>
      <c r="B88" s="83"/>
      <c r="C88" s="222"/>
      <c r="D88" s="222"/>
      <c r="E88" s="223"/>
    </row>
    <row r="89" spans="1:5" ht="15.75">
      <c r="A89" s="224"/>
      <c r="B89" s="83"/>
      <c r="C89" s="222"/>
      <c r="D89" s="222"/>
      <c r="E89" s="223"/>
    </row>
    <row r="90" spans="1:5" ht="15.75">
      <c r="A90" s="224"/>
      <c r="B90" s="83"/>
      <c r="C90" s="222"/>
      <c r="D90" s="222"/>
      <c r="E90" s="223"/>
    </row>
    <row r="91" spans="1:5" ht="15.75">
      <c r="A91" s="224"/>
      <c r="B91" s="83"/>
      <c r="C91" s="222"/>
      <c r="D91" s="222"/>
      <c r="E91" s="223"/>
    </row>
    <row r="92" spans="1:5" ht="15.75">
      <c r="A92" s="224"/>
      <c r="B92" s="83"/>
      <c r="C92" s="222"/>
      <c r="D92" s="222"/>
      <c r="E92" s="223"/>
    </row>
    <row r="93" spans="1:5" ht="15.75">
      <c r="A93" s="224"/>
      <c r="B93" s="83"/>
      <c r="C93" s="222"/>
      <c r="D93" s="222"/>
      <c r="E93" s="223"/>
    </row>
    <row r="94" spans="1:5" ht="15.75">
      <c r="A94" s="224"/>
      <c r="B94" s="83"/>
      <c r="C94" s="222"/>
      <c r="D94" s="222"/>
      <c r="E94" s="223"/>
    </row>
    <row r="95" spans="1:5" ht="15.75">
      <c r="A95" s="224"/>
      <c r="B95" s="83"/>
      <c r="C95" s="222"/>
      <c r="D95" s="222"/>
      <c r="E95" s="223"/>
    </row>
    <row r="96" spans="1:5" ht="15.75">
      <c r="A96" s="224"/>
      <c r="B96" s="83"/>
      <c r="C96" s="222"/>
      <c r="D96" s="222"/>
      <c r="E96" s="223"/>
    </row>
    <row r="97" spans="1:5" ht="15.75">
      <c r="A97" s="224"/>
      <c r="B97" s="83"/>
      <c r="C97" s="222"/>
      <c r="D97" s="222"/>
      <c r="E97" s="223"/>
    </row>
    <row r="98" spans="1:5" ht="15.75">
      <c r="A98" s="224"/>
      <c r="B98" s="83"/>
      <c r="C98" s="222"/>
      <c r="D98" s="222"/>
      <c r="E98" s="223"/>
    </row>
    <row r="99" spans="1:5" ht="15.75">
      <c r="A99" s="224"/>
      <c r="B99" s="83"/>
      <c r="C99" s="222"/>
      <c r="D99" s="222"/>
      <c r="E99" s="223"/>
    </row>
    <row r="100" spans="1:5" ht="15.75">
      <c r="A100" s="224"/>
      <c r="B100" s="83"/>
      <c r="C100" s="222"/>
      <c r="D100" s="222"/>
      <c r="E100" s="223"/>
    </row>
    <row r="101" spans="1:5" ht="15.75">
      <c r="A101" s="224"/>
      <c r="B101" s="83"/>
      <c r="C101" s="222"/>
      <c r="D101" s="222"/>
      <c r="E101" s="223"/>
    </row>
    <row r="102" spans="1:5" ht="15.75">
      <c r="A102" s="224"/>
      <c r="B102" s="83"/>
      <c r="C102" s="222"/>
      <c r="D102" s="222"/>
      <c r="E102" s="223"/>
    </row>
    <row r="103" spans="1:5" ht="15.75">
      <c r="A103" s="224"/>
      <c r="B103" s="83"/>
      <c r="C103" s="222"/>
      <c r="D103" s="222"/>
      <c r="E103" s="223"/>
    </row>
    <row r="104" spans="1:5" ht="15.75">
      <c r="A104" s="224"/>
      <c r="B104" s="83"/>
      <c r="C104" s="222"/>
      <c r="D104" s="222"/>
      <c r="E104" s="223"/>
    </row>
    <row r="105" spans="1:5" ht="15.75">
      <c r="A105" s="224"/>
      <c r="B105" s="83"/>
      <c r="C105" s="222"/>
      <c r="D105" s="222"/>
      <c r="E105" s="223"/>
    </row>
    <row r="106" spans="1:5" ht="15.75">
      <c r="A106" s="224"/>
      <c r="B106" s="83"/>
      <c r="C106" s="222"/>
      <c r="D106" s="222"/>
      <c r="E106" s="223"/>
    </row>
    <row r="107" spans="1:5" ht="15.75">
      <c r="A107" s="224"/>
      <c r="B107" s="83"/>
      <c r="C107" s="222"/>
      <c r="D107" s="222"/>
      <c r="E107" s="223"/>
    </row>
    <row r="108" spans="1:5" ht="15.75">
      <c r="A108" s="224"/>
      <c r="B108" s="83"/>
      <c r="C108" s="222"/>
      <c r="D108" s="222"/>
      <c r="E108" s="223"/>
    </row>
    <row r="109" spans="1:5" ht="15.75">
      <c r="A109" s="224"/>
      <c r="B109" s="83"/>
      <c r="C109" s="222"/>
      <c r="D109" s="222"/>
      <c r="E109" s="223"/>
    </row>
    <row r="110" spans="1:5" ht="15.75">
      <c r="A110" s="224"/>
      <c r="B110" s="83"/>
      <c r="C110" s="222"/>
      <c r="D110" s="222"/>
      <c r="E110" s="223"/>
    </row>
    <row r="111" spans="1:5" ht="15.75">
      <c r="A111" s="224"/>
      <c r="B111" s="83"/>
      <c r="C111" s="222"/>
      <c r="D111" s="222"/>
      <c r="E111" s="223"/>
    </row>
    <row r="112" spans="1:5" ht="15.75">
      <c r="A112" s="224"/>
      <c r="B112" s="83"/>
      <c r="C112" s="222"/>
      <c r="D112" s="222"/>
      <c r="E112" s="223"/>
    </row>
    <row r="113" spans="1:5" ht="15.75">
      <c r="A113" s="224"/>
      <c r="B113" s="83"/>
      <c r="C113" s="222"/>
      <c r="D113" s="222"/>
      <c r="E113" s="223"/>
    </row>
    <row r="114" spans="1:5" ht="15.75">
      <c r="A114" s="224"/>
      <c r="B114" s="83"/>
      <c r="C114" s="222"/>
      <c r="D114" s="222"/>
      <c r="E114" s="223"/>
    </row>
    <row r="115" spans="1:5" ht="15.75">
      <c r="A115" s="224"/>
      <c r="B115" s="83"/>
      <c r="C115" s="222"/>
      <c r="D115" s="222"/>
      <c r="E115" s="223"/>
    </row>
    <row r="116" spans="1:5" ht="15.75">
      <c r="A116" s="224"/>
      <c r="B116" s="83"/>
      <c r="C116" s="222"/>
      <c r="D116" s="222"/>
      <c r="E116" s="223"/>
    </row>
    <row r="117" spans="1:5" ht="15.75">
      <c r="A117" s="224"/>
      <c r="B117" s="83"/>
      <c r="C117" s="222"/>
      <c r="D117" s="222"/>
      <c r="E117" s="223"/>
    </row>
    <row r="118" spans="1:5" ht="15.75">
      <c r="A118" s="224"/>
      <c r="B118" s="83"/>
      <c r="C118" s="222"/>
      <c r="D118" s="222"/>
      <c r="E118" s="223"/>
    </row>
    <row r="119" spans="1:5" ht="15.75">
      <c r="A119" s="224"/>
      <c r="B119" s="83"/>
      <c r="C119" s="222"/>
      <c r="D119" s="222"/>
      <c r="E119" s="223"/>
    </row>
    <row r="120" spans="1:5" ht="15.75">
      <c r="A120" s="224"/>
      <c r="B120" s="83"/>
      <c r="C120" s="222"/>
      <c r="D120" s="222"/>
      <c r="E120" s="223"/>
    </row>
    <row r="121" spans="1:5" ht="15.75">
      <c r="A121" s="224"/>
      <c r="B121" s="83"/>
      <c r="C121" s="222"/>
      <c r="D121" s="222"/>
      <c r="E121" s="223"/>
    </row>
    <row r="122" spans="1:5" ht="15.75">
      <c r="A122" s="224"/>
      <c r="B122" s="83"/>
      <c r="C122" s="222"/>
      <c r="D122" s="222"/>
      <c r="E122" s="223"/>
    </row>
    <row r="123" spans="1:5" ht="15.75">
      <c r="A123" s="224"/>
      <c r="B123" s="83"/>
      <c r="C123" s="222"/>
      <c r="D123" s="222"/>
      <c r="E123" s="223"/>
    </row>
    <row r="124" spans="1:5" ht="15.75">
      <c r="A124" s="224"/>
      <c r="B124" s="83"/>
      <c r="C124" s="222"/>
      <c r="D124" s="222"/>
      <c r="E124" s="223"/>
    </row>
    <row r="125" spans="1:5" ht="15.75">
      <c r="A125" s="224"/>
      <c r="B125" s="83"/>
      <c r="C125" s="222"/>
      <c r="D125" s="222"/>
      <c r="E125" s="223"/>
    </row>
    <row r="126" spans="1:5" ht="15.75">
      <c r="A126" s="224"/>
      <c r="B126" s="83"/>
      <c r="C126" s="222"/>
      <c r="D126" s="222"/>
      <c r="E126" s="223"/>
    </row>
    <row r="127" spans="1:5" ht="15.75">
      <c r="A127" s="224"/>
      <c r="B127" s="83"/>
      <c r="C127" s="222"/>
      <c r="D127" s="222"/>
      <c r="E127" s="223"/>
    </row>
    <row r="128" spans="1:5" ht="15.75">
      <c r="A128" s="224"/>
      <c r="B128" s="83"/>
      <c r="C128" s="222"/>
      <c r="D128" s="222"/>
      <c r="E128" s="223"/>
    </row>
    <row r="129" spans="1:5" ht="15.75">
      <c r="A129" s="224"/>
      <c r="B129" s="83"/>
      <c r="C129" s="222"/>
      <c r="D129" s="222"/>
      <c r="E129" s="223"/>
    </row>
    <row r="130" spans="1:5" ht="15.75">
      <c r="A130" s="224"/>
      <c r="B130" s="83"/>
      <c r="C130" s="222"/>
      <c r="D130" s="222"/>
      <c r="E130" s="223"/>
    </row>
    <row r="131" spans="1:5" ht="15.75">
      <c r="A131" s="224"/>
      <c r="B131" s="83"/>
      <c r="C131" s="222"/>
      <c r="D131" s="222"/>
      <c r="E131" s="223"/>
    </row>
    <row r="132" spans="1:5" ht="15.75">
      <c r="A132" s="224"/>
      <c r="B132" s="83"/>
      <c r="C132" s="222"/>
      <c r="D132" s="222"/>
      <c r="E132" s="223"/>
    </row>
    <row r="133" spans="1:5" ht="15.75">
      <c r="A133" s="224"/>
      <c r="B133" s="83"/>
      <c r="C133" s="222"/>
      <c r="D133" s="222"/>
      <c r="E133" s="223"/>
    </row>
    <row r="134" spans="1:5" ht="15.75">
      <c r="A134" s="224"/>
      <c r="B134" s="83"/>
      <c r="C134" s="222"/>
      <c r="D134" s="222"/>
      <c r="E134" s="223"/>
    </row>
    <row r="135" spans="1:5" ht="15.75">
      <c r="A135" s="224"/>
      <c r="B135" s="83"/>
      <c r="C135" s="222"/>
      <c r="D135" s="222"/>
      <c r="E135" s="223"/>
    </row>
    <row r="136" spans="1:5" ht="15.75">
      <c r="A136" s="224"/>
      <c r="B136" s="83"/>
      <c r="C136" s="222"/>
      <c r="D136" s="222"/>
      <c r="E136" s="223"/>
    </row>
    <row r="137" spans="1:5" ht="15.75">
      <c r="A137" s="224"/>
      <c r="B137" s="83"/>
      <c r="C137" s="222"/>
      <c r="D137" s="222"/>
      <c r="E137" s="223"/>
    </row>
    <row r="138" spans="1:5" ht="15.75">
      <c r="A138" s="224"/>
      <c r="B138" s="83"/>
      <c r="C138" s="222"/>
      <c r="D138" s="222"/>
      <c r="E138" s="223"/>
    </row>
    <row r="139" spans="1:5" ht="15.75">
      <c r="A139" s="224"/>
      <c r="B139" s="83"/>
      <c r="C139" s="222"/>
      <c r="D139" s="222"/>
      <c r="E139" s="223"/>
    </row>
    <row r="140" spans="1:5" ht="15.75">
      <c r="A140" s="224"/>
      <c r="B140" s="83"/>
      <c r="C140" s="222"/>
      <c r="D140" s="222"/>
      <c r="E140" s="223"/>
    </row>
    <row r="141" spans="1:5" ht="15.75">
      <c r="A141" s="224"/>
      <c r="B141" s="83"/>
      <c r="C141" s="222"/>
      <c r="D141" s="222"/>
      <c r="E141" s="223"/>
    </row>
    <row r="142" spans="1:5" ht="15.75">
      <c r="A142" s="224"/>
      <c r="B142" s="83"/>
      <c r="C142" s="222"/>
      <c r="D142" s="222"/>
      <c r="E142" s="223"/>
    </row>
    <row r="143" spans="1:5" ht="15.75">
      <c r="A143" s="224"/>
      <c r="B143" s="83"/>
      <c r="C143" s="222"/>
      <c r="D143" s="222"/>
      <c r="E143" s="223"/>
    </row>
    <row r="144" spans="1:5" ht="15.75">
      <c r="A144" s="224"/>
      <c r="B144" s="83"/>
      <c r="C144" s="222"/>
      <c r="D144" s="222"/>
      <c r="E144" s="223"/>
    </row>
    <row r="145" spans="1:5" ht="15.75">
      <c r="A145" s="224"/>
      <c r="B145" s="83"/>
      <c r="C145" s="222"/>
      <c r="D145" s="222"/>
      <c r="E145" s="223"/>
    </row>
    <row r="146" spans="1:5" ht="15.75">
      <c r="A146" s="224"/>
      <c r="B146" s="83"/>
      <c r="C146" s="222"/>
      <c r="D146" s="222"/>
      <c r="E146" s="223"/>
    </row>
    <row r="147" spans="1:5" ht="15.75">
      <c r="A147" s="224"/>
      <c r="B147" s="83"/>
      <c r="C147" s="222"/>
      <c r="D147" s="222"/>
      <c r="E147" s="223"/>
    </row>
    <row r="148" spans="1:5" ht="15.75">
      <c r="A148" s="224"/>
      <c r="B148" s="83"/>
      <c r="C148" s="222"/>
      <c r="D148" s="222"/>
      <c r="E148" s="223"/>
    </row>
    <row r="149" spans="1:5" ht="15.75">
      <c r="A149" s="224"/>
      <c r="B149" s="83"/>
      <c r="C149" s="222"/>
      <c r="D149" s="222"/>
      <c r="E149" s="223"/>
    </row>
    <row r="150" spans="1:5" ht="15.75">
      <c r="A150" s="224"/>
      <c r="B150" s="83"/>
      <c r="C150" s="222"/>
      <c r="D150" s="222"/>
      <c r="E150" s="223"/>
    </row>
    <row r="151" spans="1:5" ht="15.75">
      <c r="A151" s="224"/>
      <c r="B151" s="83"/>
      <c r="C151" s="222"/>
      <c r="D151" s="222"/>
      <c r="E151" s="223"/>
    </row>
    <row r="152" spans="1:5" ht="15.75">
      <c r="A152" s="224"/>
      <c r="B152" s="83"/>
      <c r="C152" s="222"/>
      <c r="D152" s="222"/>
      <c r="E152" s="223"/>
    </row>
    <row r="153" spans="1:5" ht="15.75">
      <c r="A153" s="224"/>
      <c r="B153" s="83"/>
      <c r="C153" s="222"/>
      <c r="D153" s="222"/>
      <c r="E153" s="223"/>
    </row>
    <row r="154" spans="1:5" ht="15.75">
      <c r="A154" s="224"/>
      <c r="B154" s="83"/>
      <c r="C154" s="222"/>
      <c r="D154" s="222"/>
      <c r="E154" s="223"/>
    </row>
    <row r="155" spans="1:5" ht="15.75">
      <c r="A155" s="224"/>
      <c r="B155" s="83"/>
      <c r="C155" s="222"/>
      <c r="D155" s="222"/>
      <c r="E155" s="223"/>
    </row>
    <row r="156" spans="1:5" ht="15.75">
      <c r="A156" s="224"/>
      <c r="B156" s="83"/>
      <c r="C156" s="222"/>
      <c r="D156" s="222"/>
      <c r="E156" s="223"/>
    </row>
    <row r="157" spans="1:5" ht="15.75">
      <c r="A157" s="224"/>
      <c r="B157" s="83"/>
      <c r="C157" s="222"/>
      <c r="D157" s="222"/>
      <c r="E157" s="223"/>
    </row>
    <row r="158" spans="1:5" ht="15.75">
      <c r="A158" s="224"/>
      <c r="B158" s="83"/>
      <c r="C158" s="222"/>
      <c r="D158" s="222"/>
      <c r="E158" s="223"/>
    </row>
    <row r="159" spans="1:5" ht="15.75">
      <c r="A159" s="224"/>
      <c r="B159" s="83"/>
      <c r="C159" s="222"/>
      <c r="D159" s="222"/>
      <c r="E159" s="223"/>
    </row>
    <row r="160" spans="1:5" ht="15.75">
      <c r="A160" s="224"/>
      <c r="B160" s="83"/>
      <c r="C160" s="222"/>
      <c r="D160" s="222"/>
      <c r="E160" s="223"/>
    </row>
    <row r="161" spans="1:5" ht="15.75">
      <c r="A161" s="224"/>
      <c r="B161" s="83"/>
      <c r="C161" s="222"/>
      <c r="D161" s="222"/>
      <c r="E161" s="223"/>
    </row>
    <row r="162" spans="1:5" ht="15.75">
      <c r="A162" s="224"/>
      <c r="B162" s="83"/>
      <c r="C162" s="222"/>
      <c r="D162" s="222"/>
      <c r="E162" s="223"/>
    </row>
    <row r="163" spans="1:5" ht="15.75">
      <c r="A163" s="224"/>
      <c r="B163" s="83"/>
      <c r="C163" s="222"/>
      <c r="D163" s="222"/>
      <c r="E163" s="223"/>
    </row>
    <row r="164" spans="1:5" ht="15.75">
      <c r="A164" s="224"/>
      <c r="B164" s="83"/>
      <c r="C164" s="222"/>
      <c r="D164" s="222"/>
      <c r="E164" s="223"/>
    </row>
    <row r="165" spans="1:5" ht="15.75">
      <c r="A165" s="224"/>
      <c r="B165" s="83"/>
      <c r="C165" s="222"/>
      <c r="D165" s="222"/>
      <c r="E165" s="223"/>
    </row>
    <row r="166" spans="1:5" ht="15.75">
      <c r="A166" s="224"/>
      <c r="B166" s="83"/>
      <c r="C166" s="222"/>
      <c r="D166" s="222"/>
      <c r="E166" s="223"/>
    </row>
    <row r="167" spans="1:5" ht="15.75">
      <c r="A167" s="224"/>
      <c r="B167" s="83"/>
      <c r="C167" s="222"/>
      <c r="D167" s="222"/>
      <c r="E167" s="223"/>
    </row>
    <row r="168" spans="1:5" ht="15.75">
      <c r="A168" s="224"/>
      <c r="B168" s="83"/>
      <c r="C168" s="222"/>
      <c r="D168" s="222"/>
      <c r="E168" s="223"/>
    </row>
    <row r="169" spans="1:5" ht="15.75">
      <c r="A169" s="224"/>
      <c r="B169" s="83"/>
      <c r="C169" s="222"/>
      <c r="D169" s="222"/>
      <c r="E169" s="223"/>
    </row>
    <row r="170" spans="1:5" ht="15.75">
      <c r="A170" s="224"/>
      <c r="B170" s="83"/>
      <c r="C170" s="222"/>
      <c r="D170" s="222"/>
      <c r="E170" s="223"/>
    </row>
    <row r="171" spans="1:5" ht="15.75">
      <c r="A171" s="224"/>
      <c r="B171" s="83"/>
      <c r="C171" s="222"/>
      <c r="D171" s="222"/>
      <c r="E171" s="223"/>
    </row>
    <row r="172" spans="1:5" ht="15.75">
      <c r="A172" s="224"/>
      <c r="B172" s="83"/>
      <c r="C172" s="222"/>
      <c r="D172" s="222"/>
      <c r="E172" s="223"/>
    </row>
    <row r="173" spans="1:5" ht="15.75">
      <c r="A173" s="224"/>
      <c r="B173" s="83"/>
      <c r="C173" s="222"/>
      <c r="D173" s="222"/>
      <c r="E173" s="223"/>
    </row>
    <row r="174" spans="1:5" ht="15.75">
      <c r="A174" s="224"/>
      <c r="B174" s="83"/>
      <c r="C174" s="222"/>
      <c r="D174" s="222"/>
      <c r="E174" s="223"/>
    </row>
    <row r="175" spans="1:5" ht="15.75">
      <c r="A175" s="224"/>
      <c r="B175" s="83"/>
      <c r="C175" s="222"/>
      <c r="D175" s="222"/>
      <c r="E175" s="223"/>
    </row>
    <row r="176" spans="1:5" ht="15.75">
      <c r="A176" s="224"/>
      <c r="B176" s="83"/>
      <c r="C176" s="222"/>
      <c r="D176" s="222"/>
      <c r="E176" s="223"/>
    </row>
    <row r="177" spans="1:5" ht="15.75">
      <c r="A177" s="224"/>
      <c r="B177" s="83"/>
      <c r="C177" s="222"/>
      <c r="D177" s="222"/>
      <c r="E177" s="223"/>
    </row>
    <row r="178" spans="1:5" ht="15.75">
      <c r="A178" s="224"/>
      <c r="B178" s="83"/>
      <c r="C178" s="222"/>
      <c r="D178" s="222"/>
      <c r="E178" s="223"/>
    </row>
    <row r="179" spans="1:5" ht="15.75">
      <c r="A179" s="224"/>
      <c r="B179" s="83"/>
      <c r="C179" s="222"/>
      <c r="D179" s="222"/>
      <c r="E179" s="223"/>
    </row>
    <row r="180" spans="1:5" ht="15.75">
      <c r="A180" s="224"/>
      <c r="B180" s="83"/>
      <c r="C180" s="222"/>
      <c r="D180" s="222"/>
      <c r="E180" s="223"/>
    </row>
    <row r="181" spans="1:5" ht="15.75">
      <c r="A181" s="224"/>
      <c r="B181" s="83"/>
      <c r="C181" s="222"/>
      <c r="D181" s="222"/>
      <c r="E181" s="223"/>
    </row>
    <row r="182" spans="1:5" ht="15.75">
      <c r="A182" s="224"/>
      <c r="B182" s="83"/>
      <c r="C182" s="222"/>
      <c r="D182" s="222"/>
      <c r="E182" s="223"/>
    </row>
    <row r="183" spans="1:5" ht="15.75">
      <c r="A183" s="224"/>
      <c r="B183" s="83"/>
      <c r="C183" s="222"/>
      <c r="D183" s="222"/>
      <c r="E183" s="223"/>
    </row>
    <row r="184" spans="1:5" ht="15.75">
      <c r="A184" s="224"/>
      <c r="B184" s="83"/>
      <c r="C184" s="222"/>
      <c r="D184" s="222"/>
      <c r="E184" s="223"/>
    </row>
    <row r="185" spans="1:5" ht="15.75">
      <c r="A185" s="224"/>
      <c r="B185" s="83"/>
      <c r="C185" s="222"/>
      <c r="D185" s="222"/>
      <c r="E185" s="223"/>
    </row>
    <row r="186" spans="1:5" ht="15.75">
      <c r="A186" s="224"/>
      <c r="B186" s="83"/>
      <c r="C186" s="222"/>
      <c r="D186" s="222"/>
      <c r="E186" s="223"/>
    </row>
    <row r="187" spans="1:5" ht="15.75">
      <c r="A187" s="224"/>
      <c r="B187" s="83"/>
      <c r="C187" s="222"/>
      <c r="D187" s="222"/>
      <c r="E187" s="223"/>
    </row>
    <row r="188" spans="1:5" ht="15.75">
      <c r="A188" s="224"/>
      <c r="B188" s="83"/>
      <c r="C188" s="222"/>
      <c r="D188" s="222"/>
      <c r="E188" s="223"/>
    </row>
    <row r="189" spans="1:5" ht="15.75">
      <c r="A189" s="224"/>
      <c r="B189" s="83"/>
      <c r="C189" s="222"/>
      <c r="D189" s="222"/>
      <c r="E189" s="223"/>
    </row>
    <row r="190" spans="1:5" ht="15.75">
      <c r="A190" s="224"/>
      <c r="B190" s="83"/>
      <c r="C190" s="222"/>
      <c r="D190" s="222"/>
      <c r="E190" s="223"/>
    </row>
    <row r="191" spans="1:5" ht="15.75">
      <c r="A191" s="224"/>
      <c r="B191" s="83"/>
      <c r="C191" s="222"/>
      <c r="D191" s="222"/>
      <c r="E191" s="223"/>
    </row>
    <row r="192" spans="1:5" ht="15.75">
      <c r="A192" s="224"/>
      <c r="B192" s="83"/>
      <c r="C192" s="222"/>
      <c r="D192" s="222"/>
      <c r="E192" s="223"/>
    </row>
    <row r="193" spans="1:5" ht="15.75">
      <c r="A193" s="224"/>
      <c r="B193" s="83"/>
      <c r="C193" s="222"/>
      <c r="D193" s="222"/>
      <c r="E193" s="223"/>
    </row>
    <row r="194" spans="1:5" ht="15.75">
      <c r="A194" s="224"/>
      <c r="B194" s="83"/>
      <c r="C194" s="222"/>
      <c r="D194" s="222"/>
      <c r="E194" s="223"/>
    </row>
    <row r="195" spans="1:5" ht="15.75">
      <c r="A195" s="224"/>
      <c r="B195" s="83"/>
      <c r="C195" s="222"/>
      <c r="D195" s="222"/>
      <c r="E195" s="223"/>
    </row>
    <row r="196" spans="1:5" ht="15.75">
      <c r="A196" s="224"/>
      <c r="B196" s="83"/>
      <c r="C196" s="222"/>
      <c r="D196" s="222"/>
      <c r="E196" s="223"/>
    </row>
    <row r="197" spans="1:5" ht="15.75">
      <c r="A197" s="224"/>
      <c r="B197" s="83"/>
      <c r="C197" s="222"/>
      <c r="D197" s="222"/>
      <c r="E197" s="223"/>
    </row>
    <row r="198" spans="1:5" ht="15.75">
      <c r="A198" s="224"/>
      <c r="B198" s="83"/>
      <c r="C198" s="222"/>
      <c r="D198" s="222"/>
      <c r="E198" s="223"/>
    </row>
    <row r="199" spans="1:5" ht="15.75">
      <c r="A199" s="224"/>
      <c r="B199" s="83"/>
      <c r="C199" s="222"/>
      <c r="D199" s="222"/>
      <c r="E199" s="223"/>
    </row>
    <row r="200" spans="1:5" ht="15.75">
      <c r="A200" s="224"/>
      <c r="B200" s="83"/>
      <c r="C200" s="222"/>
      <c r="D200" s="222"/>
      <c r="E200" s="223"/>
    </row>
    <row r="201" spans="1:5" ht="15.75">
      <c r="A201" s="224"/>
      <c r="B201" s="83"/>
      <c r="C201" s="222"/>
      <c r="D201" s="222"/>
      <c r="E201" s="223"/>
    </row>
    <row r="202" spans="1:5" ht="15.75">
      <c r="A202" s="224"/>
      <c r="B202" s="83"/>
      <c r="C202" s="222"/>
      <c r="D202" s="222"/>
      <c r="E202" s="223"/>
    </row>
    <row r="203" spans="1:5" ht="15.75">
      <c r="A203" s="224"/>
      <c r="B203" s="83"/>
      <c r="C203" s="222"/>
      <c r="D203" s="222"/>
      <c r="E203" s="223"/>
    </row>
    <row r="204" spans="1:5" ht="15.75">
      <c r="A204" s="224"/>
      <c r="B204" s="83"/>
      <c r="C204" s="222"/>
      <c r="D204" s="222"/>
      <c r="E204" s="223"/>
    </row>
    <row r="205" spans="1:5" ht="15.75">
      <c r="A205" s="224"/>
      <c r="B205" s="83"/>
      <c r="C205" s="222"/>
      <c r="D205" s="222"/>
      <c r="E205" s="223"/>
    </row>
    <row r="206" spans="1:5" ht="15.75">
      <c r="A206" s="224"/>
      <c r="B206" s="83"/>
      <c r="C206" s="222"/>
      <c r="D206" s="222"/>
      <c r="E206" s="223"/>
    </row>
    <row r="207" spans="1:5" ht="15.75">
      <c r="A207" s="224"/>
      <c r="B207" s="83"/>
      <c r="C207" s="222"/>
      <c r="D207" s="222"/>
      <c r="E207" s="223"/>
    </row>
    <row r="208" spans="1:5" ht="15.75">
      <c r="A208" s="224"/>
      <c r="B208" s="83"/>
      <c r="C208" s="222"/>
      <c r="D208" s="222"/>
      <c r="E208" s="223"/>
    </row>
    <row r="209" spans="1:5" ht="15.75">
      <c r="A209" s="224"/>
      <c r="B209" s="83"/>
      <c r="C209" s="222"/>
      <c r="D209" s="222"/>
      <c r="E209" s="223"/>
    </row>
    <row r="210" spans="1:5" ht="15.75">
      <c r="A210" s="224"/>
      <c r="B210" s="83"/>
      <c r="C210" s="222"/>
      <c r="D210" s="222"/>
      <c r="E210" s="223"/>
    </row>
    <row r="211" spans="1:5" ht="15.75">
      <c r="A211" s="224"/>
      <c r="B211" s="83"/>
      <c r="C211" s="222"/>
      <c r="D211" s="222"/>
      <c r="E211" s="223"/>
    </row>
    <row r="212" spans="1:5" ht="15.75">
      <c r="A212" s="224"/>
      <c r="B212" s="83"/>
      <c r="C212" s="222"/>
      <c r="D212" s="222"/>
      <c r="E212" s="223"/>
    </row>
    <row r="213" spans="1:5" ht="15.75">
      <c r="A213" s="224"/>
      <c r="B213" s="83"/>
      <c r="C213" s="222"/>
      <c r="D213" s="222"/>
      <c r="E213" s="223"/>
    </row>
    <row r="214" spans="1:5" ht="15.75">
      <c r="A214" s="224"/>
      <c r="B214" s="83"/>
      <c r="C214" s="222"/>
      <c r="D214" s="222"/>
      <c r="E214" s="223"/>
    </row>
    <row r="215" spans="1:5" ht="15.75">
      <c r="A215" s="224"/>
      <c r="B215" s="83"/>
      <c r="C215" s="222"/>
      <c r="D215" s="222"/>
      <c r="E215" s="223"/>
    </row>
    <row r="216" spans="1:5" ht="15.75">
      <c r="A216" s="224"/>
      <c r="B216" s="83"/>
      <c r="C216" s="222"/>
      <c r="D216" s="222"/>
      <c r="E216" s="223"/>
    </row>
    <row r="217" spans="1:5" ht="15.75">
      <c r="A217" s="224"/>
      <c r="B217" s="83"/>
      <c r="C217" s="222"/>
      <c r="D217" s="222"/>
      <c r="E217" s="223"/>
    </row>
    <row r="218" spans="1:5" ht="15.75">
      <c r="A218" s="224"/>
      <c r="B218" s="83"/>
      <c r="C218" s="222"/>
      <c r="D218" s="222"/>
      <c r="E218" s="223"/>
    </row>
    <row r="219" spans="1:5" ht="15.75">
      <c r="A219" s="224"/>
      <c r="B219" s="83"/>
      <c r="C219" s="222"/>
      <c r="D219" s="222"/>
      <c r="E219" s="223"/>
    </row>
    <row r="220" spans="1:5" ht="15.75">
      <c r="A220" s="224"/>
      <c r="B220" s="83"/>
      <c r="C220" s="222"/>
      <c r="D220" s="222"/>
      <c r="E220" s="223"/>
    </row>
    <row r="221" spans="1:5" ht="15.75">
      <c r="A221" s="224"/>
      <c r="B221" s="83"/>
      <c r="C221" s="222"/>
      <c r="D221" s="222"/>
      <c r="E221" s="223"/>
    </row>
    <row r="222" spans="1:5" ht="15.75">
      <c r="A222" s="224"/>
      <c r="B222" s="83"/>
      <c r="C222" s="222"/>
      <c r="D222" s="222"/>
      <c r="E222" s="223"/>
    </row>
    <row r="223" spans="1:5" ht="15.75">
      <c r="A223" s="224"/>
      <c r="B223" s="83"/>
      <c r="C223" s="222"/>
      <c r="D223" s="222"/>
      <c r="E223" s="223"/>
    </row>
    <row r="224" spans="1:5" ht="15.75">
      <c r="A224" s="224"/>
      <c r="B224" s="83"/>
      <c r="C224" s="222"/>
      <c r="D224" s="222"/>
      <c r="E224" s="223"/>
    </row>
    <row r="225" spans="1:5" ht="15.75">
      <c r="A225" s="224"/>
      <c r="B225" s="83"/>
      <c r="C225" s="222"/>
      <c r="D225" s="222"/>
      <c r="E225" s="223"/>
    </row>
    <row r="226" spans="1:5" ht="15.75">
      <c r="A226" s="224"/>
      <c r="B226" s="83"/>
      <c r="C226" s="222"/>
      <c r="D226" s="222"/>
      <c r="E226" s="223"/>
    </row>
    <row r="227" spans="1:5" ht="15.75">
      <c r="A227" s="224"/>
      <c r="B227" s="83"/>
      <c r="C227" s="222"/>
      <c r="D227" s="222"/>
      <c r="E227" s="223"/>
    </row>
    <row r="228" spans="1:5" ht="15.75">
      <c r="A228" s="224"/>
      <c r="B228" s="83"/>
      <c r="C228" s="222"/>
      <c r="D228" s="222"/>
      <c r="E228" s="223"/>
    </row>
    <row r="229" spans="1:5" ht="15.75">
      <c r="A229" s="224"/>
      <c r="B229" s="83"/>
      <c r="C229" s="222"/>
      <c r="D229" s="222"/>
      <c r="E229" s="223"/>
    </row>
    <row r="230" spans="1:5" ht="15.75">
      <c r="A230" s="224"/>
      <c r="B230" s="83"/>
      <c r="C230" s="222"/>
      <c r="D230" s="222"/>
      <c r="E230" s="223"/>
    </row>
    <row r="231" spans="1:5" ht="15.75">
      <c r="A231" s="224"/>
      <c r="B231" s="83"/>
      <c r="C231" s="222"/>
      <c r="D231" s="222"/>
      <c r="E231" s="223"/>
    </row>
    <row r="232" spans="1:5" ht="15.75">
      <c r="A232" s="224"/>
      <c r="B232" s="83"/>
      <c r="C232" s="222"/>
      <c r="D232" s="222"/>
      <c r="E232" s="223"/>
    </row>
    <row r="233" spans="1:5" ht="15.75">
      <c r="A233" s="224"/>
      <c r="B233" s="83"/>
      <c r="C233" s="222"/>
      <c r="D233" s="222"/>
      <c r="E233" s="223"/>
    </row>
    <row r="234" spans="1:5" ht="15.75">
      <c r="A234" s="224"/>
      <c r="B234" s="83"/>
      <c r="C234" s="222"/>
      <c r="D234" s="222"/>
      <c r="E234" s="223"/>
    </row>
    <row r="235" spans="1:5" ht="15.75">
      <c r="A235" s="224"/>
      <c r="B235" s="83"/>
      <c r="C235" s="222"/>
      <c r="D235" s="222"/>
      <c r="E235" s="223"/>
    </row>
    <row r="236" spans="1:5" ht="15.75">
      <c r="A236" s="224"/>
      <c r="B236" s="83"/>
      <c r="C236" s="222"/>
      <c r="D236" s="222"/>
      <c r="E236" s="223"/>
    </row>
    <row r="237" spans="1:5" ht="15.75">
      <c r="A237" s="224"/>
      <c r="B237" s="83"/>
      <c r="C237" s="222"/>
      <c r="D237" s="222"/>
      <c r="E237" s="223"/>
    </row>
    <row r="238" spans="1:5" ht="15.75">
      <c r="A238" s="224"/>
      <c r="B238" s="83"/>
      <c r="C238" s="222"/>
      <c r="D238" s="222"/>
      <c r="E238" s="223"/>
    </row>
    <row r="239" spans="1:5" ht="15.75">
      <c r="A239" s="224"/>
      <c r="B239" s="83"/>
      <c r="C239" s="222"/>
      <c r="D239" s="222"/>
      <c r="E239" s="223"/>
    </row>
    <row r="240" spans="1:5" ht="15.75">
      <c r="A240" s="224"/>
      <c r="B240" s="83"/>
      <c r="C240" s="222"/>
      <c r="D240" s="222"/>
      <c r="E240" s="223"/>
    </row>
    <row r="241" spans="1:5" ht="15.75">
      <c r="A241" s="224"/>
      <c r="B241" s="83"/>
      <c r="C241" s="222"/>
      <c r="D241" s="222"/>
      <c r="E241" s="223"/>
    </row>
    <row r="242" spans="1:5" ht="15.75">
      <c r="A242" s="224"/>
      <c r="B242" s="83"/>
      <c r="C242" s="222"/>
      <c r="D242" s="222"/>
      <c r="E242" s="223"/>
    </row>
    <row r="243" spans="1:5" ht="15.75">
      <c r="A243" s="224"/>
      <c r="B243" s="83"/>
      <c r="C243" s="222"/>
      <c r="D243" s="222"/>
      <c r="E243" s="223"/>
    </row>
    <row r="244" spans="1:5" ht="15.75">
      <c r="A244" s="224"/>
      <c r="B244" s="83"/>
      <c r="C244" s="222"/>
      <c r="D244" s="222"/>
      <c r="E244" s="223"/>
    </row>
    <row r="245" spans="1:5" ht="15.75">
      <c r="A245" s="224"/>
      <c r="B245" s="83"/>
      <c r="C245" s="222"/>
      <c r="D245" s="222"/>
      <c r="E245" s="223"/>
    </row>
    <row r="246" spans="1:5" ht="15.75">
      <c r="A246" s="224"/>
      <c r="B246" s="83"/>
      <c r="C246" s="222"/>
      <c r="D246" s="222"/>
      <c r="E246" s="223"/>
    </row>
    <row r="247" spans="1:5" ht="15.75">
      <c r="A247" s="224"/>
      <c r="B247" s="83"/>
      <c r="C247" s="222"/>
      <c r="D247" s="222"/>
      <c r="E247" s="223"/>
    </row>
    <row r="248" spans="1:5" ht="15.75">
      <c r="A248" s="224"/>
      <c r="B248" s="83"/>
      <c r="C248" s="222"/>
      <c r="D248" s="222"/>
      <c r="E248" s="223"/>
    </row>
    <row r="249" spans="1:5" ht="15.75">
      <c r="A249" s="224"/>
      <c r="B249" s="83"/>
      <c r="C249" s="222"/>
      <c r="D249" s="222"/>
      <c r="E249" s="223"/>
    </row>
    <row r="250" spans="1:5" ht="15.75">
      <c r="A250" s="224"/>
      <c r="B250" s="83"/>
      <c r="C250" s="222"/>
      <c r="D250" s="222"/>
      <c r="E250" s="223"/>
    </row>
    <row r="251" spans="1:5" ht="15.75">
      <c r="A251" s="224"/>
      <c r="B251" s="83"/>
      <c r="C251" s="222"/>
      <c r="D251" s="222"/>
      <c r="E251" s="223"/>
    </row>
    <row r="252" spans="1:5" ht="15.75">
      <c r="A252" s="224"/>
      <c r="B252" s="83"/>
      <c r="C252" s="222"/>
      <c r="D252" s="222"/>
      <c r="E252" s="223"/>
    </row>
    <row r="253" spans="1:5" ht="15.75">
      <c r="A253" s="224"/>
      <c r="B253" s="83"/>
      <c r="C253" s="222"/>
      <c r="D253" s="222"/>
      <c r="E253" s="223"/>
    </row>
    <row r="254" spans="1:5" ht="15.75">
      <c r="A254" s="224"/>
      <c r="B254" s="83"/>
      <c r="C254" s="222"/>
      <c r="D254" s="222"/>
      <c r="E254" s="223"/>
    </row>
    <row r="255" spans="1:5" ht="15.75">
      <c r="A255" s="224"/>
      <c r="B255" s="83"/>
      <c r="C255" s="222"/>
      <c r="D255" s="222"/>
      <c r="E255" s="223"/>
    </row>
    <row r="256" spans="1:5" ht="15.75">
      <c r="A256" s="224"/>
      <c r="B256" s="83"/>
      <c r="C256" s="222"/>
      <c r="D256" s="222"/>
      <c r="E256" s="223"/>
    </row>
    <row r="257" spans="1:5" ht="15.75">
      <c r="A257" s="224"/>
      <c r="B257" s="83"/>
      <c r="C257" s="222"/>
      <c r="D257" s="222"/>
      <c r="E257" s="223"/>
    </row>
    <row r="258" spans="1:5" ht="15.75">
      <c r="A258" s="224"/>
      <c r="B258" s="83"/>
      <c r="C258" s="222"/>
      <c r="D258" s="222"/>
      <c r="E258" s="223"/>
    </row>
    <row r="259" spans="1:5" ht="15.75">
      <c r="A259" s="224"/>
      <c r="B259" s="83"/>
      <c r="C259" s="222"/>
      <c r="D259" s="222"/>
      <c r="E259" s="223"/>
    </row>
    <row r="260" spans="1:5" ht="15.75">
      <c r="A260" s="224"/>
      <c r="B260" s="83"/>
      <c r="C260" s="222"/>
      <c r="D260" s="222"/>
      <c r="E260" s="223"/>
    </row>
    <row r="261" spans="1:5" ht="15.75">
      <c r="A261" s="224"/>
      <c r="B261" s="83"/>
      <c r="C261" s="222"/>
      <c r="D261" s="222"/>
      <c r="E261" s="223"/>
    </row>
    <row r="262" spans="1:5" ht="15.75">
      <c r="A262" s="224"/>
      <c r="B262" s="83"/>
      <c r="C262" s="222"/>
      <c r="D262" s="222"/>
      <c r="E262" s="223"/>
    </row>
    <row r="263" spans="1:5" ht="15.75">
      <c r="A263" s="224"/>
      <c r="B263" s="83"/>
      <c r="C263" s="222"/>
      <c r="D263" s="222"/>
      <c r="E263" s="223"/>
    </row>
    <row r="264" spans="1:5" ht="15.75">
      <c r="A264" s="224"/>
      <c r="B264" s="83"/>
      <c r="C264" s="222"/>
      <c r="D264" s="222"/>
      <c r="E264" s="223"/>
    </row>
    <row r="265" spans="1:5" ht="15.75">
      <c r="A265" s="224"/>
      <c r="B265" s="83"/>
      <c r="C265" s="222"/>
      <c r="D265" s="222"/>
      <c r="E265" s="223"/>
    </row>
    <row r="266" spans="1:5" ht="15.75">
      <c r="A266" s="224"/>
      <c r="B266" s="83"/>
      <c r="C266" s="222"/>
      <c r="D266" s="222"/>
      <c r="E266" s="223"/>
    </row>
    <row r="267" spans="1:5" ht="15.75">
      <c r="A267" s="224"/>
      <c r="B267" s="83"/>
      <c r="C267" s="222"/>
      <c r="D267" s="222"/>
      <c r="E267" s="223"/>
    </row>
    <row r="268" spans="1:5" ht="15.75">
      <c r="A268" s="224"/>
      <c r="B268" s="83"/>
      <c r="C268" s="222"/>
      <c r="D268" s="222"/>
      <c r="E268" s="223"/>
    </row>
    <row r="269" spans="1:5" ht="15.75">
      <c r="A269" s="224"/>
      <c r="B269" s="83"/>
      <c r="C269" s="222"/>
      <c r="D269" s="222"/>
      <c r="E269" s="223"/>
    </row>
    <row r="270" spans="1:5" ht="15.75">
      <c r="A270" s="224"/>
      <c r="B270" s="83"/>
      <c r="C270" s="222"/>
      <c r="D270" s="222"/>
      <c r="E270" s="223"/>
    </row>
    <row r="271" spans="1:5" ht="15.75">
      <c r="A271" s="224"/>
      <c r="B271" s="83"/>
      <c r="C271" s="222"/>
      <c r="D271" s="222"/>
      <c r="E271" s="223"/>
    </row>
    <row r="272" spans="1:5" ht="15.75">
      <c r="A272" s="224"/>
      <c r="B272" s="83"/>
      <c r="C272" s="222"/>
      <c r="D272" s="222"/>
      <c r="E272" s="223"/>
    </row>
    <row r="273" spans="1:5" ht="15.75">
      <c r="A273" s="224"/>
      <c r="B273" s="83"/>
      <c r="C273" s="222"/>
      <c r="D273" s="222"/>
      <c r="E273" s="223"/>
    </row>
    <row r="274" spans="1:5" ht="15.75">
      <c r="A274" s="224"/>
      <c r="B274" s="83"/>
      <c r="C274" s="222"/>
      <c r="D274" s="222"/>
      <c r="E274" s="223"/>
    </row>
    <row r="275" spans="1:5" ht="15.75">
      <c r="A275" s="224"/>
      <c r="B275" s="83"/>
      <c r="C275" s="222"/>
      <c r="D275" s="222"/>
      <c r="E275" s="223"/>
    </row>
    <row r="276" spans="1:5" ht="15.75">
      <c r="A276" s="224"/>
      <c r="B276" s="83"/>
      <c r="C276" s="222"/>
      <c r="D276" s="222"/>
      <c r="E276" s="223"/>
    </row>
    <row r="277" spans="1:5" ht="15.75">
      <c r="A277" s="224"/>
      <c r="B277" s="83"/>
      <c r="C277" s="222"/>
      <c r="D277" s="222"/>
      <c r="E277" s="223"/>
    </row>
    <row r="278" spans="1:5" ht="15.75">
      <c r="A278" s="224"/>
      <c r="B278" s="83"/>
      <c r="C278" s="222"/>
      <c r="D278" s="222"/>
      <c r="E278" s="223"/>
    </row>
    <row r="279" spans="1:5" ht="15.75">
      <c r="A279" s="224"/>
      <c r="B279" s="83"/>
      <c r="C279" s="222"/>
      <c r="D279" s="222"/>
      <c r="E279" s="223"/>
    </row>
    <row r="280" spans="1:5" ht="15.75">
      <c r="A280" s="224"/>
      <c r="B280" s="83"/>
      <c r="C280" s="222"/>
      <c r="D280" s="222"/>
      <c r="E280" s="223"/>
    </row>
    <row r="281" spans="1:5" ht="15.75">
      <c r="A281" s="224"/>
      <c r="B281" s="83"/>
      <c r="C281" s="222"/>
      <c r="D281" s="222"/>
      <c r="E281" s="223"/>
    </row>
    <row r="282" spans="1:5" ht="15.75">
      <c r="A282" s="224"/>
      <c r="B282" s="83"/>
      <c r="C282" s="222"/>
      <c r="D282" s="222"/>
      <c r="E282" s="223"/>
    </row>
    <row r="283" spans="1:5" ht="15.75">
      <c r="A283" s="224"/>
      <c r="B283" s="83"/>
      <c r="C283" s="222"/>
      <c r="D283" s="222"/>
      <c r="E283" s="223"/>
    </row>
    <row r="284" spans="1:5" ht="15.75">
      <c r="A284" s="224"/>
      <c r="B284" s="83"/>
      <c r="C284" s="222"/>
      <c r="D284" s="222"/>
      <c r="E284" s="223"/>
    </row>
    <row r="285" spans="1:5" ht="15.75">
      <c r="A285" s="224"/>
      <c r="B285" s="83"/>
      <c r="C285" s="222"/>
      <c r="D285" s="222"/>
      <c r="E285" s="223"/>
    </row>
    <row r="286" spans="1:5" ht="15.75">
      <c r="A286" s="224"/>
      <c r="B286" s="83"/>
      <c r="C286" s="222"/>
      <c r="D286" s="222"/>
      <c r="E286" s="223"/>
    </row>
    <row r="287" spans="1:5" ht="15.75">
      <c r="A287" s="224"/>
      <c r="B287" s="83"/>
      <c r="C287" s="222"/>
      <c r="D287" s="222"/>
      <c r="E287" s="223"/>
    </row>
    <row r="288" spans="1:5" ht="15.75">
      <c r="A288" s="224"/>
      <c r="B288" s="83"/>
      <c r="C288" s="222"/>
      <c r="D288" s="222"/>
      <c r="E288" s="223"/>
    </row>
    <row r="289" spans="1:5" ht="15.75">
      <c r="A289" s="224"/>
      <c r="B289" s="83"/>
      <c r="C289" s="222"/>
      <c r="D289" s="222"/>
      <c r="E289" s="223"/>
    </row>
    <row r="290" spans="1:5" ht="15.75">
      <c r="A290" s="224"/>
      <c r="B290" s="83"/>
      <c r="C290" s="222"/>
      <c r="D290" s="222"/>
      <c r="E290" s="223"/>
    </row>
    <row r="291" spans="1:5" ht="15.75">
      <c r="A291" s="224"/>
      <c r="B291" s="83"/>
      <c r="C291" s="222"/>
      <c r="D291" s="222"/>
      <c r="E291" s="223"/>
    </row>
    <row r="292" spans="1:5" ht="15.75">
      <c r="A292" s="224"/>
      <c r="B292" s="83"/>
      <c r="C292" s="222"/>
      <c r="D292" s="222"/>
      <c r="E292" s="223"/>
    </row>
    <row r="293" spans="1:5" ht="15.75">
      <c r="A293" s="224"/>
      <c r="B293" s="83"/>
      <c r="C293" s="222"/>
      <c r="D293" s="222"/>
      <c r="E293" s="223"/>
    </row>
    <row r="294" spans="1:5" ht="15.75">
      <c r="A294" s="224"/>
      <c r="B294" s="83"/>
      <c r="C294" s="222"/>
      <c r="D294" s="222"/>
      <c r="E294" s="223"/>
    </row>
    <row r="295" spans="1:5" ht="15.75">
      <c r="A295" s="224"/>
      <c r="B295" s="83"/>
      <c r="C295" s="222"/>
      <c r="D295" s="222"/>
      <c r="E295" s="223"/>
    </row>
    <row r="296" spans="1:5" ht="15.75">
      <c r="A296" s="224"/>
      <c r="B296" s="83"/>
      <c r="C296" s="222"/>
      <c r="D296" s="222"/>
      <c r="E296" s="223"/>
    </row>
    <row r="297" spans="1:5" ht="15.75">
      <c r="A297" s="224"/>
      <c r="B297" s="83"/>
      <c r="C297" s="222"/>
      <c r="D297" s="222"/>
      <c r="E297" s="223"/>
    </row>
    <row r="298" spans="1:5" ht="15.75">
      <c r="A298" s="224"/>
      <c r="B298" s="83"/>
      <c r="C298" s="222"/>
      <c r="D298" s="222"/>
      <c r="E298" s="223"/>
    </row>
    <row r="299" spans="1:5" ht="15.75">
      <c r="A299" s="224"/>
      <c r="B299" s="83"/>
      <c r="C299" s="222"/>
      <c r="D299" s="222"/>
      <c r="E299" s="223"/>
    </row>
    <row r="300" spans="1:5" ht="15.75">
      <c r="A300" s="224"/>
      <c r="B300" s="83"/>
      <c r="C300" s="222"/>
      <c r="D300" s="222"/>
      <c r="E300" s="223"/>
    </row>
    <row r="301" spans="1:5" ht="15.75">
      <c r="A301" s="224"/>
      <c r="B301" s="83"/>
      <c r="C301" s="222"/>
      <c r="D301" s="222"/>
      <c r="E301" s="223"/>
    </row>
    <row r="302" spans="1:5" ht="15.75">
      <c r="A302" s="224"/>
      <c r="B302" s="83"/>
      <c r="C302" s="222"/>
      <c r="D302" s="222"/>
      <c r="E302" s="223"/>
    </row>
    <row r="303" spans="1:5" ht="15.75">
      <c r="A303" s="224"/>
      <c r="B303" s="83"/>
      <c r="C303" s="222"/>
      <c r="D303" s="222"/>
      <c r="E303" s="223"/>
    </row>
    <row r="304" spans="1:5" ht="15.75">
      <c r="A304" s="224"/>
      <c r="B304" s="83"/>
      <c r="C304" s="222"/>
      <c r="D304" s="222"/>
      <c r="E304" s="223"/>
    </row>
    <row r="305" spans="1:5" ht="15.75">
      <c r="A305" s="224"/>
      <c r="B305" s="83"/>
      <c r="C305" s="222"/>
      <c r="D305" s="222"/>
      <c r="E305" s="223"/>
    </row>
    <row r="306" spans="1:5" ht="15.75">
      <c r="A306" s="224"/>
      <c r="B306" s="83"/>
      <c r="C306" s="222"/>
      <c r="D306" s="222"/>
      <c r="E306" s="223"/>
    </row>
    <row r="307" spans="1:5" ht="15.75">
      <c r="A307" s="224"/>
      <c r="B307" s="83"/>
      <c r="C307" s="222"/>
      <c r="D307" s="222"/>
      <c r="E307" s="223"/>
    </row>
    <row r="308" spans="1:5" ht="15.75">
      <c r="A308" s="224"/>
      <c r="B308" s="83"/>
      <c r="C308" s="222"/>
      <c r="D308" s="222"/>
      <c r="E308" s="223"/>
    </row>
    <row r="309" spans="1:5" ht="15.75">
      <c r="A309" s="224"/>
      <c r="B309" s="83"/>
      <c r="C309" s="222"/>
      <c r="D309" s="222"/>
      <c r="E309" s="223"/>
    </row>
    <row r="310" spans="1:5" ht="15.75">
      <c r="A310" s="224"/>
      <c r="B310" s="83"/>
      <c r="C310" s="222"/>
      <c r="D310" s="222"/>
      <c r="E310" s="223"/>
    </row>
    <row r="311" spans="1:5" ht="15.75">
      <c r="A311" s="224"/>
      <c r="B311" s="83"/>
      <c r="C311" s="222"/>
      <c r="D311" s="222"/>
      <c r="E311" s="223"/>
    </row>
    <row r="312" spans="1:5" ht="15.75">
      <c r="A312" s="224"/>
      <c r="B312" s="83"/>
      <c r="C312" s="222"/>
      <c r="D312" s="222"/>
      <c r="E312" s="223"/>
    </row>
    <row r="313" spans="1:5" ht="15.75">
      <c r="A313" s="224"/>
      <c r="B313" s="83"/>
      <c r="C313" s="222"/>
      <c r="D313" s="222"/>
      <c r="E313" s="223"/>
    </row>
    <row r="314" spans="1:5" ht="15.75">
      <c r="A314" s="224"/>
      <c r="B314" s="83"/>
      <c r="C314" s="222"/>
      <c r="D314" s="222"/>
      <c r="E314" s="223"/>
    </row>
    <row r="315" spans="1:5" ht="15.75">
      <c r="A315" s="224"/>
      <c r="B315" s="83"/>
      <c r="C315" s="222"/>
      <c r="D315" s="222"/>
      <c r="E315" s="223"/>
    </row>
    <row r="316" spans="1:5" ht="15.75">
      <c r="A316" s="224"/>
      <c r="B316" s="83"/>
      <c r="C316" s="222"/>
      <c r="D316" s="222"/>
      <c r="E316" s="223"/>
    </row>
    <row r="317" spans="1:5" ht="15.75">
      <c r="A317" s="224"/>
      <c r="B317" s="83"/>
      <c r="C317" s="222"/>
      <c r="D317" s="222"/>
      <c r="E317" s="223"/>
    </row>
    <row r="318" spans="1:5" ht="15.75">
      <c r="A318" s="224"/>
      <c r="B318" s="83"/>
      <c r="C318" s="222"/>
      <c r="D318" s="222"/>
      <c r="E318" s="223"/>
    </row>
    <row r="319" spans="1:5" ht="15.75">
      <c r="A319" s="224"/>
      <c r="B319" s="83"/>
      <c r="C319" s="222"/>
      <c r="D319" s="222"/>
      <c r="E319" s="223"/>
    </row>
    <row r="320" spans="1:5" ht="15.75">
      <c r="A320" s="224"/>
      <c r="B320" s="83"/>
      <c r="C320" s="222"/>
      <c r="D320" s="222"/>
      <c r="E320" s="223"/>
    </row>
    <row r="321" spans="1:5" ht="15.75">
      <c r="A321" s="224"/>
      <c r="B321" s="83"/>
      <c r="C321" s="222"/>
      <c r="D321" s="222"/>
      <c r="E321" s="223"/>
    </row>
    <row r="322" spans="1:5" ht="15.75">
      <c r="A322" s="224"/>
      <c r="B322" s="83"/>
      <c r="C322" s="222"/>
      <c r="D322" s="222"/>
      <c r="E322" s="223"/>
    </row>
    <row r="323" spans="1:5" ht="15.75">
      <c r="A323" s="224"/>
      <c r="B323" s="83"/>
      <c r="C323" s="222"/>
      <c r="D323" s="222"/>
      <c r="E323" s="223"/>
    </row>
    <row r="324" spans="1:5" ht="15.75">
      <c r="A324" s="224"/>
      <c r="B324" s="83"/>
      <c r="C324" s="222"/>
      <c r="D324" s="222"/>
      <c r="E324" s="223"/>
    </row>
    <row r="325" spans="1:5" ht="15.75">
      <c r="A325" s="224"/>
      <c r="B325" s="83"/>
      <c r="C325" s="222"/>
      <c r="D325" s="222"/>
      <c r="E325" s="223"/>
    </row>
    <row r="326" spans="1:5" ht="15.75">
      <c r="A326" s="224"/>
      <c r="B326" s="83"/>
      <c r="C326" s="222"/>
      <c r="D326" s="222"/>
      <c r="E326" s="223"/>
    </row>
    <row r="327" spans="1:5" ht="15.75">
      <c r="A327" s="224"/>
      <c r="B327" s="83"/>
      <c r="C327" s="222"/>
      <c r="D327" s="222"/>
      <c r="E327" s="223"/>
    </row>
    <row r="328" spans="1:5" ht="15.75">
      <c r="A328" s="224"/>
      <c r="B328" s="83"/>
      <c r="C328" s="222"/>
      <c r="D328" s="222"/>
      <c r="E328" s="223"/>
    </row>
    <row r="329" spans="1:5" ht="15.75">
      <c r="A329" s="224"/>
      <c r="B329" s="83"/>
      <c r="C329" s="222"/>
      <c r="D329" s="222"/>
      <c r="E329" s="223"/>
    </row>
    <row r="330" spans="1:5" ht="15.75">
      <c r="A330" s="224"/>
      <c r="B330" s="83"/>
      <c r="C330" s="222"/>
      <c r="D330" s="222"/>
      <c r="E330" s="223"/>
    </row>
    <row r="331" spans="1:5" ht="15.75">
      <c r="A331" s="224"/>
      <c r="B331" s="83"/>
      <c r="C331" s="222"/>
      <c r="D331" s="222"/>
      <c r="E331" s="223"/>
    </row>
    <row r="332" spans="1:5" ht="15.75">
      <c r="A332" s="224"/>
      <c r="B332" s="83"/>
      <c r="C332" s="222"/>
      <c r="D332" s="222"/>
      <c r="E332" s="223"/>
    </row>
    <row r="333" spans="1:5" ht="15.75">
      <c r="A333" s="224"/>
      <c r="B333" s="83"/>
      <c r="C333" s="222"/>
      <c r="D333" s="222"/>
      <c r="E333" s="223"/>
    </row>
    <row r="334" spans="1:5" ht="15.75">
      <c r="A334" s="224"/>
      <c r="B334" s="83"/>
      <c r="C334" s="222"/>
      <c r="D334" s="222"/>
      <c r="E334" s="223"/>
    </row>
    <row r="335" spans="1:5" ht="15.75">
      <c r="A335" s="224"/>
      <c r="B335" s="83"/>
      <c r="C335" s="222"/>
      <c r="D335" s="222"/>
      <c r="E335" s="223"/>
    </row>
    <row r="336" spans="1:5" ht="15.75">
      <c r="A336" s="224"/>
      <c r="B336" s="83"/>
      <c r="C336" s="222"/>
      <c r="D336" s="222"/>
      <c r="E336" s="223"/>
    </row>
    <row r="337" spans="1:5" ht="15.75">
      <c r="A337" s="224"/>
      <c r="B337" s="83"/>
      <c r="C337" s="222"/>
      <c r="D337" s="222"/>
      <c r="E337" s="223"/>
    </row>
    <row r="338" spans="1:5" ht="15.75">
      <c r="A338" s="224"/>
      <c r="B338" s="83"/>
      <c r="C338" s="222"/>
      <c r="D338" s="222"/>
      <c r="E338" s="223"/>
    </row>
    <row r="339" spans="1:5" ht="15.75">
      <c r="A339" s="224"/>
      <c r="B339" s="83"/>
      <c r="C339" s="222"/>
      <c r="D339" s="222"/>
      <c r="E339" s="223"/>
    </row>
    <row r="340" spans="1:5" ht="15.75">
      <c r="A340" s="224"/>
      <c r="B340" s="83"/>
      <c r="C340" s="222"/>
      <c r="D340" s="222"/>
      <c r="E340" s="223"/>
    </row>
    <row r="341" spans="1:5" ht="15.75">
      <c r="A341" s="224"/>
      <c r="B341" s="83"/>
      <c r="C341" s="222"/>
      <c r="D341" s="222"/>
      <c r="E341" s="223"/>
    </row>
    <row r="342" spans="1:5" ht="15.75">
      <c r="A342" s="224"/>
      <c r="B342" s="83"/>
      <c r="C342" s="222"/>
      <c r="D342" s="222"/>
      <c r="E342" s="223"/>
    </row>
    <row r="343" spans="1:5" ht="15.75">
      <c r="A343" s="224"/>
      <c r="B343" s="83"/>
      <c r="C343" s="222"/>
      <c r="D343" s="222"/>
      <c r="E343" s="223"/>
    </row>
    <row r="344" spans="1:5" ht="15.75">
      <c r="A344" s="224"/>
      <c r="B344" s="83"/>
      <c r="C344" s="222"/>
      <c r="D344" s="222"/>
      <c r="E344" s="223"/>
    </row>
    <row r="345" spans="1:5" ht="15.75">
      <c r="A345" s="224"/>
      <c r="B345" s="83"/>
      <c r="C345" s="222"/>
      <c r="D345" s="222"/>
      <c r="E345" s="223"/>
    </row>
    <row r="346" spans="1:5" ht="15.75">
      <c r="A346" s="224"/>
      <c r="B346" s="83"/>
      <c r="C346" s="222"/>
      <c r="D346" s="222"/>
      <c r="E346" s="223"/>
    </row>
    <row r="347" spans="1:5" ht="15.75">
      <c r="A347" s="224"/>
      <c r="B347" s="83"/>
      <c r="C347" s="222"/>
      <c r="D347" s="222"/>
      <c r="E347" s="223"/>
    </row>
    <row r="348" spans="1:5" ht="15.75">
      <c r="A348" s="224"/>
      <c r="B348" s="83"/>
      <c r="C348" s="222"/>
      <c r="D348" s="222"/>
      <c r="E348" s="223"/>
    </row>
    <row r="349" spans="1:5" ht="15.75">
      <c r="A349" s="224"/>
      <c r="B349" s="83"/>
      <c r="C349" s="222"/>
      <c r="D349" s="222"/>
      <c r="E349" s="223"/>
    </row>
    <row r="350" spans="1:5" ht="15.75">
      <c r="A350" s="224"/>
      <c r="B350" s="83"/>
      <c r="C350" s="222"/>
      <c r="D350" s="222"/>
      <c r="E350" s="223"/>
    </row>
    <row r="351" spans="1:5" ht="15.75">
      <c r="A351" s="224"/>
      <c r="B351" s="83"/>
      <c r="C351" s="222"/>
      <c r="D351" s="222"/>
      <c r="E351" s="223"/>
    </row>
    <row r="352" spans="1:5" ht="15.75">
      <c r="A352" s="224"/>
      <c r="B352" s="83"/>
      <c r="C352" s="222"/>
      <c r="D352" s="222"/>
      <c r="E352" s="223"/>
    </row>
    <row r="353" spans="1:5" ht="15.75">
      <c r="A353" s="224"/>
      <c r="B353" s="83"/>
      <c r="C353" s="222"/>
      <c r="D353" s="222"/>
      <c r="E353" s="223"/>
    </row>
    <row r="354" spans="1:5" ht="15.75">
      <c r="A354" s="224"/>
      <c r="B354" s="83"/>
      <c r="C354" s="222"/>
      <c r="D354" s="222"/>
      <c r="E354" s="223"/>
    </row>
    <row r="355" spans="1:5" ht="15.75">
      <c r="A355" s="224"/>
      <c r="B355" s="83"/>
      <c r="C355" s="222"/>
      <c r="D355" s="222"/>
      <c r="E355" s="223"/>
    </row>
    <row r="356" spans="1:5" ht="15.75">
      <c r="A356" s="224"/>
      <c r="B356" s="83"/>
      <c r="C356" s="222"/>
      <c r="D356" s="222"/>
      <c r="E356" s="223"/>
    </row>
    <row r="357" spans="1:5" ht="15.75">
      <c r="A357" s="224"/>
      <c r="B357" s="83"/>
      <c r="C357" s="222"/>
      <c r="D357" s="222"/>
      <c r="E357" s="223"/>
    </row>
    <row r="358" spans="1:5" ht="15.75">
      <c r="A358" s="224"/>
      <c r="B358" s="83"/>
      <c r="C358" s="222"/>
      <c r="D358" s="222"/>
      <c r="E358" s="223"/>
    </row>
    <row r="359" spans="1:5" ht="15.75">
      <c r="A359" s="224"/>
      <c r="B359" s="83"/>
      <c r="C359" s="222"/>
      <c r="D359" s="222"/>
      <c r="E359" s="223"/>
    </row>
    <row r="360" spans="1:5" ht="15.75">
      <c r="A360" s="224"/>
      <c r="B360" s="83"/>
      <c r="C360" s="222"/>
      <c r="D360" s="222"/>
      <c r="E360" s="223"/>
    </row>
    <row r="361" spans="1:5" ht="15.75">
      <c r="A361" s="224"/>
      <c r="B361" s="83"/>
      <c r="C361" s="222"/>
      <c r="D361" s="222"/>
      <c r="E361" s="223"/>
    </row>
    <row r="362" spans="1:5" ht="15.75">
      <c r="A362" s="224"/>
      <c r="B362" s="83"/>
      <c r="C362" s="222"/>
      <c r="D362" s="222"/>
      <c r="E362" s="223"/>
    </row>
    <row r="363" spans="1:5" ht="15.75">
      <c r="A363" s="224"/>
      <c r="B363" s="83"/>
      <c r="C363" s="222"/>
      <c r="D363" s="222"/>
      <c r="E363" s="223"/>
    </row>
    <row r="364" spans="1:5" ht="15.75">
      <c r="A364" s="224"/>
      <c r="B364" s="83"/>
      <c r="C364" s="222"/>
      <c r="D364" s="222"/>
      <c r="E364" s="223"/>
    </row>
    <row r="365" spans="1:5" ht="15.75">
      <c r="A365" s="224"/>
      <c r="B365" s="83"/>
      <c r="C365" s="222"/>
      <c r="D365" s="222"/>
      <c r="E365" s="223"/>
    </row>
    <row r="366" spans="1:5" ht="15.75">
      <c r="A366" s="224"/>
      <c r="B366" s="83"/>
      <c r="C366" s="222"/>
      <c r="D366" s="222"/>
      <c r="E366" s="223"/>
    </row>
    <row r="367" spans="1:5" ht="15.75">
      <c r="A367" s="224"/>
      <c r="B367" s="83"/>
      <c r="C367" s="222"/>
      <c r="D367" s="222"/>
      <c r="E367" s="223"/>
    </row>
    <row r="368" spans="1:5" ht="15.75">
      <c r="A368" s="224"/>
      <c r="B368" s="83"/>
      <c r="C368" s="222"/>
      <c r="D368" s="222"/>
      <c r="E368" s="223"/>
    </row>
    <row r="369" spans="1:5" ht="15.75">
      <c r="A369" s="224"/>
      <c r="B369" s="83"/>
      <c r="C369" s="222"/>
      <c r="D369" s="222"/>
      <c r="E369" s="223"/>
    </row>
    <row r="370" spans="1:5" ht="15.75">
      <c r="A370" s="224"/>
      <c r="B370" s="83"/>
      <c r="C370" s="222"/>
      <c r="D370" s="222"/>
      <c r="E370" s="223"/>
    </row>
    <row r="371" spans="1:5" ht="15.75">
      <c r="A371" s="224"/>
      <c r="B371" s="83"/>
      <c r="C371" s="222"/>
      <c r="D371" s="222"/>
      <c r="E371" s="223"/>
    </row>
    <row r="372" spans="1:5" ht="15.75">
      <c r="A372" s="224"/>
      <c r="B372" s="83"/>
      <c r="C372" s="222"/>
      <c r="D372" s="222"/>
      <c r="E372" s="223"/>
    </row>
    <row r="373" spans="1:5" ht="15.75">
      <c r="A373" s="224"/>
      <c r="B373" s="83"/>
      <c r="C373" s="222"/>
      <c r="D373" s="222"/>
      <c r="E373" s="223"/>
    </row>
    <row r="374" spans="1:5" ht="15.75">
      <c r="A374" s="224"/>
      <c r="B374" s="83"/>
      <c r="C374" s="222"/>
      <c r="D374" s="222"/>
      <c r="E374" s="223"/>
    </row>
    <row r="375" spans="1:5" ht="15.75">
      <c r="A375" s="224"/>
      <c r="B375" s="83"/>
      <c r="C375" s="222"/>
      <c r="D375" s="222"/>
      <c r="E375" s="223"/>
    </row>
    <row r="376" spans="1:5" ht="15.75">
      <c r="A376" s="224"/>
      <c r="B376" s="83"/>
      <c r="C376" s="222"/>
      <c r="D376" s="222"/>
      <c r="E376" s="223"/>
    </row>
    <row r="377" spans="1:5" ht="15.75">
      <c r="A377" s="224"/>
      <c r="B377" s="83"/>
      <c r="C377" s="222"/>
      <c r="D377" s="222"/>
      <c r="E377" s="223"/>
    </row>
    <row r="378" spans="1:5" ht="15.75">
      <c r="A378" s="224"/>
      <c r="B378" s="83"/>
      <c r="C378" s="222"/>
      <c r="D378" s="222"/>
      <c r="E378" s="223"/>
    </row>
    <row r="379" spans="1:5" ht="15.75">
      <c r="A379" s="224"/>
      <c r="B379" s="83"/>
      <c r="C379" s="222"/>
      <c r="D379" s="222"/>
      <c r="E379" s="223"/>
    </row>
    <row r="380" spans="1:5" ht="15.75">
      <c r="A380" s="224"/>
      <c r="B380" s="83"/>
      <c r="C380" s="222"/>
      <c r="D380" s="222"/>
      <c r="E380" s="223"/>
    </row>
    <row r="381" spans="1:5" ht="15.75">
      <c r="A381" s="224"/>
      <c r="B381" s="83"/>
      <c r="C381" s="222"/>
      <c r="D381" s="222"/>
      <c r="E381" s="223"/>
    </row>
    <row r="382" spans="1:5" ht="15.75">
      <c r="A382" s="224"/>
      <c r="B382" s="83"/>
      <c r="C382" s="222"/>
      <c r="D382" s="222"/>
      <c r="E382" s="223"/>
    </row>
    <row r="383" spans="1:5" ht="15.75">
      <c r="A383" s="224"/>
      <c r="B383" s="83"/>
      <c r="C383" s="222"/>
      <c r="D383" s="222"/>
      <c r="E383" s="223"/>
    </row>
    <row r="384" spans="1:5" ht="15.75">
      <c r="A384" s="224"/>
      <c r="B384" s="83"/>
      <c r="C384" s="222"/>
      <c r="D384" s="222"/>
      <c r="E384" s="223"/>
    </row>
    <row r="385" spans="1:5" ht="15.75">
      <c r="A385" s="224"/>
      <c r="B385" s="83"/>
      <c r="C385" s="222"/>
      <c r="D385" s="222"/>
      <c r="E385" s="223"/>
    </row>
    <row r="386" spans="1:5" ht="15.75">
      <c r="A386" s="224"/>
      <c r="B386" s="83"/>
      <c r="C386" s="222"/>
      <c r="D386" s="222"/>
      <c r="E386" s="223"/>
    </row>
    <row r="387" spans="1:5" ht="15.75">
      <c r="A387" s="224"/>
      <c r="B387" s="83"/>
      <c r="C387" s="222"/>
      <c r="D387" s="222"/>
      <c r="E387" s="223"/>
    </row>
    <row r="388" spans="1:5" ht="15.75">
      <c r="A388" s="224"/>
      <c r="B388" s="83"/>
      <c r="C388" s="222"/>
      <c r="D388" s="222"/>
      <c r="E388" s="223"/>
    </row>
    <row r="389" spans="1:5" ht="15.75">
      <c r="A389" s="224"/>
      <c r="B389" s="83"/>
      <c r="C389" s="222"/>
      <c r="D389" s="222"/>
      <c r="E389" s="223"/>
    </row>
    <row r="390" spans="1:5" ht="15.75">
      <c r="A390" s="224"/>
      <c r="B390" s="83"/>
      <c r="C390" s="222"/>
      <c r="D390" s="222"/>
      <c r="E390" s="223"/>
    </row>
    <row r="391" spans="1:5" ht="15.75">
      <c r="A391" s="224"/>
      <c r="B391" s="83"/>
      <c r="C391" s="222"/>
      <c r="D391" s="222"/>
      <c r="E391" s="223"/>
    </row>
    <row r="392" spans="1:5" ht="15.75">
      <c r="A392" s="224"/>
      <c r="B392" s="83"/>
      <c r="C392" s="222"/>
      <c r="D392" s="222"/>
      <c r="E392" s="223"/>
    </row>
    <row r="393" spans="1:5" ht="15.75">
      <c r="A393" s="224"/>
      <c r="B393" s="83"/>
      <c r="C393" s="222"/>
      <c r="D393" s="222"/>
      <c r="E393" s="223"/>
    </row>
    <row r="394" spans="1:5" ht="15.75">
      <c r="A394" s="224"/>
      <c r="B394" s="83"/>
      <c r="C394" s="222"/>
      <c r="D394" s="222"/>
      <c r="E394" s="223"/>
    </row>
    <row r="395" spans="1:5" ht="15.75">
      <c r="A395" s="224"/>
      <c r="B395" s="83"/>
      <c r="C395" s="222"/>
      <c r="D395" s="222"/>
      <c r="E395" s="223"/>
    </row>
    <row r="396" spans="1:5" ht="15.75">
      <c r="A396" s="224"/>
      <c r="B396" s="83"/>
      <c r="C396" s="222"/>
      <c r="D396" s="222"/>
      <c r="E396" s="223"/>
    </row>
    <row r="397" spans="1:5" ht="15.75">
      <c r="A397" s="224"/>
      <c r="B397" s="83"/>
      <c r="C397" s="222"/>
      <c r="D397" s="222"/>
      <c r="E397" s="223"/>
    </row>
    <row r="398" spans="1:5" ht="15.75">
      <c r="A398" s="224"/>
      <c r="B398" s="83"/>
      <c r="C398" s="222"/>
      <c r="D398" s="222"/>
      <c r="E398" s="223"/>
    </row>
    <row r="399" spans="1:5" ht="15.75">
      <c r="A399" s="224"/>
      <c r="B399" s="83"/>
      <c r="C399" s="222"/>
      <c r="D399" s="222"/>
      <c r="E399" s="223"/>
    </row>
    <row r="400" spans="1:5" ht="15.75">
      <c r="A400" s="224"/>
      <c r="B400" s="83"/>
      <c r="C400" s="222"/>
      <c r="D400" s="222"/>
      <c r="E400" s="223"/>
    </row>
    <row r="401" spans="1:5" ht="15.75">
      <c r="A401" s="224"/>
      <c r="B401" s="83"/>
      <c r="C401" s="222"/>
      <c r="D401" s="222"/>
      <c r="E401" s="223"/>
    </row>
    <row r="402" spans="1:5" ht="15.75">
      <c r="A402" s="224"/>
      <c r="B402" s="83"/>
      <c r="C402" s="222"/>
      <c r="D402" s="222"/>
      <c r="E402" s="223"/>
    </row>
    <row r="403" spans="1:5" ht="15.75">
      <c r="A403" s="224"/>
      <c r="B403" s="83"/>
      <c r="C403" s="222"/>
      <c r="D403" s="222"/>
      <c r="E403" s="223"/>
    </row>
    <row r="404" spans="1:5" ht="15.75">
      <c r="A404" s="224"/>
      <c r="B404" s="83"/>
      <c r="C404" s="222"/>
      <c r="D404" s="222"/>
      <c r="E404" s="223"/>
    </row>
    <row r="405" spans="1:5" ht="15.75">
      <c r="A405" s="224"/>
      <c r="B405" s="83"/>
      <c r="C405" s="222"/>
      <c r="D405" s="222"/>
      <c r="E405" s="223"/>
    </row>
    <row r="406" spans="1:5" ht="15.75">
      <c r="A406" s="224"/>
      <c r="B406" s="83"/>
      <c r="C406" s="222"/>
      <c r="D406" s="222"/>
      <c r="E406" s="223"/>
    </row>
    <row r="407" spans="1:5" ht="15.75">
      <c r="A407" s="224"/>
      <c r="B407" s="83"/>
      <c r="C407" s="222"/>
      <c r="D407" s="222"/>
      <c r="E407" s="223"/>
    </row>
    <row r="408" spans="1:5" ht="15.75">
      <c r="A408" s="224"/>
      <c r="B408" s="83"/>
      <c r="C408" s="222"/>
      <c r="D408" s="222"/>
      <c r="E408" s="223"/>
    </row>
    <row r="409" spans="1:5" ht="15.75">
      <c r="A409" s="224"/>
      <c r="B409" s="83"/>
      <c r="C409" s="222"/>
      <c r="D409" s="222"/>
      <c r="E409" s="223"/>
    </row>
    <row r="410" spans="1:5" ht="15.75">
      <c r="A410" s="224"/>
      <c r="B410" s="83"/>
      <c r="C410" s="222"/>
      <c r="D410" s="222"/>
      <c r="E410" s="223"/>
    </row>
    <row r="411" spans="1:5" ht="15.75">
      <c r="A411" s="224"/>
      <c r="B411" s="83"/>
      <c r="C411" s="222"/>
      <c r="D411" s="222"/>
      <c r="E411" s="223"/>
    </row>
    <row r="412" spans="1:5" ht="15.75">
      <c r="A412" s="224"/>
      <c r="B412" s="83"/>
      <c r="C412" s="222"/>
      <c r="D412" s="222"/>
      <c r="E412" s="223"/>
    </row>
    <row r="413" spans="1:5" ht="15.75">
      <c r="A413" s="224"/>
      <c r="B413" s="83"/>
      <c r="C413" s="222"/>
      <c r="D413" s="222"/>
      <c r="E413" s="223"/>
    </row>
    <row r="414" spans="1:5" ht="15.75">
      <c r="A414" s="224"/>
      <c r="B414" s="83"/>
      <c r="C414" s="222"/>
      <c r="D414" s="222"/>
      <c r="E414" s="223"/>
    </row>
    <row r="415" spans="1:5" ht="15.75">
      <c r="A415" s="224"/>
      <c r="B415" s="83"/>
      <c r="C415" s="222"/>
      <c r="D415" s="222"/>
      <c r="E415" s="223"/>
    </row>
    <row r="416" spans="1:5" ht="15.75">
      <c r="A416" s="224"/>
      <c r="B416" s="83"/>
      <c r="C416" s="222"/>
      <c r="D416" s="222"/>
      <c r="E416" s="223"/>
    </row>
    <row r="417" spans="1:5" ht="15.75">
      <c r="A417" s="224"/>
      <c r="B417" s="83"/>
      <c r="C417" s="222"/>
      <c r="D417" s="222"/>
      <c r="E417" s="223"/>
    </row>
    <row r="418" spans="1:5" ht="15.75">
      <c r="A418" s="224"/>
      <c r="B418" s="83"/>
      <c r="C418" s="222"/>
      <c r="D418" s="222"/>
      <c r="E418" s="223"/>
    </row>
    <row r="419" spans="1:5" ht="15.75">
      <c r="A419" s="224"/>
      <c r="B419" s="83"/>
      <c r="C419" s="222"/>
      <c r="D419" s="222"/>
      <c r="E419" s="223"/>
    </row>
    <row r="420" spans="1:5" ht="15.75">
      <c r="A420" s="224"/>
      <c r="B420" s="83"/>
      <c r="C420" s="222"/>
      <c r="D420" s="222"/>
      <c r="E420" s="223"/>
    </row>
    <row r="421" spans="1:5" ht="15.75">
      <c r="A421" s="224"/>
      <c r="B421" s="83"/>
      <c r="C421" s="222"/>
      <c r="D421" s="222"/>
      <c r="E421" s="223"/>
    </row>
    <row r="422" spans="1:5" ht="15.75">
      <c r="A422" s="224"/>
      <c r="B422" s="83"/>
      <c r="C422" s="222"/>
      <c r="D422" s="222"/>
      <c r="E422" s="223"/>
    </row>
    <row r="423" spans="1:5" ht="15.75">
      <c r="A423" s="224"/>
      <c r="B423" s="83"/>
      <c r="C423" s="222"/>
      <c r="D423" s="222"/>
      <c r="E423" s="223"/>
    </row>
    <row r="424" spans="1:5" ht="15.75">
      <c r="A424" s="224"/>
      <c r="B424" s="83"/>
      <c r="C424" s="222"/>
      <c r="D424" s="222"/>
      <c r="E424" s="223"/>
    </row>
    <row r="425" spans="1:5" ht="15.75">
      <c r="A425" s="224"/>
      <c r="B425" s="83"/>
      <c r="C425" s="222"/>
      <c r="D425" s="222"/>
      <c r="E425" s="223"/>
    </row>
    <row r="426" spans="1:5" ht="15.75">
      <c r="A426" s="224"/>
      <c r="B426" s="83"/>
      <c r="C426" s="222"/>
      <c r="D426" s="222"/>
      <c r="E426" s="223"/>
    </row>
    <row r="427" spans="1:5" ht="15.75">
      <c r="A427" s="224"/>
      <c r="B427" s="83"/>
      <c r="C427" s="222"/>
      <c r="D427" s="222"/>
      <c r="E427" s="223"/>
    </row>
    <row r="428" spans="1:5" ht="15.75">
      <c r="A428" s="224"/>
      <c r="B428" s="83"/>
      <c r="C428" s="222"/>
      <c r="D428" s="222"/>
      <c r="E428" s="223"/>
    </row>
    <row r="429" spans="1:5" ht="15.75">
      <c r="A429" s="224"/>
      <c r="B429" s="83"/>
      <c r="C429" s="222"/>
      <c r="D429" s="222"/>
      <c r="E429" s="223"/>
    </row>
    <row r="430" spans="1:5" ht="15.75">
      <c r="A430" s="224"/>
      <c r="B430" s="83"/>
      <c r="C430" s="222"/>
      <c r="D430" s="222"/>
      <c r="E430" s="223"/>
    </row>
    <row r="431" spans="1:5" ht="15.75">
      <c r="A431" s="224"/>
      <c r="B431" s="83"/>
      <c r="C431" s="222"/>
      <c r="D431" s="222"/>
      <c r="E431" s="223"/>
    </row>
    <row r="432" spans="1:5" ht="15.75">
      <c r="A432" s="224"/>
      <c r="B432" s="83"/>
      <c r="C432" s="222"/>
      <c r="D432" s="222"/>
      <c r="E432" s="223"/>
    </row>
    <row r="433" spans="1:5" ht="15.75">
      <c r="A433" s="224"/>
      <c r="B433" s="83"/>
      <c r="C433" s="222"/>
      <c r="D433" s="222"/>
      <c r="E433" s="223"/>
    </row>
    <row r="434" spans="1:5" ht="15.75">
      <c r="A434" s="224"/>
      <c r="B434" s="83"/>
      <c r="C434" s="222"/>
      <c r="D434" s="222"/>
      <c r="E434" s="223"/>
    </row>
    <row r="435" spans="1:5" ht="15.75">
      <c r="A435" s="224"/>
      <c r="B435" s="83"/>
      <c r="C435" s="222"/>
      <c r="D435" s="222"/>
      <c r="E435" s="223"/>
    </row>
    <row r="436" spans="1:5" ht="15.75">
      <c r="A436" s="224"/>
      <c r="B436" s="83"/>
      <c r="C436" s="222"/>
      <c r="D436" s="222"/>
      <c r="E436" s="223"/>
    </row>
    <row r="437" spans="1:5" ht="15.75">
      <c r="A437" s="224"/>
      <c r="B437" s="83"/>
      <c r="C437" s="222"/>
      <c r="D437" s="222"/>
      <c r="E437" s="223"/>
    </row>
    <row r="438" spans="1:5" ht="15.75">
      <c r="A438" s="224"/>
      <c r="B438" s="83"/>
      <c r="C438" s="222"/>
      <c r="D438" s="222"/>
      <c r="E438" s="223"/>
    </row>
    <row r="439" spans="1:5" ht="15.75">
      <c r="A439" s="224"/>
      <c r="B439" s="83"/>
      <c r="C439" s="222"/>
      <c r="D439" s="222"/>
      <c r="E439" s="223"/>
    </row>
    <row r="440" spans="1:5" ht="15.75">
      <c r="A440" s="224"/>
      <c r="B440" s="83"/>
      <c r="C440" s="222"/>
      <c r="D440" s="222"/>
      <c r="E440" s="223"/>
    </row>
    <row r="441" spans="1:5" ht="15.75">
      <c r="A441" s="224"/>
      <c r="B441" s="83"/>
      <c r="C441" s="222"/>
      <c r="D441" s="222"/>
      <c r="E441" s="223"/>
    </row>
    <row r="442" spans="1:5" ht="15.75">
      <c r="A442" s="224"/>
      <c r="B442" s="83"/>
      <c r="C442" s="222"/>
      <c r="D442" s="222"/>
      <c r="E442" s="223"/>
    </row>
    <row r="443" spans="1:5" ht="15.75">
      <c r="A443" s="224"/>
      <c r="B443" s="83"/>
      <c r="C443" s="222"/>
      <c r="D443" s="222"/>
      <c r="E443" s="223"/>
    </row>
    <row r="444" spans="1:5" ht="15.75">
      <c r="A444" s="224"/>
      <c r="B444" s="83"/>
      <c r="C444" s="222"/>
      <c r="D444" s="222"/>
      <c r="E444" s="223"/>
    </row>
    <row r="445" spans="1:5" ht="15.75">
      <c r="A445" s="224"/>
      <c r="B445" s="83"/>
      <c r="C445" s="222"/>
      <c r="D445" s="222"/>
      <c r="E445" s="223"/>
    </row>
    <row r="446" spans="1:5" ht="15.75">
      <c r="A446" s="224"/>
      <c r="B446" s="83"/>
      <c r="C446" s="222"/>
      <c r="D446" s="222"/>
      <c r="E446" s="223"/>
    </row>
    <row r="447" spans="1:5" ht="15.75">
      <c r="A447" s="224"/>
      <c r="B447" s="83"/>
      <c r="C447" s="222"/>
      <c r="D447" s="222"/>
      <c r="E447" s="223"/>
    </row>
    <row r="448" spans="1:5" ht="15.75">
      <c r="A448" s="224"/>
      <c r="B448" s="83"/>
      <c r="C448" s="222"/>
      <c r="D448" s="222"/>
      <c r="E448" s="223"/>
    </row>
    <row r="449" spans="1:5" ht="15.75">
      <c r="A449" s="224"/>
      <c r="B449" s="83"/>
      <c r="C449" s="222"/>
      <c r="D449" s="222"/>
      <c r="E449" s="223"/>
    </row>
    <row r="450" spans="1:5" ht="15.75">
      <c r="A450" s="224"/>
      <c r="B450" s="83"/>
      <c r="C450" s="222"/>
      <c r="D450" s="222"/>
      <c r="E450" s="223"/>
    </row>
    <row r="451" spans="1:5" ht="15.75">
      <c r="A451" s="224"/>
      <c r="B451" s="83"/>
      <c r="C451" s="222"/>
      <c r="D451" s="222"/>
      <c r="E451" s="223"/>
    </row>
    <row r="452" spans="1:5" ht="15.75">
      <c r="A452" s="224"/>
      <c r="B452" s="83"/>
      <c r="C452" s="222"/>
      <c r="D452" s="222"/>
      <c r="E452" s="223"/>
    </row>
    <row r="453" spans="1:5" ht="15.75">
      <c r="A453" s="224"/>
      <c r="B453" s="83"/>
      <c r="C453" s="222"/>
      <c r="D453" s="222"/>
      <c r="E453" s="223"/>
    </row>
    <row r="454" spans="1:5" ht="15.75">
      <c r="A454" s="224"/>
      <c r="B454" s="83"/>
      <c r="C454" s="222"/>
      <c r="D454" s="222"/>
      <c r="E454" s="223"/>
    </row>
    <row r="455" spans="1:5" ht="15.75">
      <c r="A455" s="224"/>
      <c r="B455" s="83"/>
      <c r="C455" s="222"/>
      <c r="D455" s="222"/>
      <c r="E455" s="223"/>
    </row>
    <row r="456" spans="1:5" ht="15.75">
      <c r="A456" s="224"/>
      <c r="B456" s="83"/>
      <c r="C456" s="222"/>
      <c r="D456" s="222"/>
      <c r="E456" s="223"/>
    </row>
    <row r="457" spans="1:5" ht="15.75">
      <c r="A457" s="224"/>
      <c r="B457" s="83"/>
      <c r="C457" s="222"/>
      <c r="D457" s="222"/>
      <c r="E457" s="223"/>
    </row>
    <row r="458" spans="1:5" ht="15.75">
      <c r="A458" s="224"/>
      <c r="B458" s="83"/>
      <c r="C458" s="222"/>
      <c r="D458" s="222"/>
      <c r="E458" s="223"/>
    </row>
    <row r="459" spans="1:5" ht="15.75">
      <c r="A459" s="224"/>
      <c r="B459" s="83"/>
      <c r="C459" s="222"/>
      <c r="D459" s="222"/>
      <c r="E459" s="223"/>
    </row>
    <row r="460" spans="1:5" ht="15.75">
      <c r="A460" s="224"/>
      <c r="B460" s="83"/>
      <c r="C460" s="222"/>
      <c r="D460" s="222"/>
      <c r="E460" s="223"/>
    </row>
    <row r="461" spans="1:5" ht="15.75">
      <c r="A461" s="224"/>
      <c r="B461" s="83"/>
      <c r="C461" s="222"/>
      <c r="D461" s="222"/>
      <c r="E461" s="223"/>
    </row>
    <row r="462" spans="1:5" ht="15.75">
      <c r="A462" s="224"/>
      <c r="B462" s="83"/>
      <c r="C462" s="222"/>
      <c r="D462" s="222"/>
      <c r="E462" s="223"/>
    </row>
    <row r="463" spans="1:5" ht="15.75">
      <c r="A463" s="224"/>
      <c r="B463" s="83"/>
      <c r="C463" s="222"/>
      <c r="D463" s="222"/>
      <c r="E463" s="223"/>
    </row>
    <row r="464" spans="1:5" ht="15.75">
      <c r="A464" s="224"/>
      <c r="B464" s="83"/>
      <c r="C464" s="222"/>
      <c r="D464" s="222"/>
      <c r="E464" s="223"/>
    </row>
    <row r="465" spans="1:5" ht="15.75">
      <c r="A465" s="224"/>
      <c r="B465" s="83"/>
      <c r="C465" s="222"/>
      <c r="D465" s="222"/>
      <c r="E465" s="223"/>
    </row>
    <row r="466" spans="1:5" ht="15.75">
      <c r="A466" s="224"/>
      <c r="B466" s="83"/>
      <c r="C466" s="222"/>
      <c r="D466" s="222"/>
      <c r="E466" s="223"/>
    </row>
    <row r="467" spans="1:5" ht="15.75">
      <c r="A467" s="224"/>
      <c r="B467" s="83"/>
      <c r="C467" s="222"/>
      <c r="D467" s="222"/>
      <c r="E467" s="223"/>
    </row>
    <row r="468" spans="1:5" ht="15.75">
      <c r="A468" s="224"/>
      <c r="B468" s="83"/>
      <c r="C468" s="222"/>
      <c r="D468" s="222"/>
      <c r="E468" s="223"/>
    </row>
    <row r="469" spans="1:5" ht="15.75">
      <c r="A469" s="224"/>
      <c r="B469" s="83"/>
      <c r="C469" s="222"/>
      <c r="D469" s="222"/>
      <c r="E469" s="223"/>
    </row>
    <row r="470" spans="1:5" ht="15.75">
      <c r="A470" s="224"/>
      <c r="B470" s="83"/>
      <c r="C470" s="222"/>
      <c r="D470" s="222"/>
      <c r="E470" s="223"/>
    </row>
    <row r="471" spans="1:5" ht="15.75">
      <c r="A471" s="224"/>
      <c r="B471" s="83"/>
      <c r="C471" s="222"/>
      <c r="D471" s="222"/>
      <c r="E471" s="223"/>
    </row>
    <row r="472" spans="1:5" ht="15.75">
      <c r="A472" s="224"/>
      <c r="B472" s="83"/>
      <c r="C472" s="222"/>
      <c r="D472" s="222"/>
      <c r="E472" s="223"/>
    </row>
    <row r="473" spans="1:5" ht="15.75">
      <c r="A473" s="224"/>
      <c r="B473" s="83"/>
      <c r="C473" s="222"/>
      <c r="D473" s="222"/>
      <c r="E473" s="223"/>
    </row>
    <row r="474" spans="1:5" ht="15.75">
      <c r="A474" s="224"/>
      <c r="B474" s="83"/>
      <c r="C474" s="222"/>
      <c r="D474" s="222"/>
      <c r="E474" s="223"/>
    </row>
    <row r="475" spans="1:5" ht="15.75">
      <c r="A475" s="224"/>
      <c r="B475" s="83"/>
      <c r="C475" s="222"/>
      <c r="D475" s="222"/>
      <c r="E475" s="223"/>
    </row>
    <row r="476" spans="1:5" ht="15.75">
      <c r="A476" s="224"/>
      <c r="B476" s="83"/>
      <c r="C476" s="222"/>
      <c r="D476" s="222"/>
      <c r="E476" s="223"/>
    </row>
    <row r="477" spans="1:5" ht="15.75">
      <c r="A477" s="224"/>
      <c r="B477" s="83"/>
      <c r="C477" s="222"/>
      <c r="D477" s="222"/>
      <c r="E477" s="223"/>
    </row>
    <row r="478" spans="1:5" ht="15.75">
      <c r="A478" s="224"/>
      <c r="B478" s="83"/>
      <c r="C478" s="222"/>
      <c r="D478" s="222"/>
      <c r="E478" s="223"/>
    </row>
    <row r="479" spans="1:5" ht="15.75">
      <c r="A479" s="224"/>
      <c r="B479" s="83"/>
      <c r="C479" s="222"/>
      <c r="D479" s="222"/>
      <c r="E479" s="223"/>
    </row>
    <row r="480" spans="1:5" ht="15.75">
      <c r="A480" s="224"/>
      <c r="B480" s="83"/>
      <c r="C480" s="222"/>
      <c r="D480" s="222"/>
      <c r="E480" s="223"/>
    </row>
    <row r="481" spans="1:5" ht="15.75">
      <c r="A481" s="224"/>
      <c r="B481" s="83"/>
      <c r="C481" s="222"/>
      <c r="D481" s="222"/>
      <c r="E481" s="223"/>
    </row>
    <row r="482" spans="1:5" ht="15.75">
      <c r="A482" s="224"/>
      <c r="B482" s="83"/>
      <c r="C482" s="222"/>
      <c r="D482" s="222"/>
      <c r="E482" s="223"/>
    </row>
    <row r="483" spans="1:5" ht="15.75">
      <c r="A483" s="224"/>
      <c r="B483" s="83"/>
      <c r="C483" s="222"/>
      <c r="D483" s="222"/>
      <c r="E483" s="223"/>
    </row>
    <row r="484" spans="1:5" ht="15.75">
      <c r="A484" s="224"/>
      <c r="B484" s="83"/>
      <c r="C484" s="222"/>
      <c r="D484" s="222"/>
      <c r="E484" s="223"/>
    </row>
    <row r="485" spans="1:5" ht="15.75">
      <c r="A485" s="224"/>
      <c r="B485" s="83"/>
      <c r="C485" s="222"/>
      <c r="D485" s="222"/>
      <c r="E485" s="223"/>
    </row>
    <row r="486" spans="1:5" ht="15.75">
      <c r="A486" s="224"/>
      <c r="B486" s="83"/>
      <c r="C486" s="222"/>
      <c r="D486" s="222"/>
      <c r="E486" s="223"/>
    </row>
    <row r="487" spans="1:5" ht="15.75">
      <c r="A487" s="224"/>
      <c r="B487" s="83"/>
      <c r="C487" s="222"/>
      <c r="D487" s="222"/>
      <c r="E487" s="223"/>
    </row>
    <row r="488" spans="1:5" ht="15.75">
      <c r="A488" s="224"/>
      <c r="B488" s="83"/>
      <c r="C488" s="222"/>
      <c r="D488" s="222"/>
      <c r="E488" s="223"/>
    </row>
    <row r="489" spans="1:5" ht="15.75">
      <c r="A489" s="224"/>
      <c r="B489" s="83"/>
      <c r="C489" s="222"/>
      <c r="D489" s="222"/>
      <c r="E489" s="223"/>
    </row>
    <row r="490" spans="1:5" ht="15.75">
      <c r="A490" s="224"/>
      <c r="B490" s="83"/>
      <c r="C490" s="222"/>
      <c r="D490" s="222"/>
      <c r="E490" s="223"/>
    </row>
    <row r="491" spans="1:5" ht="15.75">
      <c r="A491" s="224"/>
      <c r="B491" s="83"/>
      <c r="C491" s="222"/>
      <c r="D491" s="222"/>
      <c r="E491" s="223"/>
    </row>
    <row r="492" spans="1:5" ht="15.75">
      <c r="A492" s="224"/>
      <c r="B492" s="83"/>
      <c r="C492" s="222"/>
      <c r="D492" s="222"/>
      <c r="E492" s="223"/>
    </row>
    <row r="493" spans="1:5" ht="15.75">
      <c r="A493" s="224"/>
      <c r="B493" s="83"/>
      <c r="C493" s="222"/>
      <c r="D493" s="222"/>
      <c r="E493" s="223"/>
    </row>
    <row r="494" spans="1:5" ht="15.75">
      <c r="A494" s="224"/>
      <c r="B494" s="83"/>
      <c r="C494" s="222"/>
      <c r="D494" s="222"/>
      <c r="E494" s="223"/>
    </row>
    <row r="495" spans="1:5" ht="15.75">
      <c r="A495" s="224"/>
      <c r="B495" s="83"/>
      <c r="C495" s="222"/>
      <c r="D495" s="222"/>
      <c r="E495" s="223"/>
    </row>
    <row r="496" spans="1:5" ht="15.75">
      <c r="A496" s="224"/>
      <c r="B496" s="83"/>
      <c r="C496" s="222"/>
      <c r="D496" s="222"/>
      <c r="E496" s="223"/>
    </row>
    <row r="497" spans="1:5" ht="15.75">
      <c r="A497" s="224"/>
      <c r="B497" s="83"/>
      <c r="C497" s="222"/>
      <c r="D497" s="222"/>
      <c r="E497" s="223"/>
    </row>
    <row r="498" spans="1:5" ht="15.75">
      <c r="A498" s="224"/>
      <c r="B498" s="83"/>
      <c r="C498" s="222"/>
      <c r="D498" s="222"/>
      <c r="E498" s="223"/>
    </row>
    <row r="499" spans="1:5" ht="15.75">
      <c r="A499" s="224"/>
      <c r="B499" s="83"/>
      <c r="C499" s="222"/>
      <c r="D499" s="222"/>
      <c r="E499" s="223"/>
    </row>
    <row r="500" spans="1:5" ht="15.75">
      <c r="A500" s="224"/>
      <c r="B500" s="83"/>
      <c r="C500" s="222"/>
      <c r="D500" s="222"/>
      <c r="E500" s="223"/>
    </row>
    <row r="501" spans="1:5" ht="15.75">
      <c r="A501" s="224"/>
      <c r="B501" s="83"/>
      <c r="C501" s="222"/>
      <c r="D501" s="222"/>
      <c r="E501" s="223"/>
    </row>
    <row r="502" spans="1:5" ht="15.75">
      <c r="A502" s="224"/>
      <c r="B502" s="83"/>
      <c r="C502" s="222"/>
      <c r="D502" s="222"/>
      <c r="E502" s="223"/>
    </row>
    <row r="503" spans="1:5" ht="15.75">
      <c r="A503" s="224"/>
      <c r="B503" s="83"/>
      <c r="C503" s="222"/>
      <c r="D503" s="222"/>
      <c r="E503" s="223"/>
    </row>
    <row r="504" spans="1:5" ht="15.75">
      <c r="A504" s="224"/>
      <c r="B504" s="83"/>
      <c r="C504" s="222"/>
      <c r="D504" s="222"/>
      <c r="E504" s="223"/>
    </row>
    <row r="505" spans="1:5" ht="15.75">
      <c r="A505" s="224"/>
      <c r="B505" s="83"/>
      <c r="C505" s="222"/>
      <c r="D505" s="222"/>
      <c r="E505" s="223"/>
    </row>
    <row r="506" spans="1:5" ht="15.75">
      <c r="A506" s="224"/>
      <c r="B506" s="83"/>
      <c r="C506" s="222"/>
      <c r="D506" s="222"/>
      <c r="E506" s="223"/>
    </row>
    <row r="507" spans="1:5" ht="15.75">
      <c r="A507" s="224"/>
      <c r="B507" s="83"/>
      <c r="C507" s="222"/>
      <c r="D507" s="222"/>
      <c r="E507" s="223"/>
    </row>
    <row r="508" spans="1:5" ht="15.75">
      <c r="A508" s="224"/>
      <c r="B508" s="83"/>
      <c r="C508" s="222"/>
      <c r="D508" s="222"/>
      <c r="E508" s="223"/>
    </row>
    <row r="509" spans="1:5" ht="15.75">
      <c r="A509" s="224"/>
      <c r="B509" s="83"/>
      <c r="C509" s="222"/>
      <c r="D509" s="222"/>
      <c r="E509" s="223"/>
    </row>
    <row r="510" spans="1:5" ht="15.75">
      <c r="A510" s="224"/>
      <c r="B510" s="83"/>
      <c r="C510" s="222"/>
      <c r="D510" s="222"/>
      <c r="E510" s="223"/>
    </row>
    <row r="511" spans="1:5" ht="15.75">
      <c r="A511" s="224"/>
      <c r="B511" s="83"/>
      <c r="C511" s="222"/>
      <c r="D511" s="222"/>
      <c r="E511" s="223"/>
    </row>
    <row r="512" spans="1:5" ht="15.75">
      <c r="A512" s="224"/>
      <c r="B512" s="83"/>
      <c r="C512" s="222"/>
      <c r="D512" s="222"/>
      <c r="E512" s="223"/>
    </row>
    <row r="513" spans="1:5" ht="15.75">
      <c r="A513" s="224"/>
      <c r="B513" s="83"/>
      <c r="C513" s="222"/>
      <c r="D513" s="222"/>
      <c r="E513" s="223"/>
    </row>
    <row r="514" spans="1:5" ht="15.75">
      <c r="A514" s="224"/>
      <c r="B514" s="83"/>
      <c r="C514" s="222"/>
      <c r="D514" s="222"/>
      <c r="E514" s="223"/>
    </row>
    <row r="515" spans="1:5" ht="15.75">
      <c r="A515" s="224"/>
      <c r="B515" s="83"/>
      <c r="C515" s="222"/>
      <c r="D515" s="222"/>
      <c r="E515" s="223"/>
    </row>
    <row r="516" spans="1:5" ht="15.75">
      <c r="A516" s="224"/>
      <c r="B516" s="83"/>
      <c r="C516" s="222"/>
      <c r="D516" s="222"/>
      <c r="E516" s="223"/>
    </row>
    <row r="517" spans="1:5" ht="15.75">
      <c r="A517" s="224"/>
      <c r="B517" s="83"/>
      <c r="C517" s="222"/>
      <c r="D517" s="222"/>
      <c r="E517" s="223"/>
    </row>
    <row r="518" spans="1:5" ht="15.75">
      <c r="A518" s="224"/>
      <c r="B518" s="83"/>
      <c r="C518" s="222"/>
      <c r="D518" s="222"/>
      <c r="E518" s="223"/>
    </row>
    <row r="519" spans="1:5" ht="15.75">
      <c r="A519" s="224"/>
      <c r="B519" s="83"/>
      <c r="C519" s="222"/>
      <c r="D519" s="222"/>
      <c r="E519" s="223"/>
    </row>
    <row r="520" spans="1:5" ht="15.75">
      <c r="A520" s="224"/>
      <c r="B520" s="83"/>
      <c r="C520" s="222"/>
      <c r="D520" s="222"/>
      <c r="E520" s="223"/>
    </row>
    <row r="521" spans="1:5" ht="15.75">
      <c r="A521" s="224"/>
      <c r="B521" s="83"/>
      <c r="C521" s="222"/>
      <c r="D521" s="222"/>
      <c r="E521" s="223"/>
    </row>
    <row r="522" spans="1:5" ht="15.75">
      <c r="A522" s="224"/>
      <c r="B522" s="83"/>
      <c r="C522" s="222"/>
      <c r="D522" s="222"/>
      <c r="E522" s="223"/>
    </row>
    <row r="523" spans="1:5" ht="15.75">
      <c r="A523" s="224"/>
      <c r="B523" s="83"/>
      <c r="C523" s="222"/>
      <c r="D523" s="222"/>
      <c r="E523" s="223"/>
    </row>
    <row r="524" spans="1:5" ht="15.75">
      <c r="A524" s="224"/>
      <c r="B524" s="83"/>
      <c r="C524" s="222"/>
      <c r="D524" s="222"/>
      <c r="E524" s="223"/>
    </row>
    <row r="525" spans="1:5" ht="15.75">
      <c r="A525" s="224"/>
      <c r="B525" s="83"/>
      <c r="C525" s="222"/>
      <c r="D525" s="222"/>
      <c r="E525" s="223"/>
    </row>
    <row r="526" spans="1:5" ht="15.75">
      <c r="A526" s="224"/>
      <c r="B526" s="83"/>
      <c r="C526" s="222"/>
      <c r="D526" s="222"/>
      <c r="E526" s="223"/>
    </row>
    <row r="527" spans="1:5" ht="15.75">
      <c r="A527" s="224"/>
      <c r="B527" s="83"/>
      <c r="C527" s="222"/>
      <c r="D527" s="222"/>
      <c r="E527" s="223"/>
    </row>
    <row r="528" spans="1:5" ht="15.75">
      <c r="A528" s="224"/>
      <c r="B528" s="83"/>
      <c r="C528" s="222"/>
      <c r="D528" s="222"/>
      <c r="E528" s="223"/>
    </row>
    <row r="529" spans="1:5" ht="15.75">
      <c r="A529" s="224"/>
      <c r="B529" s="83"/>
      <c r="C529" s="222"/>
      <c r="D529" s="222"/>
      <c r="E529" s="223"/>
    </row>
    <row r="530" spans="1:5" ht="15.75">
      <c r="A530" s="224"/>
      <c r="B530" s="83"/>
      <c r="C530" s="222"/>
      <c r="D530" s="222"/>
      <c r="E530" s="223"/>
    </row>
    <row r="531" spans="1:5" ht="15.75">
      <c r="A531" s="224"/>
      <c r="B531" s="83"/>
      <c r="C531" s="222"/>
      <c r="D531" s="222"/>
      <c r="E531" s="223"/>
    </row>
    <row r="532" spans="1:5" ht="15.75">
      <c r="A532" s="224"/>
      <c r="B532" s="83"/>
      <c r="C532" s="222"/>
      <c r="D532" s="222"/>
      <c r="E532" s="223"/>
    </row>
    <row r="533" spans="1:5" ht="15.75">
      <c r="A533" s="224"/>
      <c r="B533" s="83"/>
      <c r="C533" s="222"/>
      <c r="D533" s="222"/>
      <c r="E533" s="223"/>
    </row>
    <row r="534" spans="1:5" ht="15.75">
      <c r="A534" s="224"/>
      <c r="B534" s="83"/>
      <c r="C534" s="222"/>
      <c r="D534" s="222"/>
      <c r="E534" s="223"/>
    </row>
    <row r="535" spans="1:5" ht="15.75">
      <c r="A535" s="224"/>
      <c r="B535" s="83"/>
      <c r="C535" s="222"/>
      <c r="D535" s="222"/>
      <c r="E535" s="223"/>
    </row>
    <row r="536" spans="1:5" ht="15.75">
      <c r="A536" s="224"/>
      <c r="B536" s="83"/>
      <c r="C536" s="222"/>
      <c r="D536" s="222"/>
      <c r="E536" s="223"/>
    </row>
    <row r="537" spans="1:5" ht="15.75">
      <c r="A537" s="224"/>
      <c r="B537" s="83"/>
      <c r="C537" s="222"/>
      <c r="D537" s="222"/>
      <c r="E537" s="223"/>
    </row>
    <row r="538" spans="1:5" ht="15.75">
      <c r="A538" s="224"/>
      <c r="B538" s="83"/>
      <c r="C538" s="222"/>
      <c r="D538" s="222"/>
      <c r="E538" s="223"/>
    </row>
    <row r="539" spans="1:5" ht="15.75">
      <c r="A539" s="224"/>
      <c r="B539" s="83"/>
      <c r="C539" s="222"/>
      <c r="D539" s="222"/>
      <c r="E539" s="223"/>
    </row>
    <row r="540" spans="1:5" ht="15.75">
      <c r="A540" s="224"/>
      <c r="B540" s="83"/>
      <c r="C540" s="222"/>
      <c r="D540" s="222"/>
      <c r="E540" s="223"/>
    </row>
    <row r="541" spans="1:5" ht="15.75">
      <c r="A541" s="224"/>
      <c r="B541" s="83"/>
      <c r="C541" s="222"/>
      <c r="D541" s="222"/>
      <c r="E541" s="223"/>
    </row>
    <row r="542" spans="1:5" ht="15.75">
      <c r="A542" s="224"/>
      <c r="B542" s="83"/>
      <c r="C542" s="222"/>
      <c r="D542" s="222"/>
      <c r="E542" s="223"/>
    </row>
    <row r="543" spans="1:5" ht="15.75">
      <c r="A543" s="224"/>
      <c r="B543" s="83"/>
      <c r="C543" s="222"/>
      <c r="D543" s="222"/>
      <c r="E543" s="223"/>
    </row>
    <row r="544" spans="1:5" ht="15.75">
      <c r="A544" s="224"/>
      <c r="B544" s="83"/>
      <c r="C544" s="222"/>
      <c r="D544" s="222"/>
      <c r="E544" s="223"/>
    </row>
    <row r="545" spans="1:5" ht="15.75">
      <c r="A545" s="224"/>
      <c r="B545" s="83"/>
      <c r="C545" s="222"/>
      <c r="D545" s="222"/>
      <c r="E545" s="223"/>
    </row>
    <row r="546" spans="1:5" ht="15.75">
      <c r="A546" s="224"/>
      <c r="B546" s="83"/>
      <c r="C546" s="222"/>
      <c r="D546" s="222"/>
      <c r="E546" s="223"/>
    </row>
    <row r="547" spans="1:5" ht="15.75">
      <c r="A547" s="224"/>
      <c r="B547" s="83"/>
      <c r="C547" s="222"/>
      <c r="D547" s="222"/>
      <c r="E547" s="223"/>
    </row>
    <row r="548" spans="1:5" ht="15.75">
      <c r="A548" s="224"/>
      <c r="B548" s="83"/>
      <c r="C548" s="222"/>
      <c r="D548" s="222"/>
      <c r="E548" s="223"/>
    </row>
    <row r="549" spans="1:5" ht="15.75">
      <c r="A549" s="224"/>
      <c r="B549" s="83"/>
      <c r="C549" s="222"/>
      <c r="D549" s="222"/>
      <c r="E549" s="223"/>
    </row>
    <row r="550" spans="1:5" ht="15.75">
      <c r="A550" s="224"/>
      <c r="B550" s="83"/>
      <c r="C550" s="222"/>
      <c r="D550" s="222"/>
      <c r="E550" s="223"/>
    </row>
    <row r="551" spans="1:5" ht="15.75">
      <c r="A551" s="224"/>
      <c r="B551" s="83"/>
      <c r="C551" s="222"/>
      <c r="D551" s="222"/>
      <c r="E551" s="223"/>
    </row>
    <row r="552" spans="1:5" ht="15.75">
      <c r="A552" s="224"/>
      <c r="B552" s="83"/>
      <c r="C552" s="222"/>
      <c r="D552" s="222"/>
      <c r="E552" s="223"/>
    </row>
    <row r="553" spans="1:5" ht="15.75">
      <c r="A553" s="224"/>
      <c r="B553" s="83"/>
      <c r="C553" s="222"/>
      <c r="D553" s="222"/>
      <c r="E553" s="223"/>
    </row>
    <row r="554" spans="1:5" ht="15.75">
      <c r="A554" s="224"/>
      <c r="B554" s="83"/>
      <c r="C554" s="222"/>
      <c r="D554" s="222"/>
      <c r="E554" s="223"/>
    </row>
    <row r="555" spans="1:5" ht="15.75">
      <c r="A555" s="224"/>
      <c r="B555" s="83"/>
      <c r="C555" s="222"/>
      <c r="D555" s="222"/>
      <c r="E555" s="223"/>
    </row>
    <row r="556" spans="1:5" ht="15.75">
      <c r="A556" s="224"/>
      <c r="B556" s="83"/>
      <c r="C556" s="222"/>
      <c r="D556" s="222"/>
      <c r="E556" s="223"/>
    </row>
    <row r="557" spans="1:5" ht="15.75">
      <c r="A557" s="224"/>
      <c r="B557" s="83"/>
      <c r="C557" s="222"/>
      <c r="D557" s="222"/>
      <c r="E557" s="223"/>
    </row>
    <row r="558" spans="1:5" ht="15.75">
      <c r="A558" s="224"/>
      <c r="B558" s="83"/>
      <c r="C558" s="222"/>
      <c r="D558" s="222"/>
      <c r="E558" s="223"/>
    </row>
    <row r="559" spans="1:5" ht="15.75">
      <c r="A559" s="224"/>
      <c r="B559" s="83"/>
      <c r="C559" s="222"/>
      <c r="D559" s="222"/>
      <c r="E559" s="223"/>
    </row>
    <row r="560" spans="1:5" ht="15.75">
      <c r="A560" s="224"/>
      <c r="B560" s="83"/>
      <c r="C560" s="222"/>
      <c r="D560" s="222"/>
      <c r="E560" s="223"/>
    </row>
    <row r="561" spans="1:5" ht="15.75">
      <c r="A561" s="224"/>
      <c r="B561" s="83"/>
      <c r="C561" s="222"/>
      <c r="D561" s="222"/>
      <c r="E561" s="223"/>
    </row>
    <row r="562" spans="1:5" ht="15.75">
      <c r="A562" s="224"/>
      <c r="B562" s="83"/>
      <c r="C562" s="222"/>
      <c r="D562" s="222"/>
      <c r="E562" s="223"/>
    </row>
    <row r="563" spans="1:5" ht="15.75">
      <c r="A563" s="224"/>
      <c r="B563" s="83"/>
      <c r="C563" s="222"/>
      <c r="D563" s="222"/>
      <c r="E563" s="223"/>
    </row>
    <row r="564" spans="1:5" ht="15.75">
      <c r="A564" s="224"/>
      <c r="B564" s="83"/>
      <c r="C564" s="222"/>
      <c r="D564" s="222"/>
      <c r="E564" s="223"/>
    </row>
    <row r="565" spans="1:5" ht="15.75">
      <c r="A565" s="224"/>
      <c r="B565" s="83"/>
      <c r="C565" s="222"/>
      <c r="D565" s="222"/>
      <c r="E565" s="223"/>
    </row>
    <row r="566" spans="1:5" ht="15.75">
      <c r="A566" s="224"/>
      <c r="B566" s="83"/>
      <c r="C566" s="222"/>
      <c r="D566" s="222"/>
      <c r="E566" s="223"/>
    </row>
    <row r="567" spans="1:5" ht="15.75">
      <c r="A567" s="224"/>
      <c r="B567" s="83"/>
      <c r="C567" s="222"/>
      <c r="D567" s="222"/>
      <c r="E567" s="223"/>
    </row>
    <row r="568" spans="1:5" ht="15.75">
      <c r="A568" s="224"/>
      <c r="B568" s="83"/>
      <c r="C568" s="222"/>
      <c r="D568" s="222"/>
      <c r="E568" s="223"/>
    </row>
    <row r="569" spans="1:5" ht="15.75">
      <c r="A569" s="224"/>
      <c r="B569" s="83"/>
      <c r="C569" s="222"/>
      <c r="D569" s="222"/>
      <c r="E569" s="223"/>
    </row>
    <row r="570" spans="1:5" ht="15.75">
      <c r="A570" s="224"/>
      <c r="B570" s="83"/>
      <c r="C570" s="222"/>
      <c r="D570" s="222"/>
      <c r="E570" s="223"/>
    </row>
    <row r="571" spans="1:5" ht="15.75">
      <c r="A571" s="224"/>
      <c r="B571" s="83"/>
      <c r="C571" s="222"/>
      <c r="D571" s="222"/>
      <c r="E571" s="223"/>
    </row>
    <row r="572" spans="1:5" ht="15.75">
      <c r="A572" s="224"/>
      <c r="B572" s="83"/>
      <c r="C572" s="222"/>
      <c r="D572" s="222"/>
      <c r="E572" s="223"/>
    </row>
    <row r="573" spans="1:5" ht="15.75">
      <c r="A573" s="224"/>
      <c r="B573" s="83"/>
      <c r="C573" s="222"/>
      <c r="D573" s="222"/>
      <c r="E573" s="223"/>
    </row>
    <row r="574" spans="1:5" ht="15.75">
      <c r="A574" s="224"/>
      <c r="B574" s="83"/>
      <c r="C574" s="222"/>
      <c r="D574" s="222"/>
      <c r="E574" s="223"/>
    </row>
    <row r="575" spans="1:5" ht="15.75">
      <c r="A575" s="224"/>
      <c r="B575" s="83"/>
      <c r="C575" s="222"/>
      <c r="D575" s="222"/>
      <c r="E575" s="223"/>
    </row>
    <row r="576" spans="1:5" ht="15.75">
      <c r="A576" s="224"/>
      <c r="B576" s="83"/>
      <c r="C576" s="222"/>
      <c r="D576" s="222"/>
      <c r="E576" s="223"/>
    </row>
    <row r="577" spans="1:5" ht="15.75">
      <c r="A577" s="224"/>
      <c r="B577" s="83"/>
      <c r="C577" s="222"/>
      <c r="D577" s="222"/>
      <c r="E577" s="223"/>
    </row>
    <row r="578" spans="1:5" ht="15.75">
      <c r="A578" s="224"/>
      <c r="B578" s="83"/>
      <c r="C578" s="222"/>
      <c r="D578" s="222"/>
      <c r="E578" s="223"/>
    </row>
    <row r="579" spans="1:5" ht="15.75">
      <c r="A579" s="224"/>
      <c r="B579" s="83"/>
      <c r="C579" s="222"/>
      <c r="D579" s="222"/>
      <c r="E579" s="223"/>
    </row>
    <row r="580" spans="1:5" ht="15.75">
      <c r="A580" s="224"/>
      <c r="B580" s="83"/>
      <c r="C580" s="222"/>
      <c r="D580" s="222"/>
      <c r="E580" s="223"/>
    </row>
    <row r="581" spans="1:5" ht="15.75">
      <c r="A581" s="224"/>
      <c r="B581" s="83"/>
      <c r="C581" s="222"/>
      <c r="D581" s="222"/>
      <c r="E581" s="223"/>
    </row>
    <row r="582" spans="1:5" ht="15.75">
      <c r="A582" s="224"/>
      <c r="B582" s="83"/>
      <c r="C582" s="222"/>
      <c r="D582" s="222"/>
      <c r="E582" s="223"/>
    </row>
    <row r="583" spans="1:5" ht="15.75">
      <c r="A583" s="224"/>
      <c r="B583" s="83"/>
      <c r="C583" s="222"/>
      <c r="D583" s="222"/>
      <c r="E583" s="223"/>
    </row>
    <row r="584" spans="1:5" ht="15.75">
      <c r="A584" s="224"/>
      <c r="B584" s="83"/>
      <c r="C584" s="222"/>
      <c r="D584" s="222"/>
      <c r="E584" s="223"/>
    </row>
    <row r="585" spans="1:5" ht="15.75">
      <c r="A585" s="224"/>
      <c r="B585" s="83"/>
      <c r="C585" s="222"/>
      <c r="D585" s="222"/>
      <c r="E585" s="223"/>
    </row>
    <row r="586" spans="1:5" ht="15.75">
      <c r="A586" s="224"/>
      <c r="B586" s="83"/>
      <c r="C586" s="222"/>
      <c r="D586" s="222"/>
      <c r="E586" s="223"/>
    </row>
    <row r="587" spans="1:5" ht="15.75">
      <c r="A587" s="224"/>
      <c r="B587" s="83"/>
      <c r="C587" s="222"/>
      <c r="D587" s="222"/>
      <c r="E587" s="223"/>
    </row>
    <row r="588" spans="1:5" ht="15.75">
      <c r="A588" s="224"/>
      <c r="B588" s="83"/>
      <c r="C588" s="222"/>
      <c r="D588" s="222"/>
      <c r="E588" s="223"/>
    </row>
    <row r="589" spans="1:5" ht="15.75">
      <c r="A589" s="224"/>
      <c r="B589" s="83"/>
      <c r="C589" s="222"/>
      <c r="D589" s="222"/>
      <c r="E589" s="223"/>
    </row>
    <row r="590" spans="1:5" ht="15.75">
      <c r="A590" s="224"/>
      <c r="B590" s="83"/>
      <c r="C590" s="222"/>
      <c r="D590" s="222"/>
      <c r="E590" s="223"/>
    </row>
    <row r="591" spans="1:5" ht="15.75">
      <c r="A591" s="224"/>
      <c r="B591" s="83"/>
      <c r="C591" s="222"/>
      <c r="D591" s="222"/>
      <c r="E591" s="223"/>
    </row>
    <row r="592" spans="1:5" ht="15.75">
      <c r="A592" s="224"/>
      <c r="B592" s="83"/>
      <c r="C592" s="222"/>
      <c r="D592" s="222"/>
      <c r="E592" s="223"/>
    </row>
    <row r="593" spans="1:5" ht="15.75">
      <c r="A593" s="224"/>
      <c r="B593" s="83"/>
      <c r="C593" s="222"/>
      <c r="D593" s="222"/>
      <c r="E593" s="223"/>
    </row>
    <row r="594" spans="1:5" ht="15.75">
      <c r="A594" s="224"/>
      <c r="B594" s="83"/>
      <c r="C594" s="222"/>
      <c r="D594" s="222"/>
      <c r="E594" s="223"/>
    </row>
    <row r="595" spans="1:5" ht="15.75">
      <c r="A595" s="224"/>
      <c r="B595" s="83"/>
      <c r="C595" s="222"/>
      <c r="D595" s="222"/>
      <c r="E595" s="223"/>
    </row>
    <row r="596" spans="1:5" ht="15.75">
      <c r="A596" s="224"/>
      <c r="B596" s="83"/>
      <c r="C596" s="222"/>
      <c r="D596" s="222"/>
      <c r="E596" s="223"/>
    </row>
    <row r="597" spans="1:5" ht="15.75">
      <c r="A597" s="224"/>
      <c r="B597" s="83"/>
      <c r="C597" s="222"/>
      <c r="D597" s="222"/>
      <c r="E597" s="223"/>
    </row>
    <row r="598" spans="1:5" ht="15.75">
      <c r="A598" s="224"/>
      <c r="B598" s="83"/>
      <c r="C598" s="222"/>
      <c r="D598" s="222"/>
      <c r="E598" s="223"/>
    </row>
    <row r="599" spans="1:5" ht="15.75">
      <c r="A599" s="224"/>
      <c r="B599" s="83"/>
      <c r="C599" s="222"/>
      <c r="D599" s="222"/>
      <c r="E599" s="223"/>
    </row>
    <row r="600" spans="1:5" ht="15.75">
      <c r="A600" s="224"/>
      <c r="B600" s="83"/>
      <c r="C600" s="222"/>
      <c r="D600" s="222"/>
      <c r="E600" s="223"/>
    </row>
    <row r="601" spans="1:5" ht="15.75">
      <c r="A601" s="224"/>
      <c r="B601" s="83"/>
      <c r="C601" s="222"/>
      <c r="D601" s="222"/>
      <c r="E601" s="223"/>
    </row>
    <row r="602" spans="1:5" ht="15.75">
      <c r="A602" s="224"/>
      <c r="B602" s="83"/>
      <c r="C602" s="222"/>
      <c r="D602" s="222"/>
      <c r="E602" s="223"/>
    </row>
    <row r="603" spans="1:5" ht="15.75">
      <c r="A603" s="224"/>
      <c r="B603" s="83"/>
      <c r="C603" s="222"/>
      <c r="D603" s="222"/>
      <c r="E603" s="223"/>
    </row>
    <row r="604" spans="1:5" ht="15.75">
      <c r="A604" s="224"/>
      <c r="B604" s="83"/>
      <c r="C604" s="222"/>
      <c r="D604" s="222"/>
      <c r="E604" s="223"/>
    </row>
    <row r="605" spans="1:5" ht="15.75">
      <c r="A605" s="224"/>
      <c r="B605" s="83"/>
      <c r="C605" s="222"/>
      <c r="D605" s="222"/>
      <c r="E605" s="223"/>
    </row>
    <row r="606" spans="1:5" ht="15.75">
      <c r="A606" s="224"/>
      <c r="B606" s="83"/>
      <c r="C606" s="222"/>
      <c r="D606" s="222"/>
      <c r="E606" s="223"/>
    </row>
    <row r="607" spans="1:5" ht="15.75">
      <c r="A607" s="224"/>
      <c r="B607" s="83"/>
      <c r="C607" s="222"/>
      <c r="D607" s="222"/>
      <c r="E607" s="223"/>
    </row>
    <row r="608" spans="1:5" ht="15.75">
      <c r="A608" s="224"/>
      <c r="B608" s="83"/>
      <c r="C608" s="222"/>
      <c r="D608" s="222"/>
      <c r="E608" s="223"/>
    </row>
    <row r="609" spans="1:5" ht="15.75">
      <c r="A609" s="224"/>
      <c r="B609" s="83"/>
      <c r="C609" s="222"/>
      <c r="D609" s="222"/>
      <c r="E609" s="223"/>
    </row>
    <row r="610" spans="1:5" ht="15.75">
      <c r="A610" s="224"/>
      <c r="B610" s="83"/>
      <c r="C610" s="222"/>
      <c r="D610" s="222"/>
      <c r="E610" s="223"/>
    </row>
    <row r="611" spans="1:5" ht="15.75">
      <c r="A611" s="224"/>
      <c r="B611" s="83"/>
      <c r="C611" s="222"/>
      <c r="D611" s="222"/>
      <c r="E611" s="223"/>
    </row>
    <row r="612" spans="1:5" ht="15.75">
      <c r="A612" s="224"/>
      <c r="B612" s="83"/>
      <c r="C612" s="222"/>
      <c r="D612" s="222"/>
      <c r="E612" s="223"/>
    </row>
    <row r="613" spans="1:5" ht="15.75">
      <c r="A613" s="224"/>
      <c r="B613" s="83"/>
      <c r="C613" s="222"/>
      <c r="D613" s="222"/>
      <c r="E613" s="223"/>
    </row>
    <row r="614" spans="1:5" ht="15.75">
      <c r="A614" s="224"/>
      <c r="B614" s="83"/>
      <c r="C614" s="222"/>
      <c r="D614" s="222"/>
      <c r="E614" s="223"/>
    </row>
    <row r="615" spans="1:5" ht="15.75">
      <c r="A615" s="224"/>
      <c r="B615" s="83"/>
      <c r="C615" s="222"/>
      <c r="D615" s="222"/>
      <c r="E615" s="223"/>
    </row>
    <row r="616" spans="1:5" ht="15.75">
      <c r="A616" s="224"/>
      <c r="B616" s="83"/>
      <c r="C616" s="222"/>
      <c r="D616" s="222"/>
      <c r="E616" s="223"/>
    </row>
    <row r="617" spans="1:5" ht="15.75">
      <c r="A617" s="224"/>
      <c r="B617" s="83"/>
      <c r="C617" s="222"/>
      <c r="D617" s="222"/>
      <c r="E617" s="223"/>
    </row>
    <row r="618" spans="1:5" ht="15.75">
      <c r="A618" s="224"/>
      <c r="B618" s="83"/>
      <c r="C618" s="222"/>
      <c r="D618" s="222"/>
      <c r="E618" s="223"/>
    </row>
    <row r="619" spans="1:5" ht="15.75">
      <c r="A619" s="224"/>
      <c r="B619" s="83"/>
      <c r="C619" s="222"/>
      <c r="D619" s="222"/>
      <c r="E619" s="223"/>
    </row>
    <row r="620" spans="1:5" ht="15.75">
      <c r="A620" s="224"/>
      <c r="B620" s="83"/>
      <c r="C620" s="222"/>
      <c r="D620" s="222"/>
      <c r="E620" s="223"/>
    </row>
    <row r="621" spans="1:5" ht="15.75">
      <c r="A621" s="224"/>
      <c r="B621" s="83"/>
      <c r="C621" s="222"/>
      <c r="D621" s="222"/>
      <c r="E621" s="223"/>
    </row>
    <row r="622" spans="1:5" ht="15.75">
      <c r="A622" s="224"/>
      <c r="B622" s="83"/>
      <c r="C622" s="222"/>
      <c r="D622" s="222"/>
      <c r="E622" s="223"/>
    </row>
    <row r="623" spans="1:5" ht="15.75">
      <c r="A623" s="224"/>
      <c r="B623" s="83"/>
      <c r="C623" s="222"/>
      <c r="D623" s="222"/>
      <c r="E623" s="223"/>
    </row>
    <row r="624" spans="1:5" ht="15.75">
      <c r="A624" s="224"/>
      <c r="B624" s="83"/>
      <c r="C624" s="222"/>
      <c r="D624" s="222"/>
      <c r="E624" s="223"/>
    </row>
    <row r="625" spans="1:5" ht="15.75">
      <c r="A625" s="224"/>
      <c r="B625" s="83"/>
      <c r="C625" s="222"/>
      <c r="D625" s="222"/>
      <c r="E625" s="223"/>
    </row>
    <row r="626" spans="1:5" ht="15.75">
      <c r="A626" s="224"/>
      <c r="B626" s="83"/>
      <c r="C626" s="222"/>
      <c r="D626" s="222"/>
      <c r="E626" s="223"/>
    </row>
    <row r="627" spans="1:5" ht="15.75">
      <c r="A627" s="224"/>
      <c r="B627" s="83"/>
      <c r="C627" s="222"/>
      <c r="D627" s="222"/>
      <c r="E627" s="223"/>
    </row>
    <row r="628" spans="1:5" ht="15.75">
      <c r="A628" s="224"/>
      <c r="B628" s="83"/>
      <c r="C628" s="222"/>
      <c r="D628" s="222"/>
      <c r="E628" s="223"/>
    </row>
    <row r="629" spans="1:5" ht="15.75">
      <c r="A629" s="224"/>
      <c r="B629" s="83"/>
      <c r="C629" s="222"/>
      <c r="D629" s="222"/>
      <c r="E629" s="223"/>
    </row>
    <row r="630" spans="1:5" ht="15.75">
      <c r="A630" s="224"/>
      <c r="B630" s="83"/>
      <c r="C630" s="222"/>
      <c r="D630" s="222"/>
      <c r="E630" s="223"/>
    </row>
    <row r="631" spans="1:5" ht="15.75">
      <c r="A631" s="224"/>
      <c r="B631" s="83"/>
      <c r="C631" s="222"/>
      <c r="D631" s="222"/>
      <c r="E631" s="223"/>
    </row>
    <row r="632" spans="1:5" ht="15.75">
      <c r="A632" s="224"/>
      <c r="B632" s="83"/>
      <c r="C632" s="222"/>
      <c r="D632" s="222"/>
      <c r="E632" s="223"/>
    </row>
    <row r="633" spans="1:5" ht="15.75">
      <c r="A633" s="224"/>
      <c r="B633" s="83"/>
      <c r="C633" s="222"/>
      <c r="D633" s="222"/>
      <c r="E633" s="223"/>
    </row>
    <row r="634" spans="1:5" ht="15.75">
      <c r="A634" s="224"/>
      <c r="B634" s="83"/>
      <c r="C634" s="222"/>
      <c r="D634" s="222"/>
      <c r="E634" s="223"/>
    </row>
    <row r="635" spans="1:5" ht="15.75">
      <c r="A635" s="224"/>
      <c r="B635" s="83"/>
      <c r="C635" s="222"/>
      <c r="D635" s="222"/>
      <c r="E635" s="223"/>
    </row>
    <row r="636" spans="1:5" ht="15.75">
      <c r="A636" s="224"/>
      <c r="B636" s="83"/>
      <c r="C636" s="222"/>
      <c r="D636" s="222"/>
      <c r="E636" s="223"/>
    </row>
    <row r="637" spans="1:5" ht="15.75">
      <c r="A637" s="224"/>
      <c r="B637" s="83"/>
      <c r="C637" s="222"/>
      <c r="D637" s="222"/>
      <c r="E637" s="223"/>
    </row>
    <row r="638" spans="1:5" ht="15.75">
      <c r="A638" s="224"/>
      <c r="B638" s="83"/>
      <c r="C638" s="222"/>
      <c r="D638" s="222"/>
      <c r="E638" s="223"/>
    </row>
    <row r="639" spans="1:5" ht="15.75">
      <c r="A639" s="224"/>
      <c r="B639" s="83"/>
      <c r="C639" s="222"/>
      <c r="D639" s="222"/>
      <c r="E639" s="223"/>
    </row>
    <row r="640" spans="1:5" ht="15.75">
      <c r="A640" s="224"/>
      <c r="B640" s="83"/>
      <c r="C640" s="222"/>
      <c r="D640" s="222"/>
      <c r="E640" s="223"/>
    </row>
    <row r="641" spans="1:5" ht="15.75">
      <c r="A641" s="224"/>
      <c r="B641" s="83"/>
      <c r="C641" s="222"/>
      <c r="D641" s="222"/>
      <c r="E641" s="223"/>
    </row>
    <row r="642" spans="1:5" ht="15.75">
      <c r="A642" s="224"/>
      <c r="B642" s="83"/>
      <c r="C642" s="222"/>
      <c r="D642" s="222"/>
      <c r="E642" s="223"/>
    </row>
    <row r="643" spans="1:5" ht="15.75">
      <c r="A643" s="224"/>
      <c r="B643" s="83"/>
      <c r="C643" s="222"/>
      <c r="D643" s="222"/>
      <c r="E643" s="223"/>
    </row>
    <row r="644" spans="1:5" ht="15.75">
      <c r="A644" s="224"/>
      <c r="B644" s="83"/>
      <c r="C644" s="222"/>
      <c r="D644" s="222"/>
      <c r="E644" s="223"/>
    </row>
    <row r="645" spans="1:5" ht="15.75">
      <c r="A645" s="224"/>
      <c r="B645" s="83"/>
      <c r="C645" s="222"/>
      <c r="D645" s="222"/>
      <c r="E645" s="223"/>
    </row>
    <row r="646" spans="1:5" ht="15.75">
      <c r="A646" s="224"/>
      <c r="B646" s="83"/>
      <c r="C646" s="222"/>
      <c r="D646" s="222"/>
      <c r="E646" s="223"/>
    </row>
    <row r="647" spans="1:5" ht="15.75">
      <c r="A647" s="224"/>
      <c r="B647" s="83"/>
      <c r="C647" s="222"/>
      <c r="D647" s="222"/>
      <c r="E647" s="223"/>
    </row>
    <row r="648" spans="1:5" ht="15.75">
      <c r="A648" s="224"/>
      <c r="B648" s="83"/>
      <c r="C648" s="222"/>
      <c r="D648" s="222"/>
      <c r="E648" s="223"/>
    </row>
    <row r="649" spans="1:5" ht="15.75">
      <c r="A649" s="224"/>
      <c r="B649" s="83"/>
      <c r="C649" s="222"/>
      <c r="D649" s="222"/>
      <c r="E649" s="223"/>
    </row>
    <row r="650" spans="1:5" ht="15.75">
      <c r="A650" s="224"/>
      <c r="B650" s="83"/>
      <c r="C650" s="222"/>
      <c r="D650" s="222"/>
      <c r="E650" s="223"/>
    </row>
    <row r="651" spans="1:5" ht="15.75">
      <c r="A651" s="224"/>
      <c r="B651" s="83"/>
      <c r="C651" s="222"/>
      <c r="D651" s="222"/>
      <c r="E651" s="223"/>
    </row>
    <row r="652" spans="1:5" ht="15.75">
      <c r="A652" s="224"/>
      <c r="B652" s="83"/>
      <c r="C652" s="222"/>
      <c r="D652" s="222"/>
      <c r="E652" s="223"/>
    </row>
    <row r="653" spans="1:5" ht="15.75">
      <c r="A653" s="224"/>
      <c r="B653" s="83"/>
      <c r="C653" s="222"/>
      <c r="D653" s="222"/>
      <c r="E653" s="223"/>
    </row>
    <row r="654" spans="1:5" ht="15.75">
      <c r="A654" s="224"/>
      <c r="B654" s="83"/>
      <c r="C654" s="222"/>
      <c r="D654" s="222"/>
      <c r="E654" s="223"/>
    </row>
    <row r="655" spans="1:5" ht="15.75">
      <c r="A655" s="224"/>
      <c r="B655" s="83"/>
      <c r="C655" s="222"/>
      <c r="D655" s="222"/>
      <c r="E655" s="223"/>
    </row>
    <row r="656" spans="1:5" ht="15.75">
      <c r="A656" s="224"/>
      <c r="B656" s="83"/>
      <c r="C656" s="222"/>
      <c r="D656" s="222"/>
      <c r="E656" s="223"/>
    </row>
    <row r="657" spans="1:5" ht="15.75">
      <c r="A657" s="224"/>
      <c r="B657" s="83"/>
      <c r="C657" s="222"/>
      <c r="D657" s="222"/>
      <c r="E657" s="223"/>
    </row>
    <row r="658" spans="1:5" ht="15.75">
      <c r="A658" s="224"/>
      <c r="B658" s="83"/>
      <c r="C658" s="222"/>
      <c r="D658" s="222"/>
      <c r="E658" s="223"/>
    </row>
    <row r="659" spans="1:5" ht="15.75">
      <c r="A659" s="224"/>
      <c r="B659" s="83"/>
      <c r="C659" s="222"/>
      <c r="D659" s="222"/>
      <c r="E659" s="223"/>
    </row>
    <row r="660" spans="1:5" ht="15.75">
      <c r="A660" s="224"/>
      <c r="B660" s="83"/>
      <c r="C660" s="222"/>
      <c r="D660" s="222"/>
      <c r="E660" s="223"/>
    </row>
    <row r="661" spans="1:5" ht="15.75">
      <c r="A661" s="224"/>
      <c r="B661" s="83"/>
      <c r="C661" s="222"/>
      <c r="D661" s="222"/>
      <c r="E661" s="223"/>
    </row>
    <row r="662" spans="1:5" ht="15.75">
      <c r="A662" s="224"/>
      <c r="B662" s="83"/>
      <c r="C662" s="222"/>
      <c r="D662" s="222"/>
      <c r="E662" s="223"/>
    </row>
    <row r="663" spans="1:5" ht="15.75">
      <c r="A663" s="224"/>
      <c r="B663" s="83"/>
      <c r="C663" s="222"/>
      <c r="D663" s="222"/>
      <c r="E663" s="223"/>
    </row>
    <row r="664" spans="1:5" ht="15.75">
      <c r="A664" s="224"/>
      <c r="B664" s="83"/>
      <c r="C664" s="222"/>
      <c r="D664" s="222"/>
      <c r="E664" s="223"/>
    </row>
    <row r="665" spans="1:5" ht="15.75">
      <c r="A665" s="224"/>
      <c r="B665" s="83"/>
      <c r="C665" s="222"/>
      <c r="D665" s="222"/>
      <c r="E665" s="223"/>
    </row>
    <row r="666" spans="1:5" ht="15.75">
      <c r="A666" s="224"/>
      <c r="B666" s="83"/>
      <c r="C666" s="222"/>
      <c r="D666" s="222"/>
      <c r="E666" s="223"/>
    </row>
    <row r="667" spans="1:5" ht="15.75">
      <c r="A667" s="224"/>
      <c r="B667" s="83"/>
      <c r="C667" s="222"/>
      <c r="D667" s="222"/>
      <c r="E667" s="223"/>
    </row>
    <row r="668" spans="1:5" ht="15.75">
      <c r="A668" s="224"/>
      <c r="B668" s="83"/>
      <c r="C668" s="222"/>
      <c r="D668" s="222"/>
      <c r="E668" s="223"/>
    </row>
    <row r="669" spans="1:5" ht="15.75">
      <c r="A669" s="224"/>
      <c r="B669" s="83"/>
      <c r="C669" s="222"/>
      <c r="D669" s="222"/>
      <c r="E669" s="223"/>
    </row>
    <row r="670" spans="1:5" ht="15.75">
      <c r="A670" s="224"/>
      <c r="B670" s="83"/>
      <c r="C670" s="222"/>
      <c r="D670" s="222"/>
      <c r="E670" s="223"/>
    </row>
    <row r="671" spans="1:5" ht="15.75">
      <c r="A671" s="224"/>
      <c r="B671" s="83"/>
      <c r="C671" s="222"/>
      <c r="D671" s="222"/>
      <c r="E671" s="223"/>
    </row>
    <row r="672" spans="1:5" ht="15.75">
      <c r="A672" s="224"/>
      <c r="B672" s="83"/>
      <c r="C672" s="222"/>
      <c r="D672" s="222"/>
      <c r="E672" s="223"/>
    </row>
    <row r="673" spans="1:5" ht="15.75">
      <c r="A673" s="224"/>
      <c r="B673" s="83"/>
      <c r="C673" s="222"/>
      <c r="D673" s="222"/>
      <c r="E673" s="223"/>
    </row>
    <row r="674" spans="1:5" ht="15.75">
      <c r="A674" s="224"/>
      <c r="B674" s="83"/>
      <c r="C674" s="222"/>
      <c r="D674" s="222"/>
      <c r="E674" s="223"/>
    </row>
    <row r="675" spans="1:5" ht="15.75">
      <c r="A675" s="224"/>
      <c r="B675" s="83"/>
      <c r="C675" s="222"/>
      <c r="D675" s="222"/>
      <c r="E675" s="223"/>
    </row>
    <row r="676" spans="1:5" ht="15.75">
      <c r="A676" s="224"/>
      <c r="B676" s="83"/>
      <c r="C676" s="222"/>
      <c r="D676" s="222"/>
      <c r="E676" s="223"/>
    </row>
    <row r="677" spans="1:5" ht="15.75">
      <c r="A677" s="224"/>
      <c r="B677" s="83"/>
      <c r="C677" s="222"/>
      <c r="D677" s="222"/>
      <c r="E677" s="223"/>
    </row>
    <row r="678" spans="1:5" ht="15.75">
      <c r="A678" s="224"/>
      <c r="B678" s="83"/>
      <c r="C678" s="222"/>
      <c r="D678" s="222"/>
      <c r="E678" s="223"/>
    </row>
    <row r="679" spans="1:5" ht="15.75">
      <c r="A679" s="224"/>
      <c r="B679" s="83"/>
      <c r="C679" s="222"/>
      <c r="D679" s="222"/>
      <c r="E679" s="223"/>
    </row>
    <row r="680" spans="1:5" ht="15.75">
      <c r="A680" s="224"/>
      <c r="B680" s="83"/>
      <c r="C680" s="222"/>
      <c r="D680" s="222"/>
      <c r="E680" s="223"/>
    </row>
    <row r="681" spans="1:5" ht="15.75">
      <c r="A681" s="224"/>
      <c r="B681" s="83"/>
      <c r="C681" s="222"/>
      <c r="D681" s="222"/>
      <c r="E681" s="223"/>
    </row>
    <row r="682" spans="1:5" ht="15.75">
      <c r="A682" s="224"/>
      <c r="B682" s="83"/>
      <c r="C682" s="222"/>
      <c r="D682" s="222"/>
      <c r="E682" s="223"/>
    </row>
    <row r="683" spans="1:5" ht="15.75">
      <c r="A683" s="224"/>
      <c r="B683" s="83"/>
      <c r="C683" s="222"/>
      <c r="D683" s="222"/>
      <c r="E683" s="223"/>
    </row>
    <row r="684" spans="1:5" ht="15.75">
      <c r="A684" s="224"/>
      <c r="B684" s="83"/>
      <c r="C684" s="222"/>
      <c r="D684" s="222"/>
      <c r="E684" s="223"/>
    </row>
    <row r="685" spans="1:5" ht="15.75">
      <c r="A685" s="224"/>
      <c r="B685" s="83"/>
      <c r="C685" s="222"/>
      <c r="D685" s="222"/>
      <c r="E685" s="223"/>
    </row>
    <row r="686" spans="1:5" ht="15.75">
      <c r="A686" s="224"/>
      <c r="B686" s="83"/>
      <c r="C686" s="222"/>
      <c r="D686" s="222"/>
      <c r="E686" s="223"/>
    </row>
    <row r="687" spans="1:5" ht="15.75">
      <c r="A687" s="224"/>
      <c r="B687" s="83"/>
      <c r="C687" s="222"/>
      <c r="D687" s="222"/>
      <c r="E687" s="223"/>
    </row>
    <row r="688" spans="1:5" ht="15.75">
      <c r="A688" s="224"/>
      <c r="B688" s="83"/>
      <c r="C688" s="222"/>
      <c r="D688" s="222"/>
      <c r="E688" s="223"/>
    </row>
    <row r="689" spans="1:5" ht="15.75">
      <c r="A689" s="224"/>
      <c r="B689" s="83"/>
      <c r="C689" s="222"/>
      <c r="D689" s="222"/>
      <c r="E689" s="223"/>
    </row>
    <row r="690" spans="1:5" ht="15.75">
      <c r="A690" s="224"/>
      <c r="B690" s="83"/>
      <c r="C690" s="222"/>
      <c r="D690" s="222"/>
      <c r="E690" s="223"/>
    </row>
    <row r="691" spans="1:5" ht="15.75">
      <c r="A691" s="224"/>
      <c r="B691" s="83"/>
      <c r="C691" s="222"/>
      <c r="D691" s="222"/>
      <c r="E691" s="223"/>
    </row>
    <row r="692" spans="1:5" ht="15.75">
      <c r="A692" s="224"/>
      <c r="B692" s="83"/>
      <c r="C692" s="222"/>
      <c r="D692" s="222"/>
      <c r="E692" s="223"/>
    </row>
    <row r="693" spans="1:5" ht="15.75">
      <c r="A693" s="224"/>
      <c r="B693" s="83"/>
      <c r="C693" s="222"/>
      <c r="D693" s="222"/>
      <c r="E693" s="223"/>
    </row>
    <row r="694" spans="1:5" ht="15.75">
      <c r="A694" s="224"/>
      <c r="B694" s="83"/>
      <c r="C694" s="222"/>
      <c r="D694" s="222"/>
      <c r="E694" s="223"/>
    </row>
    <row r="695" spans="1:5" ht="15.75">
      <c r="A695" s="224"/>
      <c r="B695" s="83"/>
      <c r="C695" s="222"/>
      <c r="D695" s="222"/>
      <c r="E695" s="223"/>
    </row>
    <row r="696" spans="1:5" ht="15.75">
      <c r="A696" s="224"/>
      <c r="B696" s="83"/>
      <c r="C696" s="222"/>
      <c r="D696" s="222"/>
      <c r="E696" s="223"/>
    </row>
    <row r="697" spans="1:5" ht="15.75">
      <c r="A697" s="224"/>
      <c r="B697" s="83"/>
      <c r="C697" s="222"/>
      <c r="D697" s="222"/>
      <c r="E697" s="223"/>
    </row>
    <row r="698" spans="1:5" ht="15.75">
      <c r="A698" s="224"/>
      <c r="B698" s="83"/>
      <c r="C698" s="222"/>
      <c r="D698" s="222"/>
      <c r="E698" s="223"/>
    </row>
    <row r="699" spans="1:5" ht="15.75">
      <c r="A699" s="224"/>
      <c r="B699" s="83"/>
      <c r="C699" s="222"/>
      <c r="D699" s="222"/>
      <c r="E699" s="223"/>
    </row>
    <row r="700" spans="1:5" ht="15.75">
      <c r="A700" s="224"/>
      <c r="B700" s="83"/>
      <c r="C700" s="222"/>
      <c r="D700" s="222"/>
      <c r="E700" s="223"/>
    </row>
    <row r="701" spans="1:5" ht="15.75">
      <c r="A701" s="224"/>
      <c r="B701" s="83"/>
      <c r="C701" s="222"/>
      <c r="D701" s="222"/>
      <c r="E701" s="223"/>
    </row>
    <row r="702" spans="1:5" ht="15.75">
      <c r="A702" s="224"/>
      <c r="B702" s="83"/>
      <c r="C702" s="222"/>
      <c r="D702" s="222"/>
      <c r="E702" s="223"/>
    </row>
    <row r="703" spans="1:5" ht="15.75">
      <c r="A703" s="224"/>
      <c r="B703" s="83"/>
      <c r="C703" s="222"/>
      <c r="D703" s="222"/>
      <c r="E703" s="223"/>
    </row>
    <row r="704" spans="1:5" ht="15.75">
      <c r="A704" s="224"/>
      <c r="B704" s="83"/>
      <c r="C704" s="222"/>
      <c r="D704" s="222"/>
      <c r="E704" s="223"/>
    </row>
    <row r="705" spans="1:5" ht="15.75">
      <c r="A705" s="224"/>
      <c r="B705" s="83"/>
      <c r="C705" s="222"/>
      <c r="D705" s="222"/>
      <c r="E705" s="223"/>
    </row>
    <row r="706" spans="1:5" ht="15.75">
      <c r="A706" s="224"/>
      <c r="B706" s="83"/>
      <c r="C706" s="222"/>
      <c r="D706" s="222"/>
      <c r="E706" s="223"/>
    </row>
    <row r="707" spans="1:5" ht="15.75">
      <c r="A707" s="224"/>
      <c r="B707" s="83"/>
      <c r="C707" s="222"/>
      <c r="D707" s="222"/>
      <c r="E707" s="223"/>
    </row>
    <row r="708" spans="1:5" ht="15.75">
      <c r="A708" s="224"/>
      <c r="B708" s="83"/>
      <c r="C708" s="222"/>
      <c r="D708" s="222"/>
      <c r="E708" s="223"/>
    </row>
    <row r="709" spans="1:5" ht="15.75">
      <c r="A709" s="224"/>
      <c r="B709" s="83"/>
      <c r="C709" s="222"/>
      <c r="D709" s="222"/>
      <c r="E709" s="223"/>
    </row>
    <row r="710" spans="1:5" ht="15.75">
      <c r="A710" s="224"/>
      <c r="B710" s="83"/>
      <c r="C710" s="222"/>
      <c r="D710" s="222"/>
      <c r="E710" s="223"/>
    </row>
    <row r="711" spans="1:5" ht="15.75">
      <c r="A711" s="224"/>
      <c r="B711" s="83"/>
      <c r="C711" s="222"/>
      <c r="D711" s="222"/>
      <c r="E711" s="223"/>
    </row>
    <row r="712" spans="1:5" ht="15.75">
      <c r="A712" s="224"/>
      <c r="B712" s="83"/>
      <c r="C712" s="222"/>
      <c r="D712" s="222"/>
      <c r="E712" s="223"/>
    </row>
    <row r="713" spans="1:5" ht="15.75">
      <c r="A713" s="224"/>
      <c r="B713" s="83"/>
      <c r="C713" s="222"/>
      <c r="D713" s="222"/>
      <c r="E713" s="223"/>
    </row>
    <row r="714" spans="1:5" ht="15.75">
      <c r="A714" s="224"/>
      <c r="B714" s="83"/>
      <c r="C714" s="222"/>
      <c r="D714" s="222"/>
      <c r="E714" s="223"/>
    </row>
    <row r="715" spans="1:5" ht="15.75">
      <c r="A715" s="224"/>
      <c r="B715" s="83"/>
      <c r="C715" s="222"/>
      <c r="D715" s="222"/>
      <c r="E715" s="223"/>
    </row>
    <row r="716" spans="1:5" ht="15.75">
      <c r="A716" s="224"/>
      <c r="B716" s="83"/>
      <c r="C716" s="222"/>
      <c r="D716" s="222"/>
      <c r="E716" s="223"/>
    </row>
    <row r="717" spans="1:5" ht="15.75">
      <c r="A717" s="224"/>
      <c r="B717" s="83"/>
      <c r="C717" s="222"/>
      <c r="D717" s="222"/>
      <c r="E717" s="223"/>
    </row>
    <row r="718" spans="1:5" ht="15.75">
      <c r="A718" s="224"/>
      <c r="B718" s="83"/>
      <c r="C718" s="222"/>
      <c r="D718" s="222"/>
      <c r="E718" s="223"/>
    </row>
    <row r="719" spans="1:5" ht="15.75">
      <c r="A719" s="224"/>
      <c r="B719" s="83"/>
      <c r="C719" s="222"/>
      <c r="D719" s="222"/>
      <c r="E719" s="223"/>
    </row>
    <row r="720" spans="1:5" ht="15.75">
      <c r="A720" s="224"/>
      <c r="B720" s="83"/>
      <c r="C720" s="222"/>
      <c r="D720" s="222"/>
      <c r="E720" s="223"/>
    </row>
    <row r="721" spans="1:5" ht="15.75">
      <c r="A721" s="224"/>
      <c r="B721" s="83"/>
      <c r="C721" s="222"/>
      <c r="D721" s="222"/>
      <c r="E721" s="223"/>
    </row>
    <row r="722" spans="1:5" ht="15.75">
      <c r="A722" s="224"/>
      <c r="B722" s="83"/>
      <c r="C722" s="222"/>
      <c r="D722" s="222"/>
      <c r="E722" s="223"/>
    </row>
    <row r="723" spans="1:5" ht="15.75">
      <c r="A723" s="224"/>
      <c r="B723" s="83"/>
      <c r="C723" s="222"/>
      <c r="D723" s="222"/>
      <c r="E723" s="223"/>
    </row>
    <row r="724" spans="1:5" ht="15.75">
      <c r="A724" s="224"/>
      <c r="B724" s="83"/>
      <c r="C724" s="222"/>
      <c r="D724" s="222"/>
      <c r="E724" s="223"/>
    </row>
    <row r="725" spans="1:5" ht="15.75">
      <c r="A725" s="224"/>
      <c r="B725" s="83"/>
      <c r="C725" s="222"/>
      <c r="D725" s="222"/>
      <c r="E725" s="223"/>
    </row>
    <row r="726" spans="1:5" ht="15.75">
      <c r="A726" s="224"/>
      <c r="B726" s="83"/>
      <c r="C726" s="222"/>
      <c r="D726" s="222"/>
      <c r="E726" s="223"/>
    </row>
    <row r="727" spans="1:5" ht="15.75">
      <c r="A727" s="224"/>
      <c r="B727" s="83"/>
      <c r="C727" s="222"/>
      <c r="D727" s="222"/>
      <c r="E727" s="223"/>
    </row>
    <row r="728" spans="1:5" ht="15.75">
      <c r="A728" s="224"/>
      <c r="B728" s="83"/>
      <c r="C728" s="222"/>
      <c r="D728" s="222"/>
      <c r="E728" s="223"/>
    </row>
    <row r="729" spans="1:5" ht="15.75">
      <c r="A729" s="224"/>
      <c r="B729" s="83"/>
      <c r="C729" s="222"/>
      <c r="D729" s="222"/>
      <c r="E729" s="223"/>
    </row>
    <row r="730" spans="1:5" ht="15.75">
      <c r="A730" s="224"/>
      <c r="B730" s="83"/>
      <c r="C730" s="222"/>
      <c r="D730" s="222"/>
      <c r="E730" s="223"/>
    </row>
    <row r="731" spans="1:5" ht="15.75">
      <c r="A731" s="224"/>
      <c r="B731" s="83"/>
      <c r="C731" s="222"/>
      <c r="D731" s="222"/>
      <c r="E731" s="223"/>
    </row>
    <row r="732" spans="1:5" ht="15.75">
      <c r="A732" s="224"/>
      <c r="B732" s="83"/>
      <c r="C732" s="222"/>
      <c r="D732" s="222"/>
      <c r="E732" s="223"/>
    </row>
    <row r="733" spans="1:5" ht="15.75">
      <c r="A733" s="224"/>
      <c r="B733" s="83"/>
      <c r="C733" s="222"/>
      <c r="D733" s="222"/>
      <c r="E733" s="223"/>
    </row>
    <row r="734" spans="1:5" ht="15.75">
      <c r="A734" s="224"/>
      <c r="B734" s="83"/>
      <c r="C734" s="222"/>
      <c r="D734" s="222"/>
      <c r="E734" s="223"/>
    </row>
    <row r="735" spans="1:5" ht="15.75">
      <c r="A735" s="224"/>
      <c r="B735" s="83"/>
      <c r="C735" s="222"/>
      <c r="D735" s="222"/>
      <c r="E735" s="223"/>
    </row>
    <row r="736" spans="1:5" ht="15.75">
      <c r="A736" s="224"/>
      <c r="B736" s="83"/>
      <c r="C736" s="222"/>
      <c r="D736" s="222"/>
      <c r="E736" s="223"/>
    </row>
    <row r="737" spans="1:5" ht="15.75">
      <c r="A737" s="224"/>
      <c r="B737" s="83"/>
      <c r="C737" s="222"/>
      <c r="D737" s="222"/>
      <c r="E737" s="223"/>
    </row>
    <row r="738" spans="1:5" ht="15.75">
      <c r="A738" s="224"/>
      <c r="B738" s="83"/>
      <c r="C738" s="222"/>
      <c r="D738" s="222"/>
      <c r="E738" s="223"/>
    </row>
    <row r="739" spans="1:5" ht="15.75">
      <c r="A739" s="224"/>
      <c r="B739" s="83"/>
      <c r="C739" s="222"/>
      <c r="D739" s="222"/>
      <c r="E739" s="223"/>
    </row>
    <row r="740" spans="1:5" ht="15.75">
      <c r="A740" s="224"/>
      <c r="B740" s="83"/>
      <c r="C740" s="222"/>
      <c r="D740" s="222"/>
      <c r="E740" s="223"/>
    </row>
    <row r="741" spans="1:5" ht="15.75">
      <c r="A741" s="224"/>
      <c r="B741" s="83"/>
      <c r="C741" s="222"/>
      <c r="D741" s="222"/>
      <c r="E741" s="223"/>
    </row>
    <row r="742" spans="1:5" ht="15.75">
      <c r="A742" s="224"/>
      <c r="B742" s="83"/>
      <c r="C742" s="222"/>
      <c r="D742" s="222"/>
      <c r="E742" s="223"/>
    </row>
    <row r="743" spans="1:5" ht="15.75">
      <c r="A743" s="224"/>
      <c r="B743" s="83"/>
      <c r="C743" s="222"/>
      <c r="D743" s="222"/>
      <c r="E743" s="223"/>
    </row>
    <row r="744" spans="1:5" ht="15.75">
      <c r="A744" s="224"/>
      <c r="B744" s="83"/>
      <c r="C744" s="222"/>
      <c r="D744" s="222"/>
      <c r="E744" s="223"/>
    </row>
    <row r="745" spans="1:5" ht="15.75">
      <c r="A745" s="224"/>
      <c r="B745" s="83"/>
      <c r="C745" s="222"/>
      <c r="D745" s="222"/>
      <c r="E745" s="223"/>
    </row>
    <row r="746" spans="1:5" ht="15.75">
      <c r="A746" s="224"/>
      <c r="B746" s="83"/>
      <c r="C746" s="222"/>
      <c r="D746" s="222"/>
      <c r="E746" s="223"/>
    </row>
    <row r="747" spans="1:5" ht="15.75">
      <c r="A747" s="224"/>
      <c r="B747" s="83"/>
      <c r="C747" s="222"/>
      <c r="D747" s="222"/>
      <c r="E747" s="223"/>
    </row>
    <row r="748" spans="1:5" ht="15.75">
      <c r="A748" s="224"/>
      <c r="B748" s="83"/>
      <c r="C748" s="222"/>
      <c r="D748" s="222"/>
      <c r="E748" s="223"/>
    </row>
    <row r="749" spans="1:5" ht="15.75">
      <c r="A749" s="224"/>
      <c r="B749" s="83"/>
      <c r="C749" s="222"/>
      <c r="D749" s="222"/>
      <c r="E749" s="223"/>
    </row>
    <row r="750" spans="1:5" ht="15.75">
      <c r="A750" s="224"/>
      <c r="B750" s="83"/>
      <c r="C750" s="222"/>
      <c r="D750" s="222"/>
      <c r="E750" s="223"/>
    </row>
    <row r="751" spans="1:5" ht="15.75">
      <c r="A751" s="224"/>
      <c r="B751" s="83"/>
      <c r="C751" s="222"/>
      <c r="D751" s="222"/>
      <c r="E751" s="223"/>
    </row>
    <row r="752" spans="1:5" ht="15.75">
      <c r="A752" s="224"/>
      <c r="B752" s="83"/>
      <c r="C752" s="222"/>
      <c r="D752" s="222"/>
      <c r="E752" s="223"/>
    </row>
    <row r="753" spans="1:5" ht="15.75">
      <c r="A753" s="224"/>
      <c r="B753" s="83"/>
      <c r="C753" s="222"/>
      <c r="D753" s="222"/>
      <c r="E753" s="223"/>
    </row>
    <row r="754" spans="1:5" ht="15.75">
      <c r="A754" s="224"/>
      <c r="B754" s="83"/>
      <c r="C754" s="222"/>
      <c r="D754" s="222"/>
      <c r="E754" s="223"/>
    </row>
    <row r="755" spans="1:5" ht="15.75">
      <c r="A755" s="224"/>
      <c r="B755" s="83"/>
      <c r="C755" s="222"/>
      <c r="D755" s="222"/>
      <c r="E755" s="223"/>
    </row>
    <row r="756" spans="1:5" ht="15.75">
      <c r="A756" s="224"/>
      <c r="B756" s="83"/>
      <c r="C756" s="222"/>
      <c r="D756" s="222"/>
      <c r="E756" s="223"/>
    </row>
    <row r="757" spans="1:5" ht="15.75">
      <c r="A757" s="224"/>
      <c r="B757" s="83"/>
      <c r="C757" s="222"/>
      <c r="D757" s="222"/>
      <c r="E757" s="223"/>
    </row>
    <row r="758" spans="1:5" ht="15.75">
      <c r="A758" s="224"/>
      <c r="B758" s="83"/>
      <c r="C758" s="222"/>
      <c r="D758" s="222"/>
      <c r="E758" s="223"/>
    </row>
    <row r="759" spans="1:5" ht="15.75">
      <c r="A759" s="224"/>
      <c r="B759" s="83"/>
      <c r="C759" s="222"/>
      <c r="D759" s="222"/>
      <c r="E759" s="223"/>
    </row>
    <row r="760" spans="1:5" ht="15.75">
      <c r="A760" s="224"/>
      <c r="B760" s="83"/>
      <c r="C760" s="222"/>
      <c r="D760" s="222"/>
      <c r="E760" s="223"/>
    </row>
    <row r="761" spans="1:5" ht="15.75">
      <c r="A761" s="224"/>
      <c r="B761" s="83"/>
      <c r="C761" s="222"/>
      <c r="D761" s="222"/>
      <c r="E761" s="223"/>
    </row>
    <row r="762" spans="1:5" ht="15.75">
      <c r="A762" s="224"/>
      <c r="B762" s="83"/>
      <c r="C762" s="222"/>
      <c r="D762" s="222"/>
      <c r="E762" s="223"/>
    </row>
    <row r="763" spans="1:5" ht="15.75">
      <c r="A763" s="224"/>
      <c r="B763" s="83"/>
      <c r="C763" s="222"/>
      <c r="D763" s="222"/>
      <c r="E763" s="223"/>
    </row>
    <row r="764" spans="1:5" ht="15.75">
      <c r="A764" s="224"/>
      <c r="B764" s="83"/>
      <c r="C764" s="222"/>
      <c r="D764" s="222"/>
      <c r="E764" s="223"/>
    </row>
    <row r="765" spans="1:5" ht="15.75">
      <c r="A765" s="224"/>
      <c r="B765" s="83"/>
      <c r="C765" s="222"/>
      <c r="D765" s="222"/>
      <c r="E765" s="223"/>
    </row>
    <row r="766" spans="1:5" ht="15.75">
      <c r="A766" s="224"/>
      <c r="B766" s="83"/>
      <c r="C766" s="222"/>
      <c r="D766" s="222"/>
      <c r="E766" s="223"/>
    </row>
    <row r="767" spans="1:5" ht="15.75">
      <c r="A767" s="224"/>
      <c r="B767" s="83"/>
      <c r="C767" s="222"/>
      <c r="D767" s="222"/>
      <c r="E767" s="223"/>
    </row>
    <row r="768" spans="1:5" ht="15.75">
      <c r="A768" s="224"/>
      <c r="B768" s="83"/>
      <c r="C768" s="222"/>
      <c r="D768" s="222"/>
      <c r="E768" s="223"/>
    </row>
    <row r="769" spans="1:5" ht="15.75">
      <c r="A769" s="224"/>
      <c r="B769" s="83"/>
      <c r="C769" s="222"/>
      <c r="D769" s="222"/>
      <c r="E769" s="223"/>
    </row>
    <row r="770" spans="1:5" ht="15.75">
      <c r="A770" s="224"/>
      <c r="B770" s="83"/>
      <c r="C770" s="222"/>
      <c r="D770" s="222"/>
      <c r="E770" s="223"/>
    </row>
    <row r="771" spans="1:5" ht="15.75">
      <c r="A771" s="224"/>
      <c r="B771" s="83"/>
      <c r="C771" s="222"/>
      <c r="D771" s="222"/>
      <c r="E771" s="223"/>
    </row>
    <row r="772" spans="1:5" ht="15.75">
      <c r="A772" s="224"/>
      <c r="B772" s="83"/>
      <c r="C772" s="222"/>
      <c r="D772" s="222"/>
      <c r="E772" s="223"/>
    </row>
    <row r="773" spans="1:5" ht="15.75">
      <c r="A773" s="224"/>
      <c r="B773" s="83"/>
      <c r="C773" s="222"/>
      <c r="D773" s="222"/>
      <c r="E773" s="223"/>
    </row>
    <row r="774" spans="1:5" ht="15.75">
      <c r="A774" s="224"/>
      <c r="B774" s="83"/>
      <c r="C774" s="222"/>
      <c r="D774" s="222"/>
      <c r="E774" s="223"/>
    </row>
    <row r="775" spans="1:5" ht="15.75">
      <c r="A775" s="224"/>
      <c r="B775" s="83"/>
      <c r="C775" s="222"/>
      <c r="D775" s="222"/>
      <c r="E775" s="223"/>
    </row>
    <row r="776" spans="1:5" ht="15.75">
      <c r="A776" s="224"/>
      <c r="B776" s="83"/>
      <c r="C776" s="222"/>
      <c r="D776" s="222"/>
      <c r="E776" s="223"/>
    </row>
    <row r="777" spans="1:5" ht="15.75">
      <c r="A777" s="224"/>
      <c r="B777" s="83"/>
      <c r="C777" s="222"/>
      <c r="D777" s="222"/>
      <c r="E777" s="223"/>
    </row>
    <row r="778" spans="1:5" ht="15.75">
      <c r="A778" s="224"/>
      <c r="B778" s="83"/>
      <c r="C778" s="222"/>
      <c r="D778" s="222"/>
      <c r="E778" s="223"/>
    </row>
    <row r="779" spans="1:5" ht="15.75">
      <c r="A779" s="224"/>
      <c r="B779" s="83"/>
      <c r="C779" s="222"/>
      <c r="D779" s="222"/>
      <c r="E779" s="223"/>
    </row>
    <row r="780" spans="1:5" ht="15.75">
      <c r="A780" s="224"/>
      <c r="B780" s="83"/>
      <c r="C780" s="222"/>
      <c r="D780" s="222"/>
      <c r="E780" s="223"/>
    </row>
    <row r="781" spans="1:5" ht="15.75">
      <c r="A781" s="224"/>
      <c r="B781" s="83"/>
      <c r="C781" s="222"/>
      <c r="D781" s="222"/>
      <c r="E781" s="223"/>
    </row>
    <row r="782" spans="1:5" ht="15.75">
      <c r="A782" s="224"/>
      <c r="B782" s="83"/>
      <c r="C782" s="222"/>
      <c r="D782" s="222"/>
      <c r="E782" s="223"/>
    </row>
    <row r="783" spans="1:5" ht="15.75">
      <c r="A783" s="224"/>
      <c r="B783" s="83"/>
      <c r="C783" s="222"/>
      <c r="D783" s="222"/>
      <c r="E783" s="223"/>
    </row>
    <row r="784" spans="1:5" ht="15.75">
      <c r="A784" s="224"/>
      <c r="B784" s="83"/>
      <c r="C784" s="222"/>
      <c r="D784" s="222"/>
      <c r="E784" s="223"/>
    </row>
    <row r="785" spans="1:5" ht="15.75">
      <c r="A785" s="224"/>
      <c r="B785" s="83"/>
      <c r="C785" s="222"/>
      <c r="D785" s="222"/>
      <c r="E785" s="223"/>
    </row>
    <row r="786" spans="1:5" ht="15.75">
      <c r="A786" s="224"/>
      <c r="B786" s="83"/>
      <c r="C786" s="222"/>
      <c r="D786" s="222"/>
      <c r="E786" s="223"/>
    </row>
    <row r="787" spans="1:5" ht="15.75">
      <c r="A787" s="224"/>
      <c r="B787" s="83"/>
      <c r="C787" s="222"/>
      <c r="D787" s="222"/>
      <c r="E787" s="223"/>
    </row>
    <row r="788" spans="1:5" ht="15.75">
      <c r="A788" s="224"/>
      <c r="B788" s="83"/>
      <c r="C788" s="222"/>
      <c r="D788" s="222"/>
      <c r="E788" s="223"/>
    </row>
    <row r="789" spans="1:5" ht="15.75">
      <c r="A789" s="224"/>
      <c r="B789" s="83"/>
      <c r="C789" s="222"/>
      <c r="D789" s="222"/>
      <c r="E789" s="223"/>
    </row>
    <row r="790" spans="1:5" ht="15.75">
      <c r="A790" s="224"/>
      <c r="B790" s="83"/>
      <c r="C790" s="222"/>
      <c r="D790" s="222"/>
      <c r="E790" s="223"/>
    </row>
    <row r="791" spans="1:5" ht="15.75">
      <c r="A791" s="224"/>
      <c r="B791" s="83"/>
      <c r="C791" s="222"/>
      <c r="D791" s="222"/>
      <c r="E791" s="223"/>
    </row>
    <row r="792" spans="1:5" ht="15.75">
      <c r="A792" s="224"/>
      <c r="B792" s="83"/>
      <c r="C792" s="222"/>
      <c r="D792" s="222"/>
      <c r="E792" s="223"/>
    </row>
    <row r="793" spans="1:5" ht="15.75">
      <c r="A793" s="224"/>
      <c r="B793" s="83"/>
      <c r="C793" s="222"/>
      <c r="D793" s="222"/>
      <c r="E793" s="223"/>
    </row>
    <row r="794" spans="1:5" ht="15.75">
      <c r="A794" s="224"/>
      <c r="B794" s="83"/>
      <c r="C794" s="222"/>
      <c r="D794" s="222"/>
      <c r="E794" s="223"/>
    </row>
    <row r="795" spans="1:5" ht="15.75">
      <c r="A795" s="224"/>
      <c r="B795" s="83"/>
      <c r="C795" s="222"/>
      <c r="D795" s="222"/>
      <c r="E795" s="223"/>
    </row>
    <row r="796" spans="1:5" ht="15.75">
      <c r="A796" s="224"/>
      <c r="B796" s="83"/>
      <c r="C796" s="222"/>
      <c r="D796" s="222"/>
      <c r="E796" s="223"/>
    </row>
    <row r="797" spans="1:5" ht="15.75">
      <c r="A797" s="224"/>
      <c r="B797" s="83"/>
      <c r="C797" s="222"/>
      <c r="D797" s="222"/>
      <c r="E797" s="223"/>
    </row>
    <row r="798" spans="1:5" ht="15.75">
      <c r="A798" s="224"/>
      <c r="B798" s="83"/>
      <c r="C798" s="222"/>
      <c r="D798" s="222"/>
      <c r="E798" s="223"/>
    </row>
    <row r="799" spans="1:5" ht="15.75">
      <c r="A799" s="224"/>
      <c r="B799" s="83"/>
      <c r="C799" s="222"/>
      <c r="D799" s="222"/>
      <c r="E799" s="223"/>
    </row>
    <row r="800" spans="1:5" ht="15.75">
      <c r="A800" s="224"/>
      <c r="B800" s="83"/>
      <c r="C800" s="222"/>
      <c r="D800" s="222"/>
      <c r="E800" s="223"/>
    </row>
    <row r="801" spans="1:5" ht="15.75">
      <c r="A801" s="224"/>
      <c r="B801" s="83"/>
      <c r="C801" s="222"/>
      <c r="D801" s="222"/>
      <c r="E801" s="223"/>
    </row>
    <row r="802" spans="1:5" ht="15.75">
      <c r="A802" s="224"/>
      <c r="B802" s="83"/>
      <c r="C802" s="222"/>
      <c r="D802" s="222"/>
      <c r="E802" s="223"/>
    </row>
    <row r="803" spans="1:5" ht="15.75">
      <c r="A803" s="224"/>
      <c r="B803" s="83"/>
      <c r="C803" s="222"/>
      <c r="D803" s="222"/>
      <c r="E803" s="223"/>
    </row>
    <row r="804" spans="1:5" ht="15.75">
      <c r="A804" s="224"/>
      <c r="B804" s="83"/>
      <c r="C804" s="222"/>
      <c r="D804" s="222"/>
      <c r="E804" s="223"/>
    </row>
    <row r="805" spans="1:5" ht="15.75">
      <c r="A805" s="224"/>
      <c r="B805" s="83"/>
      <c r="C805" s="222"/>
      <c r="D805" s="222"/>
      <c r="E805" s="223"/>
    </row>
    <row r="806" spans="1:5" ht="15.75">
      <c r="A806" s="224"/>
      <c r="B806" s="83"/>
      <c r="C806" s="222"/>
      <c r="D806" s="222"/>
      <c r="E806" s="223"/>
    </row>
    <row r="807" spans="1:5" ht="15.75">
      <c r="A807" s="224"/>
      <c r="B807" s="83"/>
      <c r="C807" s="222"/>
      <c r="D807" s="222"/>
      <c r="E807" s="223"/>
    </row>
    <row r="808" spans="1:5" ht="15.75">
      <c r="A808" s="224"/>
      <c r="B808" s="83"/>
      <c r="C808" s="222"/>
      <c r="D808" s="222"/>
      <c r="E808" s="223"/>
    </row>
    <row r="809" spans="1:5" ht="15.75">
      <c r="A809" s="224"/>
      <c r="B809" s="83"/>
      <c r="C809" s="222"/>
      <c r="D809" s="222"/>
      <c r="E809" s="223"/>
    </row>
    <row r="810" spans="1:5" ht="15.75">
      <c r="A810" s="224"/>
      <c r="B810" s="83"/>
      <c r="C810" s="222"/>
      <c r="D810" s="222"/>
      <c r="E810" s="223"/>
    </row>
    <row r="811" spans="1:5" ht="15.75">
      <c r="A811" s="224"/>
      <c r="B811" s="83"/>
      <c r="C811" s="222"/>
      <c r="D811" s="222"/>
      <c r="E811" s="223"/>
    </row>
    <row r="812" spans="1:5" ht="15.75">
      <c r="A812" s="224"/>
      <c r="B812" s="83"/>
      <c r="C812" s="222"/>
      <c r="D812" s="222"/>
      <c r="E812" s="223"/>
    </row>
    <row r="813" spans="1:5" ht="15.75">
      <c r="A813" s="224"/>
      <c r="B813" s="83"/>
      <c r="C813" s="222"/>
      <c r="D813" s="222"/>
      <c r="E813" s="223"/>
    </row>
    <row r="814" spans="1:5" ht="15.75">
      <c r="A814" s="224"/>
      <c r="B814" s="83"/>
      <c r="C814" s="222"/>
      <c r="D814" s="222"/>
      <c r="E814" s="223"/>
    </row>
    <row r="815" spans="1:5" ht="15.75">
      <c r="A815" s="224"/>
      <c r="B815" s="83"/>
      <c r="C815" s="222"/>
      <c r="D815" s="222"/>
      <c r="E815" s="223"/>
    </row>
    <row r="816" spans="1:5" ht="15.75">
      <c r="A816" s="224"/>
      <c r="B816" s="83"/>
      <c r="C816" s="222"/>
      <c r="D816" s="222"/>
      <c r="E816" s="223"/>
    </row>
    <row r="817" spans="1:5" ht="15.75">
      <c r="A817" s="224"/>
      <c r="B817" s="83"/>
      <c r="C817" s="222"/>
      <c r="D817" s="222"/>
      <c r="E817" s="223"/>
    </row>
    <row r="818" spans="1:5" ht="15.75">
      <c r="A818" s="224"/>
      <c r="B818" s="83"/>
      <c r="C818" s="222"/>
      <c r="D818" s="222"/>
      <c r="E818" s="223"/>
    </row>
    <row r="819" spans="1:5" ht="15.75">
      <c r="A819" s="224"/>
      <c r="B819" s="83"/>
      <c r="C819" s="222"/>
      <c r="D819" s="222"/>
      <c r="E819" s="223"/>
    </row>
    <row r="820" spans="1:5" ht="15.75">
      <c r="A820" s="224"/>
      <c r="B820" s="83"/>
      <c r="C820" s="222"/>
      <c r="D820" s="222"/>
      <c r="E820" s="223"/>
    </row>
    <row r="821" spans="1:5" ht="15.75">
      <c r="A821" s="224"/>
      <c r="B821" s="83"/>
      <c r="C821" s="222"/>
      <c r="D821" s="222"/>
      <c r="E821" s="223"/>
    </row>
    <row r="822" spans="1:5" ht="15.75">
      <c r="A822" s="224"/>
      <c r="B822" s="83"/>
      <c r="C822" s="222"/>
      <c r="D822" s="222"/>
      <c r="E822" s="223"/>
    </row>
    <row r="823" spans="1:5" ht="15.75">
      <c r="A823" s="224"/>
      <c r="B823" s="83"/>
      <c r="C823" s="222"/>
      <c r="D823" s="222"/>
      <c r="E823" s="223"/>
    </row>
    <row r="824" spans="1:5" ht="15.75">
      <c r="A824" s="224"/>
      <c r="B824" s="83"/>
      <c r="C824" s="222"/>
      <c r="D824" s="222"/>
      <c r="E824" s="223"/>
    </row>
    <row r="825" spans="1:5" ht="15.75">
      <c r="A825" s="224"/>
      <c r="B825" s="83"/>
      <c r="C825" s="222"/>
      <c r="D825" s="222"/>
      <c r="E825" s="223"/>
    </row>
    <row r="826" spans="1:5" ht="15.75">
      <c r="A826" s="224"/>
      <c r="B826" s="83"/>
      <c r="C826" s="222"/>
      <c r="D826" s="222"/>
      <c r="E826" s="223"/>
    </row>
    <row r="827" spans="1:5" ht="15.75">
      <c r="A827" s="224"/>
      <c r="B827" s="83"/>
      <c r="C827" s="222"/>
      <c r="D827" s="222"/>
      <c r="E827" s="223"/>
    </row>
    <row r="828" spans="1:5" ht="15.75">
      <c r="A828" s="224"/>
      <c r="B828" s="83"/>
      <c r="C828" s="222"/>
      <c r="D828" s="222"/>
      <c r="E828" s="223"/>
    </row>
    <row r="829" spans="1:5" ht="15.75">
      <c r="A829" s="224"/>
      <c r="B829" s="83"/>
      <c r="C829" s="222"/>
      <c r="D829" s="222"/>
      <c r="E829" s="223"/>
    </row>
    <row r="830" spans="1:5" ht="15.75">
      <c r="A830" s="224"/>
      <c r="B830" s="83"/>
      <c r="C830" s="222"/>
      <c r="D830" s="222"/>
      <c r="E830" s="223"/>
    </row>
    <row r="831" spans="1:5" ht="15.75">
      <c r="A831" s="224"/>
      <c r="B831" s="83"/>
      <c r="C831" s="222"/>
      <c r="D831" s="222"/>
      <c r="E831" s="223"/>
    </row>
    <row r="832" spans="1:5" ht="15.75">
      <c r="A832" s="224"/>
      <c r="B832" s="83"/>
      <c r="C832" s="222"/>
      <c r="D832" s="222"/>
      <c r="E832" s="223"/>
    </row>
    <row r="833" spans="1:5" ht="15.75">
      <c r="A833" s="224"/>
      <c r="B833" s="83"/>
      <c r="C833" s="222"/>
      <c r="D833" s="222"/>
      <c r="E833" s="223"/>
    </row>
    <row r="834" spans="1:5" ht="15.75">
      <c r="A834" s="224"/>
      <c r="B834" s="83"/>
      <c r="C834" s="222"/>
      <c r="D834" s="222"/>
      <c r="E834" s="223"/>
    </row>
    <row r="835" spans="1:5" ht="15.75">
      <c r="A835" s="224"/>
      <c r="B835" s="83"/>
      <c r="C835" s="222"/>
      <c r="D835" s="222"/>
      <c r="E835" s="223"/>
    </row>
    <row r="836" spans="1:5" ht="15.75">
      <c r="A836" s="224"/>
      <c r="B836" s="83"/>
      <c r="C836" s="222"/>
      <c r="D836" s="222"/>
      <c r="E836" s="223"/>
    </row>
    <row r="837" spans="1:5" ht="15.75">
      <c r="A837" s="224"/>
      <c r="B837" s="83"/>
      <c r="C837" s="222"/>
      <c r="D837" s="222"/>
      <c r="E837" s="223"/>
    </row>
    <row r="838" spans="1:5" ht="15.75">
      <c r="A838" s="224"/>
      <c r="B838" s="83"/>
      <c r="C838" s="222"/>
      <c r="D838" s="222"/>
      <c r="E838" s="223"/>
    </row>
    <row r="839" spans="1:5" ht="15.75">
      <c r="A839" s="224"/>
      <c r="B839" s="83"/>
      <c r="C839" s="222"/>
      <c r="D839" s="222"/>
      <c r="E839" s="223"/>
    </row>
    <row r="840" spans="1:5" ht="15.75">
      <c r="A840" s="224"/>
      <c r="B840" s="83"/>
      <c r="C840" s="222"/>
      <c r="D840" s="222"/>
      <c r="E840" s="223"/>
    </row>
    <row r="841" spans="1:5" ht="15.75">
      <c r="A841" s="224"/>
      <c r="B841" s="83"/>
      <c r="C841" s="222"/>
      <c r="D841" s="222"/>
      <c r="E841" s="223"/>
    </row>
    <row r="842" spans="1:5" ht="15.75">
      <c r="A842" s="224"/>
      <c r="B842" s="83"/>
      <c r="C842" s="222"/>
      <c r="D842" s="222"/>
      <c r="E842" s="223"/>
    </row>
    <row r="843" spans="1:5" ht="15.75">
      <c r="A843" s="224"/>
      <c r="B843" s="83"/>
      <c r="C843" s="222"/>
      <c r="D843" s="222"/>
      <c r="E843" s="223"/>
    </row>
    <row r="844" spans="1:5" ht="15.75">
      <c r="A844" s="224"/>
      <c r="B844" s="83"/>
      <c r="C844" s="222"/>
      <c r="D844" s="222"/>
      <c r="E844" s="223"/>
    </row>
    <row r="845" spans="1:5" ht="15.75">
      <c r="A845" s="224"/>
      <c r="B845" s="83"/>
      <c r="C845" s="222"/>
      <c r="D845" s="222"/>
      <c r="E845" s="223"/>
    </row>
    <row r="846" spans="1:5" ht="15.75">
      <c r="A846" s="224"/>
      <c r="B846" s="83"/>
      <c r="C846" s="222"/>
      <c r="D846" s="222"/>
      <c r="E846" s="223"/>
    </row>
    <row r="847" spans="1:5" ht="15.75">
      <c r="A847" s="224"/>
      <c r="B847" s="83"/>
      <c r="C847" s="222"/>
      <c r="D847" s="222"/>
      <c r="E847" s="223"/>
    </row>
    <row r="848" spans="1:5" ht="15.75">
      <c r="A848" s="224"/>
      <c r="B848" s="83"/>
      <c r="C848" s="222"/>
      <c r="D848" s="222"/>
      <c r="E848" s="223"/>
    </row>
    <row r="849" spans="1:5" ht="15.75">
      <c r="A849" s="224"/>
      <c r="B849" s="83"/>
      <c r="C849" s="222"/>
      <c r="D849" s="222"/>
      <c r="E849" s="223"/>
    </row>
    <row r="850" spans="1:5" ht="15.75">
      <c r="A850" s="224"/>
      <c r="B850" s="83"/>
      <c r="C850" s="222"/>
      <c r="D850" s="222"/>
      <c r="E850" s="223"/>
    </row>
    <row r="851" spans="1:5" ht="15.75">
      <c r="A851" s="224"/>
      <c r="B851" s="83"/>
      <c r="C851" s="222"/>
      <c r="D851" s="222"/>
      <c r="E851" s="223"/>
    </row>
    <row r="852" spans="1:5" ht="15.75">
      <c r="A852" s="224"/>
      <c r="B852" s="83"/>
      <c r="C852" s="222"/>
      <c r="D852" s="222"/>
      <c r="E852" s="223"/>
    </row>
    <row r="853" spans="1:5" ht="15.75">
      <c r="A853" s="224"/>
      <c r="B853" s="83"/>
      <c r="C853" s="222"/>
      <c r="D853" s="222"/>
      <c r="E853" s="223"/>
    </row>
    <row r="854" spans="1:5" ht="15.75">
      <c r="A854" s="224"/>
      <c r="B854" s="83"/>
      <c r="C854" s="222"/>
      <c r="D854" s="222"/>
      <c r="E854" s="223"/>
    </row>
    <row r="855" spans="1:5" ht="15.75">
      <c r="A855" s="224"/>
      <c r="B855" s="83"/>
      <c r="C855" s="222"/>
      <c r="D855" s="222"/>
      <c r="E855" s="223"/>
    </row>
    <row r="856" spans="1:5" ht="15.75">
      <c r="A856" s="224"/>
      <c r="B856" s="83"/>
      <c r="C856" s="222"/>
      <c r="D856" s="222"/>
      <c r="E856" s="223"/>
    </row>
    <row r="857" spans="1:5" ht="15.75">
      <c r="A857" s="224"/>
      <c r="B857" s="83"/>
      <c r="C857" s="222"/>
      <c r="D857" s="222"/>
      <c r="E857" s="223"/>
    </row>
    <row r="858" spans="1:5" ht="15.75">
      <c r="A858" s="224"/>
      <c r="B858" s="83"/>
      <c r="C858" s="222"/>
      <c r="D858" s="222"/>
      <c r="E858" s="223"/>
    </row>
    <row r="859" spans="1:5" ht="15.75">
      <c r="A859" s="224"/>
      <c r="B859" s="83"/>
      <c r="C859" s="222"/>
      <c r="D859" s="222"/>
      <c r="E859" s="223"/>
    </row>
    <row r="860" spans="1:5" ht="15.75">
      <c r="A860" s="224"/>
      <c r="B860" s="83"/>
      <c r="C860" s="222"/>
      <c r="D860" s="222"/>
      <c r="E860" s="223"/>
    </row>
    <row r="861" spans="1:5" ht="15.75">
      <c r="A861" s="224"/>
      <c r="B861" s="83"/>
      <c r="C861" s="222"/>
      <c r="D861" s="222"/>
      <c r="E861" s="223"/>
    </row>
    <row r="862" spans="1:5" ht="15.75">
      <c r="A862" s="224"/>
      <c r="B862" s="83"/>
      <c r="C862" s="222"/>
      <c r="D862" s="222"/>
      <c r="E862" s="223"/>
    </row>
    <row r="863" spans="1:5" ht="15.75">
      <c r="A863" s="224"/>
      <c r="B863" s="83"/>
      <c r="C863" s="222"/>
      <c r="D863" s="222"/>
      <c r="E863" s="223"/>
    </row>
    <row r="864" spans="1:5" ht="15.75">
      <c r="A864" s="224"/>
      <c r="B864" s="83"/>
      <c r="C864" s="222"/>
      <c r="D864" s="222"/>
      <c r="E864" s="223"/>
    </row>
    <row r="865" spans="1:5" ht="15.75">
      <c r="A865" s="224"/>
      <c r="B865" s="83"/>
      <c r="C865" s="222"/>
      <c r="D865" s="222"/>
      <c r="E865" s="223"/>
    </row>
    <row r="866" spans="1:5" ht="15.75">
      <c r="A866" s="224"/>
      <c r="B866" s="83"/>
      <c r="C866" s="222"/>
      <c r="D866" s="222"/>
      <c r="E866" s="223"/>
    </row>
    <row r="867" spans="1:5" ht="15.75">
      <c r="A867" s="224"/>
      <c r="B867" s="83"/>
      <c r="C867" s="222"/>
      <c r="D867" s="222"/>
      <c r="E867" s="223"/>
    </row>
    <row r="868" spans="1:5" ht="15.75">
      <c r="A868" s="224"/>
      <c r="B868" s="83"/>
      <c r="C868" s="222"/>
      <c r="D868" s="222"/>
      <c r="E868" s="223"/>
    </row>
    <row r="869" spans="1:5" ht="15.75">
      <c r="A869" s="224"/>
      <c r="B869" s="83"/>
      <c r="C869" s="222"/>
      <c r="D869" s="222"/>
      <c r="E869" s="223"/>
    </row>
    <row r="870" spans="1:5" ht="15.75">
      <c r="A870" s="224"/>
      <c r="B870" s="83"/>
      <c r="C870" s="222"/>
      <c r="D870" s="222"/>
      <c r="E870" s="223"/>
    </row>
    <row r="871" spans="1:5" ht="15.75">
      <c r="A871" s="224"/>
      <c r="B871" s="83"/>
      <c r="C871" s="222"/>
      <c r="D871" s="222"/>
      <c r="E871" s="223"/>
    </row>
    <row r="872" spans="1:5" ht="15.75">
      <c r="A872" s="224"/>
      <c r="B872" s="83"/>
      <c r="C872" s="222"/>
      <c r="D872" s="222"/>
      <c r="E872" s="223"/>
    </row>
    <row r="873" spans="1:5" ht="15.75">
      <c r="A873" s="224"/>
      <c r="B873" s="83"/>
      <c r="C873" s="222"/>
      <c r="D873" s="222"/>
      <c r="E873" s="223"/>
    </row>
    <row r="874" spans="1:5" ht="15.75">
      <c r="A874" s="224"/>
      <c r="B874" s="83"/>
      <c r="C874" s="222"/>
      <c r="D874" s="222"/>
      <c r="E874" s="223"/>
    </row>
    <row r="875" spans="1:5" ht="15.75">
      <c r="A875" s="224"/>
      <c r="B875" s="83"/>
      <c r="C875" s="222"/>
      <c r="D875" s="222"/>
      <c r="E875" s="223"/>
    </row>
    <row r="876" spans="1:5" ht="15.75">
      <c r="A876" s="224"/>
      <c r="B876" s="83"/>
      <c r="C876" s="222"/>
      <c r="D876" s="222"/>
      <c r="E876" s="223"/>
    </row>
    <row r="877" spans="1:5" ht="15.75">
      <c r="A877" s="224"/>
      <c r="B877" s="83"/>
      <c r="C877" s="222"/>
      <c r="D877" s="222"/>
      <c r="E877" s="223"/>
    </row>
    <row r="878" spans="1:5" ht="15.75">
      <c r="A878" s="224"/>
      <c r="B878" s="83"/>
      <c r="C878" s="222"/>
      <c r="D878" s="222"/>
      <c r="E878" s="223"/>
    </row>
    <row r="879" spans="1:5" ht="15.75">
      <c r="A879" s="224"/>
      <c r="B879" s="83"/>
      <c r="C879" s="222"/>
      <c r="D879" s="222"/>
      <c r="E879" s="223"/>
    </row>
    <row r="880" spans="1:5" ht="15.75">
      <c r="A880" s="224"/>
      <c r="B880" s="83"/>
      <c r="C880" s="222"/>
      <c r="D880" s="222"/>
      <c r="E880" s="223"/>
    </row>
    <row r="881" spans="1:5" ht="15.75">
      <c r="A881" s="224"/>
      <c r="B881" s="83"/>
      <c r="C881" s="222"/>
      <c r="D881" s="222"/>
      <c r="E881" s="223"/>
    </row>
    <row r="882" spans="1:5" ht="15.75">
      <c r="A882" s="224"/>
      <c r="B882" s="83"/>
      <c r="C882" s="222"/>
      <c r="D882" s="222"/>
      <c r="E882" s="223"/>
    </row>
    <row r="883" spans="1:5" ht="15.75">
      <c r="A883" s="224"/>
      <c r="B883" s="83"/>
      <c r="C883" s="222"/>
      <c r="D883" s="222"/>
      <c r="E883" s="223"/>
    </row>
    <row r="884" spans="1:5" ht="15.75">
      <c r="A884" s="224"/>
      <c r="B884" s="83"/>
      <c r="C884" s="222"/>
      <c r="D884" s="222"/>
      <c r="E884" s="223"/>
    </row>
    <row r="885" spans="1:5" ht="15.75">
      <c r="A885" s="224"/>
      <c r="B885" s="83"/>
      <c r="C885" s="222"/>
      <c r="D885" s="222"/>
      <c r="E885" s="223"/>
    </row>
    <row r="886" spans="1:5" ht="15.75">
      <c r="A886" s="224"/>
      <c r="B886" s="83"/>
      <c r="C886" s="222"/>
      <c r="D886" s="222"/>
      <c r="E886" s="223"/>
    </row>
    <row r="887" spans="1:5" ht="15.75">
      <c r="A887" s="224"/>
      <c r="B887" s="83"/>
      <c r="C887" s="222"/>
      <c r="D887" s="222"/>
      <c r="E887" s="223"/>
    </row>
    <row r="888" spans="1:5" ht="15.75">
      <c r="A888" s="224"/>
      <c r="B888" s="83"/>
      <c r="C888" s="222"/>
      <c r="D888" s="222"/>
      <c r="E888" s="223"/>
    </row>
    <row r="889" spans="1:5" ht="15.75">
      <c r="A889" s="224"/>
      <c r="B889" s="83"/>
      <c r="C889" s="222"/>
      <c r="D889" s="222"/>
      <c r="E889" s="223"/>
    </row>
    <row r="890" spans="1:5" ht="15.75">
      <c r="A890" s="224"/>
      <c r="B890" s="83"/>
      <c r="C890" s="222"/>
      <c r="D890" s="222"/>
      <c r="E890" s="223"/>
    </row>
    <row r="891" spans="1:5" ht="15.75">
      <c r="A891" s="224"/>
      <c r="B891" s="83"/>
      <c r="C891" s="222"/>
      <c r="D891" s="222"/>
      <c r="E891" s="223"/>
    </row>
    <row r="892" spans="1:5" ht="15.75">
      <c r="A892" s="224"/>
      <c r="B892" s="83"/>
      <c r="C892" s="222"/>
      <c r="D892" s="222"/>
      <c r="E892" s="223"/>
    </row>
    <row r="893" spans="1:5" ht="15.75">
      <c r="A893" s="224"/>
      <c r="B893" s="83"/>
      <c r="C893" s="222"/>
      <c r="D893" s="222"/>
      <c r="E893" s="223"/>
    </row>
    <row r="894" spans="1:5" ht="15.75">
      <c r="A894" s="224"/>
      <c r="B894" s="83"/>
      <c r="C894" s="222"/>
      <c r="D894" s="222"/>
      <c r="E894" s="223"/>
    </row>
    <row r="895" spans="1:5" ht="15.75">
      <c r="A895" s="224"/>
      <c r="B895" s="83"/>
      <c r="C895" s="222"/>
      <c r="D895" s="222"/>
      <c r="E895" s="223"/>
    </row>
    <row r="896" spans="1:5" ht="15.75">
      <c r="A896" s="224"/>
      <c r="B896" s="83"/>
      <c r="C896" s="222"/>
      <c r="D896" s="222"/>
      <c r="E896" s="223"/>
    </row>
    <row r="897" spans="1:5" ht="15.75">
      <c r="A897" s="224"/>
      <c r="B897" s="83"/>
      <c r="C897" s="222"/>
      <c r="D897" s="222"/>
      <c r="E897" s="223"/>
    </row>
    <row r="898" spans="1:5" ht="15.75">
      <c r="A898" s="224"/>
      <c r="B898" s="83"/>
      <c r="C898" s="222"/>
      <c r="D898" s="222"/>
      <c r="E898" s="223"/>
    </row>
    <row r="899" spans="1:5" ht="15.75">
      <c r="A899" s="224"/>
      <c r="B899" s="83"/>
      <c r="C899" s="222"/>
      <c r="D899" s="222"/>
      <c r="E899" s="223"/>
    </row>
    <row r="900" spans="1:5" ht="15.75">
      <c r="A900" s="224"/>
      <c r="B900" s="83"/>
      <c r="C900" s="222"/>
      <c r="D900" s="222"/>
      <c r="E900" s="223"/>
    </row>
    <row r="901" spans="1:5" ht="15.75">
      <c r="A901" s="224"/>
      <c r="B901" s="83"/>
      <c r="C901" s="222"/>
      <c r="D901" s="222"/>
      <c r="E901" s="223"/>
    </row>
    <row r="902" spans="1:5" ht="15.75">
      <c r="A902" s="224"/>
      <c r="B902" s="83"/>
      <c r="C902" s="222"/>
      <c r="D902" s="222"/>
      <c r="E902" s="223"/>
    </row>
    <row r="903" spans="1:5" ht="15.75">
      <c r="A903" s="224"/>
      <c r="B903" s="83"/>
      <c r="C903" s="222"/>
      <c r="D903" s="222"/>
      <c r="E903" s="223"/>
    </row>
    <row r="904" spans="1:5" ht="15.75">
      <c r="A904" s="224"/>
      <c r="B904" s="83"/>
      <c r="C904" s="222"/>
      <c r="D904" s="222"/>
      <c r="E904" s="223"/>
    </row>
    <row r="905" spans="1:5" ht="15.75">
      <c r="A905" s="224"/>
      <c r="B905" s="83"/>
      <c r="C905" s="222"/>
      <c r="D905" s="222"/>
      <c r="E905" s="223"/>
    </row>
    <row r="906" spans="1:5" ht="15.75">
      <c r="A906" s="224"/>
      <c r="B906" s="83"/>
      <c r="C906" s="222"/>
      <c r="D906" s="222"/>
      <c r="E906" s="223"/>
    </row>
    <row r="907" spans="1:5" ht="15.75">
      <c r="A907" s="224"/>
      <c r="B907" s="83"/>
      <c r="C907" s="222"/>
      <c r="D907" s="222"/>
      <c r="E907" s="223"/>
    </row>
    <row r="908" spans="1:5" ht="15.75">
      <c r="A908" s="224"/>
      <c r="B908" s="83"/>
      <c r="C908" s="222"/>
      <c r="D908" s="222"/>
      <c r="E908" s="223"/>
    </row>
    <row r="909" spans="1:5" ht="15.75">
      <c r="A909" s="224"/>
      <c r="B909" s="83"/>
      <c r="C909" s="222"/>
      <c r="D909" s="222"/>
      <c r="E909" s="223"/>
    </row>
    <row r="910" spans="1:5" ht="15.75">
      <c r="A910" s="224"/>
      <c r="B910" s="83"/>
      <c r="C910" s="222"/>
      <c r="D910" s="222"/>
      <c r="E910" s="223"/>
    </row>
    <row r="911" spans="1:5" ht="15.75">
      <c r="A911" s="224"/>
      <c r="B911" s="83"/>
      <c r="C911" s="222"/>
      <c r="D911" s="222"/>
      <c r="E911" s="223"/>
    </row>
    <row r="912" spans="1:5" ht="15.75">
      <c r="A912" s="224"/>
      <c r="B912" s="83"/>
      <c r="C912" s="222"/>
      <c r="D912" s="222"/>
      <c r="E912" s="223"/>
    </row>
    <row r="913" spans="1:5" ht="15.75">
      <c r="A913" s="224"/>
      <c r="B913" s="83"/>
      <c r="C913" s="222"/>
      <c r="D913" s="222"/>
      <c r="E913" s="223"/>
    </row>
    <row r="914" spans="1:5" ht="15.75">
      <c r="A914" s="224"/>
      <c r="B914" s="83"/>
      <c r="C914" s="222"/>
      <c r="D914" s="222"/>
      <c r="E914" s="223"/>
    </row>
    <row r="915" spans="1:5" ht="15.75">
      <c r="A915" s="224"/>
      <c r="B915" s="83"/>
      <c r="C915" s="222"/>
      <c r="D915" s="222"/>
      <c r="E915" s="223"/>
    </row>
    <row r="916" spans="1:5" ht="15.75">
      <c r="A916" s="224"/>
      <c r="B916" s="83"/>
      <c r="C916" s="222"/>
      <c r="D916" s="222"/>
      <c r="E916" s="223"/>
    </row>
    <row r="917" spans="1:5" ht="15.75">
      <c r="A917" s="224"/>
      <c r="B917" s="83"/>
      <c r="C917" s="222"/>
      <c r="D917" s="222"/>
      <c r="E917" s="223"/>
    </row>
    <row r="918" spans="1:5" ht="15.75">
      <c r="A918" s="224"/>
      <c r="B918" s="83"/>
      <c r="C918" s="222"/>
      <c r="D918" s="222"/>
      <c r="E918" s="223"/>
    </row>
    <row r="919" spans="1:5" ht="15.75">
      <c r="A919" s="224"/>
      <c r="B919" s="83"/>
      <c r="C919" s="222"/>
      <c r="D919" s="222"/>
      <c r="E919" s="223"/>
    </row>
    <row r="920" spans="1:5" ht="15.75">
      <c r="A920" s="224"/>
      <c r="B920" s="83"/>
      <c r="C920" s="222"/>
      <c r="D920" s="222"/>
      <c r="E920" s="223"/>
    </row>
    <row r="921" spans="1:5" ht="15.75">
      <c r="A921" s="224"/>
      <c r="B921" s="83"/>
      <c r="C921" s="222"/>
      <c r="D921" s="222"/>
      <c r="E921" s="223"/>
    </row>
    <row r="922" spans="1:5" ht="15.75">
      <c r="A922" s="224"/>
      <c r="B922" s="83"/>
      <c r="C922" s="222"/>
      <c r="D922" s="222"/>
      <c r="E922" s="223"/>
    </row>
    <row r="923" spans="1:5" ht="15.75">
      <c r="A923" s="224"/>
      <c r="B923" s="83"/>
      <c r="C923" s="222"/>
      <c r="D923" s="222"/>
      <c r="E923" s="223"/>
    </row>
    <row r="924" spans="1:5" ht="15.75">
      <c r="A924" s="224"/>
      <c r="B924" s="83"/>
      <c r="C924" s="222"/>
      <c r="D924" s="222"/>
      <c r="E924" s="223"/>
    </row>
    <row r="925" spans="1:5" ht="15.75">
      <c r="A925" s="224"/>
      <c r="B925" s="83"/>
      <c r="C925" s="222"/>
      <c r="D925" s="222"/>
      <c r="E925" s="223"/>
    </row>
    <row r="926" spans="1:5" ht="15.75">
      <c r="A926" s="224"/>
      <c r="B926" s="83"/>
      <c r="C926" s="222"/>
      <c r="D926" s="222"/>
      <c r="E926" s="223"/>
    </row>
    <row r="927" spans="1:5" ht="15.75">
      <c r="A927" s="224"/>
      <c r="B927" s="83"/>
      <c r="C927" s="222"/>
      <c r="D927" s="222"/>
      <c r="E927" s="223"/>
    </row>
    <row r="928" spans="1:5" ht="15.75">
      <c r="A928" s="224"/>
      <c r="B928" s="83"/>
      <c r="C928" s="222"/>
      <c r="D928" s="222"/>
      <c r="E928" s="223"/>
    </row>
    <row r="929" spans="1:5" ht="15.75">
      <c r="A929" s="224"/>
      <c r="B929" s="83"/>
      <c r="C929" s="222"/>
      <c r="D929" s="222"/>
      <c r="E929" s="223"/>
    </row>
    <row r="930" spans="1:5" ht="15.75">
      <c r="A930" s="224"/>
      <c r="B930" s="83"/>
      <c r="C930" s="222"/>
      <c r="D930" s="222"/>
      <c r="E930" s="223"/>
    </row>
    <row r="931" spans="1:5" ht="15.75">
      <c r="A931" s="224"/>
      <c r="B931" s="83"/>
      <c r="C931" s="222"/>
      <c r="D931" s="222"/>
      <c r="E931" s="223"/>
    </row>
    <row r="932" spans="1:5" ht="15.75">
      <c r="A932" s="224"/>
      <c r="B932" s="83"/>
      <c r="C932" s="222"/>
      <c r="D932" s="222"/>
      <c r="E932" s="223"/>
    </row>
    <row r="933" spans="1:5" ht="15.75">
      <c r="A933" s="224"/>
      <c r="B933" s="83"/>
      <c r="C933" s="222"/>
      <c r="D933" s="222"/>
      <c r="E933" s="223"/>
    </row>
    <row r="934" spans="1:5" ht="15.75">
      <c r="A934" s="224"/>
      <c r="B934" s="83"/>
      <c r="C934" s="222"/>
      <c r="D934" s="222"/>
      <c r="E934" s="223"/>
    </row>
    <row r="935" spans="1:5" ht="15.75">
      <c r="A935" s="224"/>
      <c r="B935" s="83"/>
      <c r="C935" s="222"/>
      <c r="D935" s="222"/>
      <c r="E935" s="223"/>
    </row>
    <row r="936" spans="1:5" ht="15.75">
      <c r="A936" s="224"/>
      <c r="B936" s="83"/>
      <c r="C936" s="222"/>
      <c r="D936" s="222"/>
      <c r="E936" s="223"/>
    </row>
    <row r="937" spans="1:5" ht="15.75">
      <c r="A937" s="224"/>
      <c r="B937" s="83"/>
      <c r="C937" s="222"/>
      <c r="D937" s="222"/>
      <c r="E937" s="223"/>
    </row>
    <row r="938" spans="1:5" ht="15.75">
      <c r="A938" s="224"/>
      <c r="B938" s="83"/>
      <c r="C938" s="222"/>
      <c r="D938" s="222"/>
      <c r="E938" s="223"/>
    </row>
    <row r="939" spans="1:5" ht="15.75">
      <c r="A939" s="224"/>
      <c r="B939" s="83"/>
      <c r="C939" s="222"/>
      <c r="D939" s="222"/>
      <c r="E939" s="223"/>
    </row>
    <row r="940" spans="1:5" ht="15.75">
      <c r="A940" s="224"/>
      <c r="B940" s="83"/>
      <c r="C940" s="222"/>
      <c r="D940" s="222"/>
      <c r="E940" s="223"/>
    </row>
    <row r="941" spans="1:5" ht="15.75">
      <c r="A941" s="224"/>
      <c r="B941" s="83"/>
      <c r="C941" s="222"/>
      <c r="D941" s="222"/>
      <c r="E941" s="223"/>
    </row>
    <row r="942" spans="1:5" ht="15.75">
      <c r="A942" s="224"/>
      <c r="B942" s="83"/>
      <c r="C942" s="222"/>
      <c r="D942" s="222"/>
      <c r="E942" s="223"/>
    </row>
    <row r="943" spans="1:5" ht="15.75">
      <c r="A943" s="224"/>
      <c r="B943" s="83"/>
      <c r="C943" s="222"/>
      <c r="D943" s="222"/>
      <c r="E943" s="223"/>
    </row>
    <row r="944" spans="1:5" ht="15.75">
      <c r="A944" s="224"/>
      <c r="B944" s="83"/>
      <c r="C944" s="222"/>
      <c r="D944" s="222"/>
      <c r="E944" s="223"/>
    </row>
    <row r="945" spans="1:5" ht="15.75">
      <c r="A945" s="224"/>
      <c r="B945" s="83"/>
      <c r="C945" s="222"/>
      <c r="D945" s="222"/>
      <c r="E945" s="223"/>
    </row>
    <row r="946" spans="1:5" ht="15.75">
      <c r="A946" s="224"/>
      <c r="B946" s="83"/>
      <c r="C946" s="222"/>
      <c r="D946" s="222"/>
      <c r="E946" s="223"/>
    </row>
    <row r="947" spans="1:5" ht="15.75">
      <c r="A947" s="224"/>
      <c r="B947" s="83"/>
      <c r="C947" s="222"/>
      <c r="D947" s="222"/>
      <c r="E947" s="223"/>
    </row>
    <row r="948" spans="1:5" ht="15.75">
      <c r="A948" s="224"/>
      <c r="B948" s="83"/>
      <c r="C948" s="222"/>
      <c r="D948" s="222"/>
      <c r="E948" s="223"/>
    </row>
    <row r="949" spans="1:5" ht="15.75">
      <c r="A949" s="224"/>
      <c r="B949" s="83"/>
      <c r="C949" s="222"/>
      <c r="D949" s="222"/>
      <c r="E949" s="223"/>
    </row>
    <row r="950" spans="1:5" ht="15.75">
      <c r="A950" s="224"/>
      <c r="B950" s="83"/>
      <c r="C950" s="222"/>
      <c r="D950" s="222"/>
      <c r="E950" s="223"/>
    </row>
    <row r="951" spans="1:5" ht="15.75">
      <c r="A951" s="224"/>
      <c r="B951" s="83"/>
      <c r="C951" s="222"/>
      <c r="D951" s="222"/>
      <c r="E951" s="223"/>
    </row>
    <row r="952" spans="1:5" ht="15.75">
      <c r="A952" s="224"/>
      <c r="B952" s="83"/>
      <c r="C952" s="222"/>
      <c r="D952" s="222"/>
      <c r="E952" s="223"/>
    </row>
    <row r="953" spans="1:5" ht="15.75">
      <c r="A953" s="224"/>
      <c r="B953" s="83"/>
      <c r="C953" s="222"/>
      <c r="D953" s="222"/>
      <c r="E953" s="223"/>
    </row>
    <row r="954" spans="1:5" ht="15.75">
      <c r="A954" s="224"/>
      <c r="B954" s="83"/>
      <c r="C954" s="222"/>
      <c r="D954" s="222"/>
      <c r="E954" s="223"/>
    </row>
    <row r="955" spans="1:5" ht="15.75">
      <c r="A955" s="224"/>
      <c r="B955" s="83"/>
      <c r="C955" s="222"/>
      <c r="D955" s="222"/>
      <c r="E955" s="223"/>
    </row>
    <row r="956" spans="1:5" ht="15.75">
      <c r="A956" s="224"/>
      <c r="B956" s="83"/>
      <c r="C956" s="222"/>
      <c r="D956" s="222"/>
      <c r="E956" s="223"/>
    </row>
    <row r="957" spans="1:5" ht="15.75">
      <c r="A957" s="224"/>
      <c r="B957" s="83"/>
      <c r="C957" s="222"/>
      <c r="D957" s="222"/>
      <c r="E957" s="223"/>
    </row>
    <row r="958" spans="1:5" ht="15.75">
      <c r="A958" s="224"/>
      <c r="B958" s="83"/>
      <c r="C958" s="222"/>
      <c r="D958" s="222"/>
      <c r="E958" s="223"/>
    </row>
    <row r="959" spans="1:5" ht="15.75">
      <c r="A959" s="224"/>
      <c r="B959" s="83"/>
      <c r="C959" s="222"/>
      <c r="D959" s="222"/>
      <c r="E959" s="223"/>
    </row>
    <row r="960" spans="1:5" ht="15.75">
      <c r="A960" s="224"/>
      <c r="B960" s="83"/>
      <c r="C960" s="222"/>
      <c r="D960" s="222"/>
      <c r="E960" s="223"/>
    </row>
    <row r="961" spans="1:5" ht="15.75">
      <c r="A961" s="224"/>
      <c r="B961" s="83"/>
      <c r="C961" s="222"/>
      <c r="D961" s="222"/>
      <c r="E961" s="223"/>
    </row>
    <row r="962" spans="1:5" ht="15.75">
      <c r="A962" s="224"/>
      <c r="B962" s="83"/>
      <c r="C962" s="222"/>
      <c r="D962" s="222"/>
      <c r="E962" s="223"/>
    </row>
    <row r="963" spans="1:5" ht="15.75">
      <c r="A963" s="224"/>
      <c r="B963" s="83"/>
      <c r="C963" s="222"/>
      <c r="D963" s="222"/>
      <c r="E963" s="223"/>
    </row>
    <row r="964" spans="1:5" ht="15.75">
      <c r="A964" s="224"/>
      <c r="B964" s="83"/>
      <c r="C964" s="222"/>
      <c r="D964" s="222"/>
      <c r="E964" s="223"/>
    </row>
    <row r="965" spans="1:5" ht="15.75">
      <c r="A965" s="224"/>
      <c r="B965" s="83"/>
      <c r="C965" s="222"/>
      <c r="D965" s="222"/>
      <c r="E965" s="223"/>
    </row>
    <row r="966" spans="1:5" ht="15.75">
      <c r="A966" s="224"/>
      <c r="B966" s="83"/>
      <c r="C966" s="222"/>
      <c r="D966" s="222"/>
      <c r="E966" s="223"/>
    </row>
    <row r="967" spans="1:5" ht="15.75">
      <c r="A967" s="224"/>
      <c r="B967" s="83"/>
      <c r="C967" s="222"/>
      <c r="D967" s="222"/>
      <c r="E967" s="223"/>
    </row>
    <row r="968" spans="1:5" ht="15.75">
      <c r="A968" s="224"/>
      <c r="B968" s="83"/>
      <c r="C968" s="222"/>
      <c r="D968" s="222"/>
      <c r="E968" s="223"/>
    </row>
    <row r="969" spans="1:5" ht="15.75">
      <c r="A969" s="224"/>
      <c r="B969" s="83"/>
      <c r="C969" s="222"/>
      <c r="D969" s="222"/>
      <c r="E969" s="223"/>
    </row>
    <row r="970" spans="1:5" ht="15.75">
      <c r="A970" s="224"/>
      <c r="B970" s="83"/>
      <c r="C970" s="222"/>
      <c r="D970" s="222"/>
      <c r="E970" s="223"/>
    </row>
    <row r="971" spans="1:5" ht="15.75">
      <c r="A971" s="224"/>
      <c r="B971" s="83"/>
      <c r="C971" s="222"/>
      <c r="D971" s="222"/>
      <c r="E971" s="223"/>
    </row>
    <row r="972" spans="1:5" ht="15.75">
      <c r="A972" s="224"/>
      <c r="B972" s="83"/>
      <c r="C972" s="222"/>
      <c r="D972" s="222"/>
      <c r="E972" s="223"/>
    </row>
    <row r="973" spans="1:5" ht="15.75">
      <c r="A973" s="224"/>
      <c r="B973" s="83"/>
      <c r="C973" s="222"/>
      <c r="D973" s="222"/>
      <c r="E973" s="223"/>
    </row>
    <row r="974" spans="1:5" ht="15.75">
      <c r="A974" s="224"/>
      <c r="B974" s="83"/>
      <c r="C974" s="222"/>
      <c r="D974" s="222"/>
      <c r="E974" s="223"/>
    </row>
    <row r="975" spans="1:5" ht="15.75">
      <c r="A975" s="224"/>
      <c r="B975" s="83"/>
      <c r="C975" s="222"/>
      <c r="D975" s="222"/>
      <c r="E975" s="223"/>
    </row>
    <row r="976" spans="1:5" ht="15.75">
      <c r="A976" s="224"/>
      <c r="B976" s="83"/>
      <c r="C976" s="222"/>
      <c r="D976" s="222"/>
      <c r="E976" s="223"/>
    </row>
    <row r="977" spans="1:5" ht="15.75">
      <c r="A977" s="224"/>
      <c r="B977" s="83"/>
      <c r="C977" s="222"/>
      <c r="D977" s="222"/>
      <c r="E977" s="223"/>
    </row>
    <row r="978" spans="1:5" ht="15.75">
      <c r="A978" s="224"/>
      <c r="B978" s="83"/>
      <c r="C978" s="222"/>
      <c r="D978" s="222"/>
      <c r="E978" s="223"/>
    </row>
    <row r="979" spans="1:5" ht="15.75">
      <c r="A979" s="224"/>
      <c r="B979" s="83"/>
      <c r="C979" s="222"/>
      <c r="D979" s="222"/>
      <c r="E979" s="223"/>
    </row>
    <row r="980" spans="1:5" ht="15.75">
      <c r="A980" s="224"/>
      <c r="B980" s="83"/>
      <c r="C980" s="222"/>
      <c r="D980" s="222"/>
      <c r="E980" s="223"/>
    </row>
    <row r="981" spans="1:5" ht="15.75">
      <c r="A981" s="224"/>
      <c r="B981" s="83"/>
      <c r="C981" s="222"/>
      <c r="D981" s="222"/>
      <c r="E981" s="223"/>
    </row>
    <row r="982" spans="1:5" ht="15.75">
      <c r="A982" s="224"/>
      <c r="B982" s="83"/>
      <c r="C982" s="222"/>
      <c r="D982" s="222"/>
      <c r="E982" s="223"/>
    </row>
    <row r="983" spans="1:5" ht="15.75">
      <c r="A983" s="224"/>
      <c r="B983" s="83"/>
      <c r="C983" s="222"/>
      <c r="D983" s="222"/>
      <c r="E983" s="223"/>
    </row>
    <row r="984" spans="1:5" ht="15.75">
      <c r="A984" s="224"/>
      <c r="B984" s="83"/>
      <c r="C984" s="222"/>
      <c r="D984" s="222"/>
      <c r="E984" s="223"/>
    </row>
    <row r="985" spans="1:5" ht="15.75">
      <c r="A985" s="224"/>
      <c r="B985" s="83"/>
      <c r="C985" s="222"/>
      <c r="D985" s="222"/>
      <c r="E985" s="223"/>
    </row>
    <row r="986" spans="1:5" ht="15.75">
      <c r="A986" s="224"/>
      <c r="B986" s="83"/>
      <c r="C986" s="222"/>
      <c r="D986" s="222"/>
      <c r="E986" s="223"/>
    </row>
    <row r="987" spans="1:5" ht="15.75">
      <c r="A987" s="224"/>
      <c r="B987" s="83"/>
      <c r="C987" s="222"/>
      <c r="D987" s="222"/>
      <c r="E987" s="223"/>
    </row>
    <row r="988" spans="1:5" ht="15.75">
      <c r="A988" s="224"/>
      <c r="B988" s="83"/>
      <c r="C988" s="222"/>
      <c r="D988" s="222"/>
      <c r="E988" s="223"/>
    </row>
    <row r="989" spans="1:5" ht="15.75">
      <c r="A989" s="224"/>
      <c r="B989" s="83"/>
      <c r="C989" s="222"/>
      <c r="D989" s="222"/>
      <c r="E989" s="223"/>
    </row>
    <row r="990" spans="1:5" ht="15.75">
      <c r="A990" s="224"/>
      <c r="B990" s="83"/>
      <c r="C990" s="222"/>
      <c r="D990" s="222"/>
      <c r="E990" s="223"/>
    </row>
    <row r="991" spans="1:5" ht="15.75">
      <c r="A991" s="224"/>
      <c r="B991" s="83"/>
      <c r="C991" s="222"/>
      <c r="D991" s="222"/>
      <c r="E991" s="223"/>
    </row>
    <row r="992" spans="1:5" ht="15.75">
      <c r="A992" s="224"/>
      <c r="B992" s="83"/>
      <c r="C992" s="222"/>
      <c r="D992" s="222"/>
      <c r="E992" s="223"/>
    </row>
    <row r="993" spans="1:5" ht="15.75">
      <c r="A993" s="224"/>
      <c r="B993" s="83"/>
      <c r="C993" s="222"/>
      <c r="D993" s="222"/>
      <c r="E993" s="223"/>
    </row>
    <row r="994" spans="1:5" ht="15.75">
      <c r="A994" s="224"/>
      <c r="B994" s="83"/>
      <c r="C994" s="222"/>
      <c r="D994" s="222"/>
      <c r="E994" s="223"/>
    </row>
    <row r="995" spans="1:5" ht="15.75">
      <c r="A995" s="224"/>
      <c r="B995" s="83"/>
      <c r="C995" s="222"/>
      <c r="D995" s="222"/>
      <c r="E995" s="223"/>
    </row>
    <row r="996" spans="1:5" ht="15.75">
      <c r="A996" s="224"/>
      <c r="B996" s="83"/>
      <c r="C996" s="222"/>
      <c r="D996" s="222"/>
      <c r="E996" s="223"/>
    </row>
    <row r="997" spans="1:5" ht="15.75">
      <c r="A997" s="224"/>
      <c r="B997" s="83"/>
      <c r="C997" s="222"/>
      <c r="D997" s="222"/>
      <c r="E997" s="223"/>
    </row>
    <row r="998" spans="1:5" ht="15.75">
      <c r="A998" s="224"/>
      <c r="B998" s="83"/>
      <c r="C998" s="222"/>
      <c r="D998" s="222"/>
      <c r="E998" s="223"/>
    </row>
    <row r="999" spans="1:5" ht="15.75">
      <c r="A999" s="224"/>
      <c r="B999" s="83"/>
      <c r="C999" s="222"/>
      <c r="D999" s="222"/>
      <c r="E999" s="223"/>
    </row>
    <row r="1000" spans="1:5" ht="15.75">
      <c r="A1000" s="224"/>
      <c r="B1000" s="83"/>
      <c r="C1000" s="222"/>
      <c r="D1000" s="222"/>
      <c r="E1000" s="223"/>
    </row>
    <row r="1001" spans="1:5" ht="15.75">
      <c r="A1001" s="224"/>
      <c r="B1001" s="83"/>
      <c r="C1001" s="222"/>
      <c r="D1001" s="222"/>
      <c r="E1001" s="223"/>
    </row>
    <row r="1002" spans="1:5" ht="15.75">
      <c r="A1002" s="224"/>
      <c r="B1002" s="83"/>
      <c r="C1002" s="222"/>
      <c r="D1002" s="222"/>
      <c r="E1002" s="223"/>
    </row>
    <row r="1003" spans="1:5" ht="15.75">
      <c r="A1003" s="224"/>
      <c r="B1003" s="83"/>
      <c r="C1003" s="222"/>
      <c r="D1003" s="222"/>
      <c r="E1003" s="223"/>
    </row>
    <row r="1004" spans="1:5" ht="15.75">
      <c r="A1004" s="224"/>
      <c r="B1004" s="83"/>
      <c r="C1004" s="222"/>
      <c r="D1004" s="222"/>
      <c r="E1004" s="223"/>
    </row>
    <row r="1005" spans="1:5" ht="15.75">
      <c r="A1005" s="224"/>
      <c r="B1005" s="83"/>
      <c r="C1005" s="222"/>
      <c r="D1005" s="222"/>
      <c r="E1005" s="223"/>
    </row>
    <row r="1006" spans="1:5" ht="15.75">
      <c r="A1006" s="224"/>
      <c r="B1006" s="83"/>
      <c r="C1006" s="222"/>
      <c r="D1006" s="222"/>
      <c r="E1006" s="223"/>
    </row>
    <row r="1007" spans="1:5" ht="15.75">
      <c r="A1007" s="224"/>
      <c r="B1007" s="83"/>
      <c r="C1007" s="222"/>
      <c r="D1007" s="222"/>
      <c r="E1007" s="223"/>
    </row>
    <row r="1008" spans="1:5" ht="15.75">
      <c r="A1008" s="224"/>
      <c r="B1008" s="83"/>
      <c r="C1008" s="222"/>
      <c r="D1008" s="222"/>
      <c r="E1008" s="223"/>
    </row>
    <row r="1009" spans="1:5" ht="15.75">
      <c r="A1009" s="224"/>
      <c r="B1009" s="83"/>
      <c r="C1009" s="222"/>
      <c r="D1009" s="222"/>
      <c r="E1009" s="223"/>
    </row>
    <row r="1010" spans="1:5" ht="15.75">
      <c r="A1010" s="224"/>
      <c r="B1010" s="83"/>
      <c r="C1010" s="222"/>
      <c r="D1010" s="222"/>
      <c r="E1010" s="223"/>
    </row>
    <row r="1011" spans="1:5" ht="15.75">
      <c r="A1011" s="224"/>
      <c r="B1011" s="83"/>
      <c r="C1011" s="222"/>
      <c r="D1011" s="222"/>
      <c r="E1011" s="223"/>
    </row>
    <row r="1012" spans="1:5" ht="15.75">
      <c r="A1012" s="224"/>
      <c r="B1012" s="83"/>
      <c r="C1012" s="222"/>
      <c r="D1012" s="222"/>
      <c r="E1012" s="223"/>
    </row>
    <row r="1013" spans="1:5" ht="15.75">
      <c r="A1013" s="224"/>
      <c r="B1013" s="83"/>
      <c r="C1013" s="222"/>
      <c r="D1013" s="222"/>
      <c r="E1013" s="223"/>
    </row>
    <row r="1014" spans="1:5" ht="15.75">
      <c r="A1014" s="224"/>
      <c r="B1014" s="83"/>
      <c r="C1014" s="222"/>
      <c r="D1014" s="222"/>
      <c r="E1014" s="223"/>
    </row>
    <row r="1015" spans="1:5" ht="15.75">
      <c r="A1015" s="224"/>
      <c r="B1015" s="83"/>
      <c r="C1015" s="222"/>
      <c r="D1015" s="222"/>
      <c r="E1015" s="223"/>
    </row>
    <row r="1016" spans="1:5" ht="15.75">
      <c r="A1016" s="224"/>
      <c r="B1016" s="83"/>
      <c r="C1016" s="222"/>
      <c r="D1016" s="222"/>
      <c r="E1016" s="223"/>
    </row>
    <row r="1017" spans="1:5" ht="15.75">
      <c r="A1017" s="224"/>
      <c r="B1017" s="83"/>
      <c r="C1017" s="222"/>
      <c r="D1017" s="222"/>
      <c r="E1017" s="223"/>
    </row>
    <row r="1018" spans="1:5" ht="15.75">
      <c r="A1018" s="224"/>
      <c r="B1018" s="83"/>
      <c r="C1018" s="222"/>
      <c r="D1018" s="222"/>
      <c r="E1018" s="223"/>
    </row>
    <row r="1019" spans="1:5" ht="15.75">
      <c r="A1019" s="224"/>
      <c r="B1019" s="83"/>
      <c r="C1019" s="222"/>
      <c r="D1019" s="222"/>
      <c r="E1019" s="223"/>
    </row>
    <row r="1020" spans="1:5" ht="15.75">
      <c r="A1020" s="224"/>
      <c r="B1020" s="83"/>
      <c r="C1020" s="222"/>
      <c r="D1020" s="222"/>
      <c r="E1020" s="223"/>
    </row>
    <row r="1021" spans="1:5" ht="15.75">
      <c r="A1021" s="224"/>
      <c r="B1021" s="83"/>
      <c r="C1021" s="222"/>
      <c r="D1021" s="222"/>
      <c r="E1021" s="223"/>
    </row>
    <row r="1022" spans="1:5" ht="15.75">
      <c r="A1022" s="224"/>
      <c r="B1022" s="83"/>
      <c r="C1022" s="222"/>
      <c r="D1022" s="222"/>
      <c r="E1022" s="223"/>
    </row>
    <row r="1023" spans="1:5" ht="15.75">
      <c r="A1023" s="224"/>
      <c r="B1023" s="83"/>
      <c r="C1023" s="222"/>
      <c r="D1023" s="222"/>
      <c r="E1023" s="223"/>
    </row>
    <row r="1024" spans="1:5" ht="15.75">
      <c r="A1024" s="224"/>
      <c r="B1024" s="83"/>
      <c r="C1024" s="222"/>
      <c r="D1024" s="222"/>
      <c r="E1024" s="223"/>
    </row>
    <row r="1025" spans="1:5" ht="15.75">
      <c r="A1025" s="224"/>
      <c r="B1025" s="83"/>
      <c r="C1025" s="222"/>
      <c r="D1025" s="222"/>
      <c r="E1025" s="223"/>
    </row>
    <row r="1026" spans="1:5" ht="15.75">
      <c r="A1026" s="224"/>
      <c r="B1026" s="83"/>
      <c r="C1026" s="222"/>
      <c r="D1026" s="222"/>
      <c r="E1026" s="223"/>
    </row>
    <row r="1027" spans="1:5" ht="15.75">
      <c r="A1027" s="224"/>
      <c r="B1027" s="83"/>
      <c r="C1027" s="222"/>
      <c r="D1027" s="222"/>
      <c r="E1027" s="223"/>
    </row>
    <row r="1028" spans="1:5" ht="15.75">
      <c r="A1028" s="224"/>
      <c r="B1028" s="83"/>
      <c r="C1028" s="222"/>
      <c r="D1028" s="222"/>
      <c r="E1028" s="223"/>
    </row>
    <row r="1029" spans="1:5" ht="15.75">
      <c r="A1029" s="224"/>
      <c r="B1029" s="83"/>
      <c r="C1029" s="222"/>
      <c r="D1029" s="222"/>
      <c r="E1029" s="223"/>
    </row>
    <row r="1030" spans="1:5" ht="15.75">
      <c r="A1030" s="224"/>
      <c r="B1030" s="83"/>
      <c r="C1030" s="222"/>
      <c r="D1030" s="222"/>
      <c r="E1030" s="223"/>
    </row>
    <row r="1031" spans="1:5" ht="15.75">
      <c r="A1031" s="224"/>
      <c r="B1031" s="83"/>
      <c r="C1031" s="222"/>
      <c r="D1031" s="222"/>
      <c r="E1031" s="223"/>
    </row>
    <row r="1032" spans="1:5" ht="15.75">
      <c r="A1032" s="224"/>
      <c r="B1032" s="83"/>
      <c r="C1032" s="222"/>
      <c r="D1032" s="222"/>
      <c r="E1032" s="223"/>
    </row>
    <row r="1033" spans="1:5" ht="15.75">
      <c r="A1033" s="224"/>
      <c r="B1033" s="83"/>
      <c r="C1033" s="222"/>
      <c r="D1033" s="222"/>
      <c r="E1033" s="223"/>
    </row>
    <row r="1034" spans="1:5" ht="15.75">
      <c r="A1034" s="224"/>
      <c r="B1034" s="83"/>
      <c r="C1034" s="222"/>
      <c r="D1034" s="222"/>
      <c r="E1034" s="223"/>
    </row>
    <row r="1035" spans="1:5" ht="15.75">
      <c r="A1035" s="224"/>
      <c r="B1035" s="83"/>
      <c r="C1035" s="222"/>
      <c r="D1035" s="222"/>
      <c r="E1035" s="223"/>
    </row>
    <row r="1036" spans="1:5" ht="15.75">
      <c r="A1036" s="224"/>
      <c r="B1036" s="83"/>
      <c r="C1036" s="222"/>
      <c r="D1036" s="222"/>
      <c r="E1036" s="223"/>
    </row>
    <row r="1037" spans="1:5" ht="15.75">
      <c r="A1037" s="224"/>
      <c r="B1037" s="83"/>
      <c r="C1037" s="222"/>
      <c r="D1037" s="222"/>
      <c r="E1037" s="223"/>
    </row>
    <row r="1038" spans="1:5" ht="15.75">
      <c r="A1038" s="224"/>
      <c r="B1038" s="83"/>
      <c r="C1038" s="222"/>
      <c r="D1038" s="222"/>
      <c r="E1038" s="223"/>
    </row>
    <row r="1039" spans="1:5" ht="15.75">
      <c r="A1039" s="224"/>
      <c r="B1039" s="83"/>
      <c r="C1039" s="222"/>
      <c r="D1039" s="222"/>
      <c r="E1039" s="223"/>
    </row>
    <row r="1040" spans="1:5" ht="15.75">
      <c r="A1040" s="224"/>
      <c r="B1040" s="83"/>
      <c r="C1040" s="222"/>
      <c r="D1040" s="222"/>
      <c r="E1040" s="223"/>
    </row>
    <row r="1041" spans="1:5" ht="15.75">
      <c r="A1041" s="224"/>
      <c r="B1041" s="83"/>
      <c r="C1041" s="222"/>
      <c r="D1041" s="222"/>
      <c r="E1041" s="223"/>
    </row>
    <row r="1042" spans="1:5" ht="15.75">
      <c r="A1042" s="224"/>
      <c r="B1042" s="83"/>
      <c r="C1042" s="222"/>
      <c r="D1042" s="222"/>
      <c r="E1042" s="223"/>
    </row>
    <row r="1043" spans="1:5" ht="15.75">
      <c r="A1043" s="224"/>
      <c r="B1043" s="83"/>
      <c r="C1043" s="222"/>
      <c r="D1043" s="222"/>
      <c r="E1043" s="223"/>
    </row>
    <row r="1044" spans="1:5" ht="15.75">
      <c r="A1044" s="224"/>
      <c r="B1044" s="83"/>
      <c r="C1044" s="222"/>
      <c r="D1044" s="222"/>
      <c r="E1044" s="223"/>
    </row>
    <row r="1045" spans="1:5" ht="15.75">
      <c r="A1045" s="224"/>
      <c r="B1045" s="83"/>
      <c r="C1045" s="222"/>
      <c r="D1045" s="222"/>
      <c r="E1045" s="223"/>
    </row>
    <row r="1046" spans="1:5" ht="15.75">
      <c r="A1046" s="224"/>
      <c r="B1046" s="83"/>
      <c r="C1046" s="222"/>
      <c r="D1046" s="222"/>
      <c r="E1046" s="223"/>
    </row>
    <row r="1047" spans="1:5" ht="15.75">
      <c r="A1047" s="224"/>
      <c r="B1047" s="83"/>
      <c r="C1047" s="222"/>
      <c r="D1047" s="222"/>
      <c r="E1047" s="223"/>
    </row>
    <row r="1048" spans="1:5" ht="15.75">
      <c r="A1048" s="224"/>
      <c r="B1048" s="83"/>
      <c r="C1048" s="222"/>
      <c r="D1048" s="222"/>
      <c r="E1048" s="223"/>
    </row>
    <row r="1049" spans="1:5" ht="15.75">
      <c r="A1049" s="224"/>
      <c r="B1049" s="83"/>
      <c r="C1049" s="222"/>
      <c r="D1049" s="222"/>
      <c r="E1049" s="223"/>
    </row>
    <row r="1050" spans="1:5" ht="15.75">
      <c r="A1050" s="224"/>
      <c r="B1050" s="83"/>
      <c r="C1050" s="222"/>
      <c r="D1050" s="222"/>
      <c r="E1050" s="223"/>
    </row>
    <row r="1051" spans="1:5" ht="15.75">
      <c r="A1051" s="224"/>
      <c r="B1051" s="83"/>
      <c r="C1051" s="222"/>
      <c r="D1051" s="222"/>
      <c r="E1051" s="223"/>
    </row>
    <row r="1052" spans="1:5" ht="15.75">
      <c r="A1052" s="224"/>
      <c r="B1052" s="83"/>
      <c r="C1052" s="222"/>
      <c r="D1052" s="222"/>
      <c r="E1052" s="223"/>
    </row>
    <row r="1053" spans="1:5" ht="15.75">
      <c r="A1053" s="224"/>
      <c r="B1053" s="83"/>
      <c r="C1053" s="222"/>
      <c r="D1053" s="222"/>
      <c r="E1053" s="223"/>
    </row>
    <row r="1054" spans="1:5" ht="15.75">
      <c r="A1054" s="224"/>
      <c r="B1054" s="83"/>
      <c r="C1054" s="222"/>
      <c r="D1054" s="222"/>
      <c r="E1054" s="223"/>
    </row>
    <row r="1055" spans="1:5" ht="15.75">
      <c r="A1055" s="224"/>
      <c r="B1055" s="83"/>
      <c r="C1055" s="222"/>
      <c r="D1055" s="222"/>
      <c r="E1055" s="223"/>
    </row>
    <row r="1056" spans="1:5" ht="15.75">
      <c r="A1056" s="224"/>
      <c r="B1056" s="83"/>
      <c r="C1056" s="222"/>
      <c r="D1056" s="222"/>
      <c r="E1056" s="223"/>
    </row>
    <row r="1057" spans="1:5" ht="15.75">
      <c r="A1057" s="224"/>
      <c r="B1057" s="83"/>
      <c r="C1057" s="222"/>
      <c r="D1057" s="222"/>
      <c r="E1057" s="223"/>
    </row>
    <row r="1058" spans="1:5" ht="15.75">
      <c r="A1058" s="224"/>
      <c r="B1058" s="83"/>
      <c r="C1058" s="222"/>
      <c r="D1058" s="222"/>
      <c r="E1058" s="223"/>
    </row>
    <row r="1059" spans="1:5" ht="15.75">
      <c r="A1059" s="224"/>
      <c r="B1059" s="83"/>
      <c r="C1059" s="222"/>
      <c r="D1059" s="222"/>
      <c r="E1059" s="223"/>
    </row>
    <row r="1060" spans="1:5" ht="15.75">
      <c r="A1060" s="224"/>
      <c r="B1060" s="83"/>
      <c r="C1060" s="222"/>
      <c r="D1060" s="222"/>
      <c r="E1060" s="223"/>
    </row>
    <row r="1061" spans="1:5" ht="15.75">
      <c r="A1061" s="224"/>
      <c r="B1061" s="83"/>
      <c r="C1061" s="222"/>
      <c r="D1061" s="222"/>
      <c r="E1061" s="223"/>
    </row>
    <row r="1062" spans="1:5" ht="15.75">
      <c r="A1062" s="224"/>
      <c r="B1062" s="83"/>
      <c r="C1062" s="222"/>
      <c r="D1062" s="222"/>
      <c r="E1062" s="223"/>
    </row>
    <row r="1063" spans="1:5" ht="15.75">
      <c r="A1063" s="224"/>
      <c r="B1063" s="83"/>
      <c r="C1063" s="222"/>
      <c r="D1063" s="222"/>
      <c r="E1063" s="223"/>
    </row>
    <row r="1064" spans="1:5" ht="15.75">
      <c r="A1064" s="224"/>
      <c r="B1064" s="83"/>
      <c r="C1064" s="222"/>
      <c r="D1064" s="222"/>
      <c r="E1064" s="223"/>
    </row>
    <row r="1065" spans="1:5" ht="15.75">
      <c r="A1065" s="224"/>
      <c r="B1065" s="83"/>
      <c r="C1065" s="222"/>
      <c r="D1065" s="222"/>
      <c r="E1065" s="223"/>
    </row>
    <row r="1066" spans="1:5" ht="15.75">
      <c r="A1066" s="224"/>
      <c r="B1066" s="83"/>
      <c r="C1066" s="222"/>
      <c r="D1066" s="222"/>
      <c r="E1066" s="223"/>
    </row>
    <row r="1067" spans="1:5" ht="15.75">
      <c r="A1067" s="224"/>
      <c r="B1067" s="83"/>
      <c r="C1067" s="222"/>
      <c r="D1067" s="222"/>
      <c r="E1067" s="223"/>
    </row>
    <row r="1068" spans="1:5" ht="15.75">
      <c r="A1068" s="224"/>
      <c r="B1068" s="83"/>
      <c r="C1068" s="222"/>
      <c r="D1068" s="222"/>
      <c r="E1068" s="223"/>
    </row>
    <row r="1069" spans="1:5" ht="15.75">
      <c r="A1069" s="224"/>
      <c r="B1069" s="83"/>
      <c r="C1069" s="222"/>
      <c r="D1069" s="222"/>
      <c r="E1069" s="223"/>
    </row>
    <row r="1070" spans="1:5" ht="15.75">
      <c r="A1070" s="224"/>
      <c r="B1070" s="83"/>
      <c r="C1070" s="222"/>
      <c r="D1070" s="222"/>
      <c r="E1070" s="223"/>
    </row>
    <row r="1071" spans="1:5" ht="15.75">
      <c r="A1071" s="224"/>
      <c r="B1071" s="83"/>
      <c r="C1071" s="222"/>
      <c r="D1071" s="222"/>
      <c r="E1071" s="223"/>
    </row>
    <row r="1072" spans="1:5" ht="15.75">
      <c r="A1072" s="224"/>
      <c r="B1072" s="83"/>
      <c r="C1072" s="222"/>
      <c r="D1072" s="222"/>
      <c r="E1072" s="223"/>
    </row>
    <row r="1073" spans="1:5" ht="15.75">
      <c r="A1073" s="224"/>
      <c r="B1073" s="83"/>
      <c r="C1073" s="222"/>
      <c r="D1073" s="222"/>
      <c r="E1073" s="223"/>
    </row>
    <row r="1074" spans="1:5" ht="15.75">
      <c r="A1074" s="224"/>
      <c r="B1074" s="83"/>
      <c r="C1074" s="222"/>
      <c r="D1074" s="222"/>
      <c r="E1074" s="223"/>
    </row>
    <row r="1075" spans="1:5" ht="15.75">
      <c r="A1075" s="224"/>
      <c r="B1075" s="83"/>
      <c r="C1075" s="222"/>
      <c r="D1075" s="222"/>
      <c r="E1075" s="223"/>
    </row>
    <row r="1076" spans="1:5" ht="15.75">
      <c r="A1076" s="224"/>
      <c r="B1076" s="83"/>
      <c r="C1076" s="222"/>
      <c r="D1076" s="222"/>
      <c r="E1076" s="223"/>
    </row>
    <row r="1077" spans="1:5" ht="15.75">
      <c r="A1077" s="224"/>
      <c r="B1077" s="83"/>
      <c r="C1077" s="222"/>
      <c r="D1077" s="222"/>
      <c r="E1077" s="223"/>
    </row>
    <row r="1078" spans="1:5" ht="15.75">
      <c r="A1078" s="224"/>
      <c r="B1078" s="83"/>
      <c r="C1078" s="222"/>
      <c r="D1078" s="222"/>
      <c r="E1078" s="223"/>
    </row>
    <row r="1079" spans="1:5" ht="15.75">
      <c r="A1079" s="224"/>
      <c r="B1079" s="83"/>
      <c r="C1079" s="222"/>
      <c r="D1079" s="222"/>
      <c r="E1079" s="223"/>
    </row>
    <row r="1080" spans="1:5" ht="15.75">
      <c r="A1080" s="224"/>
      <c r="B1080" s="83"/>
      <c r="C1080" s="222"/>
      <c r="D1080" s="222"/>
      <c r="E1080" s="223"/>
    </row>
    <row r="1081" spans="1:5" ht="15.75">
      <c r="A1081" s="224"/>
      <c r="B1081" s="83"/>
      <c r="C1081" s="222"/>
      <c r="D1081" s="222"/>
      <c r="E1081" s="223"/>
    </row>
    <row r="1082" spans="1:5" ht="15.75">
      <c r="A1082" s="224"/>
      <c r="B1082" s="83"/>
      <c r="C1082" s="222"/>
      <c r="D1082" s="222"/>
      <c r="E1082" s="223"/>
    </row>
    <row r="1083" spans="1:5" ht="15.75">
      <c r="A1083" s="224"/>
      <c r="B1083" s="83"/>
      <c r="C1083" s="222"/>
      <c r="D1083" s="222"/>
      <c r="E1083" s="223"/>
    </row>
    <row r="1084" spans="1:5" ht="15.75">
      <c r="A1084" s="224"/>
      <c r="B1084" s="83"/>
      <c r="C1084" s="222"/>
      <c r="D1084" s="222"/>
      <c r="E1084" s="223"/>
    </row>
    <row r="1085" spans="1:5" ht="15.75">
      <c r="A1085" s="224"/>
      <c r="B1085" s="83"/>
      <c r="C1085" s="222"/>
      <c r="D1085" s="222"/>
      <c r="E1085" s="223"/>
    </row>
    <row r="1086" spans="1:5" ht="15.75">
      <c r="A1086" s="224"/>
      <c r="B1086" s="83"/>
      <c r="C1086" s="222"/>
      <c r="D1086" s="222"/>
      <c r="E1086" s="223"/>
    </row>
    <row r="1087" spans="1:5" ht="15.75">
      <c r="A1087" s="224"/>
      <c r="B1087" s="83"/>
      <c r="C1087" s="222"/>
      <c r="D1087" s="222"/>
      <c r="E1087" s="223"/>
    </row>
    <row r="1088" spans="1:5" ht="15.75">
      <c r="A1088" s="224"/>
      <c r="B1088" s="83"/>
      <c r="C1088" s="222"/>
      <c r="D1088" s="222"/>
      <c r="E1088" s="223"/>
    </row>
    <row r="1089" spans="1:5" ht="15.75">
      <c r="A1089" s="224"/>
      <c r="B1089" s="83"/>
      <c r="C1089" s="222"/>
      <c r="D1089" s="222"/>
      <c r="E1089" s="223"/>
    </row>
    <row r="1090" spans="1:5" ht="15.75">
      <c r="A1090" s="224"/>
      <c r="B1090" s="83"/>
      <c r="C1090" s="222"/>
      <c r="D1090" s="222"/>
      <c r="E1090" s="223"/>
    </row>
    <row r="1091" spans="1:5" ht="15.75">
      <c r="A1091" s="224"/>
      <c r="B1091" s="83"/>
      <c r="C1091" s="222"/>
      <c r="D1091" s="222"/>
      <c r="E1091" s="223"/>
    </row>
    <row r="1092" spans="1:5" ht="15.75">
      <c r="A1092" s="224"/>
      <c r="B1092" s="83"/>
      <c r="C1092" s="222"/>
      <c r="D1092" s="222"/>
      <c r="E1092" s="223"/>
    </row>
    <row r="1093" spans="1:5" ht="15.75">
      <c r="A1093" s="224"/>
      <c r="B1093" s="83"/>
      <c r="C1093" s="222"/>
      <c r="D1093" s="222"/>
      <c r="E1093" s="223"/>
    </row>
    <row r="1094" spans="1:5" ht="15.75">
      <c r="A1094" s="224"/>
      <c r="B1094" s="83"/>
      <c r="C1094" s="222"/>
      <c r="D1094" s="222"/>
      <c r="E1094" s="223"/>
    </row>
    <row r="1095" spans="1:5" ht="15.75">
      <c r="A1095" s="224"/>
      <c r="B1095" s="83"/>
      <c r="C1095" s="222"/>
      <c r="D1095" s="222"/>
      <c r="E1095" s="223"/>
    </row>
    <row r="1096" spans="1:5" ht="15.75">
      <c r="A1096" s="224"/>
      <c r="B1096" s="83"/>
      <c r="C1096" s="222"/>
      <c r="D1096" s="222"/>
      <c r="E1096" s="223"/>
    </row>
    <row r="1097" spans="1:5" ht="15.75">
      <c r="A1097" s="224"/>
      <c r="B1097" s="83"/>
      <c r="C1097" s="222"/>
      <c r="D1097" s="222"/>
      <c r="E1097" s="223"/>
    </row>
    <row r="1098" spans="1:5" ht="15.75">
      <c r="A1098" s="224"/>
      <c r="B1098" s="83"/>
      <c r="C1098" s="222"/>
      <c r="D1098" s="222"/>
      <c r="E1098" s="223"/>
    </row>
    <row r="1099" spans="1:5" ht="15.75">
      <c r="A1099" s="224"/>
      <c r="B1099" s="83"/>
      <c r="C1099" s="222"/>
      <c r="D1099" s="222"/>
      <c r="E1099" s="223"/>
    </row>
    <row r="1100" spans="1:5" ht="15.75">
      <c r="A1100" s="224"/>
      <c r="B1100" s="83"/>
      <c r="C1100" s="222"/>
      <c r="D1100" s="222"/>
      <c r="E1100" s="223"/>
    </row>
    <row r="1101" spans="1:5" ht="15.75">
      <c r="A1101" s="224"/>
      <c r="B1101" s="83"/>
      <c r="C1101" s="222"/>
      <c r="D1101" s="222"/>
      <c r="E1101" s="223"/>
    </row>
    <row r="1102" spans="1:5" ht="15.75">
      <c r="A1102" s="224"/>
      <c r="B1102" s="83"/>
      <c r="C1102" s="222"/>
      <c r="D1102" s="222"/>
      <c r="E1102" s="223"/>
    </row>
    <row r="1103" spans="1:5" ht="15.75">
      <c r="A1103" s="224"/>
      <c r="B1103" s="83"/>
      <c r="C1103" s="222"/>
      <c r="D1103" s="222"/>
      <c r="E1103" s="223"/>
    </row>
    <row r="1104" spans="1:5" ht="15.75">
      <c r="A1104" s="224"/>
      <c r="B1104" s="83"/>
      <c r="C1104" s="222"/>
      <c r="D1104" s="222"/>
      <c r="E1104" s="223"/>
    </row>
    <row r="1105" spans="1:5" ht="15.75">
      <c r="A1105" s="224"/>
      <c r="B1105" s="83"/>
      <c r="C1105" s="222"/>
      <c r="D1105" s="222"/>
      <c r="E1105" s="223"/>
    </row>
    <row r="1106" spans="1:5" ht="15.75">
      <c r="A1106" s="224"/>
      <c r="B1106" s="83"/>
      <c r="C1106" s="222"/>
      <c r="D1106" s="222"/>
      <c r="E1106" s="223"/>
    </row>
    <row r="1107" spans="1:5" ht="15.75">
      <c r="A1107" s="224"/>
      <c r="B1107" s="83"/>
      <c r="C1107" s="222"/>
      <c r="D1107" s="222"/>
      <c r="E1107" s="223"/>
    </row>
    <row r="1108" spans="1:5" ht="15.75">
      <c r="A1108" s="224"/>
      <c r="B1108" s="83"/>
      <c r="C1108" s="222"/>
      <c r="D1108" s="222"/>
      <c r="E1108" s="223"/>
    </row>
    <row r="1109" spans="1:5" ht="15.75">
      <c r="A1109" s="224"/>
      <c r="B1109" s="83"/>
      <c r="C1109" s="222"/>
      <c r="D1109" s="222"/>
      <c r="E1109" s="223"/>
    </row>
    <row r="1110" spans="1:5" ht="15.75">
      <c r="A1110" s="224"/>
      <c r="B1110" s="83"/>
      <c r="C1110" s="222"/>
      <c r="D1110" s="222"/>
      <c r="E1110" s="223"/>
    </row>
    <row r="1111" spans="1:5" ht="15.75">
      <c r="A1111" s="224"/>
      <c r="B1111" s="83"/>
      <c r="C1111" s="222"/>
      <c r="D1111" s="222"/>
      <c r="E1111" s="223"/>
    </row>
    <row r="1112" spans="1:5" ht="15.75">
      <c r="A1112" s="224"/>
      <c r="B1112" s="83"/>
      <c r="C1112" s="222"/>
      <c r="D1112" s="222"/>
      <c r="E1112" s="223"/>
    </row>
    <row r="1113" spans="1:5" ht="15.75">
      <c r="A1113" s="224"/>
      <c r="B1113" s="83"/>
      <c r="C1113" s="222"/>
      <c r="D1113" s="222"/>
      <c r="E1113" s="223"/>
    </row>
    <row r="1114" spans="1:5" ht="15.75">
      <c r="A1114" s="224"/>
      <c r="B1114" s="83"/>
      <c r="C1114" s="222"/>
      <c r="D1114" s="222"/>
      <c r="E1114" s="223"/>
    </row>
    <row r="1115" spans="1:5" ht="15.75">
      <c r="A1115" s="224"/>
      <c r="B1115" s="83"/>
      <c r="C1115" s="222"/>
      <c r="D1115" s="222"/>
      <c r="E1115" s="223"/>
    </row>
    <row r="1116" spans="1:5" ht="15.75">
      <c r="A1116" s="224"/>
      <c r="B1116" s="83"/>
      <c r="C1116" s="222"/>
      <c r="D1116" s="222"/>
      <c r="E1116" s="223"/>
    </row>
    <row r="1117" spans="1:5" ht="15.75">
      <c r="A1117" s="224"/>
      <c r="B1117" s="83"/>
      <c r="C1117" s="222"/>
      <c r="D1117" s="222"/>
      <c r="E1117" s="223"/>
    </row>
    <row r="1118" spans="1:5" ht="15.75">
      <c r="A1118" s="224"/>
      <c r="B1118" s="83"/>
      <c r="C1118" s="222"/>
      <c r="D1118" s="222"/>
      <c r="E1118" s="223"/>
    </row>
    <row r="1119" spans="1:5" ht="15.75">
      <c r="A1119" s="224"/>
      <c r="B1119" s="83"/>
      <c r="C1119" s="222"/>
      <c r="D1119" s="222"/>
      <c r="E1119" s="223"/>
    </row>
    <row r="1120" spans="1:5" ht="15.75">
      <c r="A1120" s="224"/>
      <c r="B1120" s="83"/>
      <c r="C1120" s="222"/>
      <c r="D1120" s="222"/>
      <c r="E1120" s="223"/>
    </row>
    <row r="1121" spans="1:5" ht="15.75">
      <c r="A1121" s="224"/>
      <c r="B1121" s="83"/>
      <c r="C1121" s="222"/>
      <c r="D1121" s="222"/>
      <c r="E1121" s="223"/>
    </row>
    <row r="1122" spans="1:5" ht="15.75">
      <c r="A1122" s="224"/>
      <c r="B1122" s="83"/>
      <c r="C1122" s="222"/>
      <c r="D1122" s="222"/>
      <c r="E1122" s="223"/>
    </row>
    <row r="1123" spans="1:5" ht="15.75">
      <c r="A1123" s="224"/>
      <c r="B1123" s="83"/>
      <c r="C1123" s="222"/>
      <c r="D1123" s="222"/>
      <c r="E1123" s="223"/>
    </row>
    <row r="1124" spans="1:5" ht="15.75">
      <c r="A1124" s="224"/>
      <c r="B1124" s="83"/>
      <c r="C1124" s="222"/>
      <c r="D1124" s="222"/>
      <c r="E1124" s="223"/>
    </row>
    <row r="1125" spans="1:5" ht="15.75">
      <c r="A1125" s="224"/>
      <c r="B1125" s="83"/>
      <c r="C1125" s="222"/>
      <c r="D1125" s="222"/>
      <c r="E1125" s="223"/>
    </row>
    <row r="1126" spans="1:5" ht="15.75">
      <c r="A1126" s="224"/>
      <c r="B1126" s="83"/>
      <c r="C1126" s="222"/>
      <c r="D1126" s="222"/>
      <c r="E1126" s="223"/>
    </row>
    <row r="1127" spans="1:5" ht="15.75">
      <c r="A1127" s="224"/>
      <c r="B1127" s="83"/>
      <c r="C1127" s="222"/>
      <c r="D1127" s="222"/>
      <c r="E1127" s="223"/>
    </row>
    <row r="1128" spans="1:5" ht="15.75">
      <c r="A1128" s="224"/>
      <c r="B1128" s="83"/>
      <c r="C1128" s="222"/>
      <c r="D1128" s="222"/>
      <c r="E1128" s="223"/>
    </row>
    <row r="1129" spans="1:5" ht="15.75">
      <c r="A1129" s="224"/>
      <c r="B1129" s="83"/>
      <c r="C1129" s="222"/>
      <c r="D1129" s="222"/>
      <c r="E1129" s="223"/>
    </row>
    <row r="1130" spans="1:5" ht="15.75">
      <c r="A1130" s="224"/>
      <c r="B1130" s="83"/>
      <c r="C1130" s="222"/>
      <c r="D1130" s="222"/>
      <c r="E1130" s="223"/>
    </row>
    <row r="1131" spans="1:5" ht="15.75">
      <c r="A1131" s="224"/>
      <c r="B1131" s="83"/>
      <c r="C1131" s="222"/>
      <c r="D1131" s="222"/>
      <c r="E1131" s="223"/>
    </row>
    <row r="1132" spans="1:5" ht="15.75">
      <c r="A1132" s="224"/>
      <c r="B1132" s="83"/>
      <c r="C1132" s="222"/>
      <c r="D1132" s="222"/>
      <c r="E1132" s="223"/>
    </row>
    <row r="1133" spans="1:5" ht="15.75">
      <c r="A1133" s="224"/>
      <c r="B1133" s="83"/>
      <c r="C1133" s="222"/>
      <c r="D1133" s="222"/>
      <c r="E1133" s="223"/>
    </row>
    <row r="1134" spans="1:5" ht="15.75">
      <c r="A1134" s="224"/>
      <c r="B1134" s="83"/>
      <c r="C1134" s="222"/>
      <c r="D1134" s="222"/>
      <c r="E1134" s="223"/>
    </row>
    <row r="1135" spans="1:5" ht="15.75">
      <c r="A1135" s="224"/>
      <c r="B1135" s="83"/>
      <c r="C1135" s="222"/>
      <c r="D1135" s="222"/>
      <c r="E1135" s="223"/>
    </row>
    <row r="1136" spans="1:5" ht="15.75">
      <c r="A1136" s="224"/>
      <c r="B1136" s="83"/>
      <c r="C1136" s="222"/>
      <c r="D1136" s="222"/>
      <c r="E1136" s="223"/>
    </row>
    <row r="1137" spans="1:5" ht="15.75">
      <c r="A1137" s="224"/>
      <c r="B1137" s="83"/>
      <c r="C1137" s="222"/>
      <c r="D1137" s="222"/>
      <c r="E1137" s="223"/>
    </row>
    <row r="1138" spans="1:5" ht="15.75">
      <c r="A1138" s="224"/>
      <c r="B1138" s="83"/>
      <c r="C1138" s="222"/>
      <c r="D1138" s="222"/>
      <c r="E1138" s="223"/>
    </row>
    <row r="1139" spans="1:5" ht="15.75">
      <c r="A1139" s="224"/>
      <c r="B1139" s="83"/>
      <c r="C1139" s="222"/>
      <c r="D1139" s="222"/>
      <c r="E1139" s="223"/>
    </row>
    <row r="1140" spans="1:5" ht="15.75">
      <c r="A1140" s="224"/>
      <c r="B1140" s="83"/>
      <c r="C1140" s="222"/>
      <c r="D1140" s="222"/>
      <c r="E1140" s="223"/>
    </row>
    <row r="1141" spans="1:5" ht="15.75">
      <c r="A1141" s="224"/>
      <c r="B1141" s="83"/>
      <c r="C1141" s="222"/>
      <c r="D1141" s="222"/>
      <c r="E1141" s="223"/>
    </row>
    <row r="1142" spans="1:5" ht="15.75">
      <c r="A1142" s="224"/>
      <c r="B1142" s="83"/>
      <c r="C1142" s="222"/>
      <c r="D1142" s="222"/>
      <c r="E1142" s="223"/>
    </row>
    <row r="1143" spans="1:5" ht="15.75">
      <c r="A1143" s="224"/>
      <c r="B1143" s="83"/>
      <c r="C1143" s="222"/>
      <c r="D1143" s="222"/>
      <c r="E1143" s="223"/>
    </row>
    <row r="1144" spans="1:5" ht="15.75">
      <c r="A1144" s="224"/>
      <c r="B1144" s="83"/>
      <c r="C1144" s="222"/>
      <c r="D1144" s="222"/>
      <c r="E1144" s="223"/>
    </row>
    <row r="1145" spans="1:5" ht="15.75">
      <c r="A1145" s="224"/>
      <c r="B1145" s="83"/>
      <c r="C1145" s="222"/>
      <c r="D1145" s="222"/>
      <c r="E1145" s="223"/>
    </row>
    <row r="1146" spans="1:5" ht="15.75">
      <c r="A1146" s="224"/>
      <c r="B1146" s="83"/>
      <c r="C1146" s="222"/>
      <c r="D1146" s="222"/>
      <c r="E1146" s="223"/>
    </row>
    <row r="1147" spans="1:5" ht="15.75">
      <c r="A1147" s="224"/>
      <c r="B1147" s="83"/>
      <c r="C1147" s="222"/>
      <c r="D1147" s="222"/>
      <c r="E1147" s="223"/>
    </row>
    <row r="1148" spans="1:5" ht="15.75">
      <c r="A1148" s="224"/>
      <c r="B1148" s="83"/>
      <c r="C1148" s="222"/>
      <c r="D1148" s="222"/>
      <c r="E1148" s="223"/>
    </row>
    <row r="1149" spans="1:5" ht="15.75">
      <c r="A1149" s="224"/>
      <c r="B1149" s="83"/>
      <c r="C1149" s="222"/>
      <c r="D1149" s="222"/>
      <c r="E1149" s="223"/>
    </row>
    <row r="1150" spans="1:5" ht="15.75">
      <c r="A1150" s="224"/>
      <c r="B1150" s="83"/>
      <c r="C1150" s="222"/>
      <c r="D1150" s="222"/>
      <c r="E1150" s="223"/>
    </row>
    <row r="1151" spans="1:5" ht="15.75">
      <c r="A1151" s="224"/>
      <c r="B1151" s="83"/>
      <c r="C1151" s="222"/>
      <c r="D1151" s="222"/>
      <c r="E1151" s="223"/>
    </row>
    <row r="1152" spans="1:5" ht="15.75">
      <c r="A1152" s="224"/>
      <c r="B1152" s="83"/>
      <c r="C1152" s="222"/>
      <c r="D1152" s="222"/>
      <c r="E1152" s="223"/>
    </row>
    <row r="1153" spans="1:5" ht="15.75">
      <c r="A1153" s="224"/>
      <c r="B1153" s="83"/>
      <c r="C1153" s="222"/>
      <c r="D1153" s="222"/>
      <c r="E1153" s="223"/>
    </row>
    <row r="1154" spans="1:5" ht="15.75">
      <c r="A1154" s="224"/>
      <c r="B1154" s="83"/>
      <c r="C1154" s="222"/>
      <c r="D1154" s="222"/>
      <c r="E1154" s="223"/>
    </row>
    <row r="1155" spans="1:5" ht="15.75">
      <c r="A1155" s="224"/>
      <c r="B1155" s="83"/>
      <c r="C1155" s="222"/>
      <c r="D1155" s="222"/>
      <c r="E1155" s="223"/>
    </row>
    <row r="1156" spans="1:5" ht="15.75">
      <c r="A1156" s="224"/>
      <c r="B1156" s="83"/>
      <c r="C1156" s="222"/>
      <c r="D1156" s="222"/>
      <c r="E1156" s="223"/>
    </row>
    <row r="1157" spans="1:5" ht="15.75">
      <c r="A1157" s="224"/>
      <c r="B1157" s="83"/>
      <c r="C1157" s="222"/>
      <c r="D1157" s="222"/>
      <c r="E1157" s="223"/>
    </row>
    <row r="1158" spans="1:5" ht="15.75">
      <c r="A1158" s="224"/>
      <c r="B1158" s="83"/>
      <c r="C1158" s="222"/>
      <c r="D1158" s="222"/>
      <c r="E1158" s="223"/>
    </row>
    <row r="1159" spans="1:5" ht="15.75">
      <c r="A1159" s="224"/>
      <c r="B1159" s="83"/>
      <c r="C1159" s="222"/>
      <c r="D1159" s="222"/>
      <c r="E1159" s="223"/>
    </row>
    <row r="1160" spans="1:5" ht="15.75">
      <c r="A1160" s="224"/>
      <c r="B1160" s="83"/>
      <c r="C1160" s="222"/>
      <c r="D1160" s="222"/>
      <c r="E1160" s="223"/>
    </row>
    <row r="1161" spans="1:5" ht="15.75">
      <c r="A1161" s="224"/>
      <c r="B1161" s="83"/>
      <c r="C1161" s="222"/>
      <c r="D1161" s="222"/>
      <c r="E1161" s="223"/>
    </row>
    <row r="1162" spans="1:5" ht="15.75">
      <c r="A1162" s="224"/>
      <c r="B1162" s="83"/>
      <c r="C1162" s="222"/>
      <c r="D1162" s="222"/>
      <c r="E1162" s="223"/>
    </row>
    <row r="1163" spans="1:5" ht="15.75">
      <c r="A1163" s="224"/>
      <c r="B1163" s="83"/>
      <c r="C1163" s="222"/>
      <c r="D1163" s="222"/>
      <c r="E1163" s="223"/>
    </row>
    <row r="1164" spans="1:5" ht="15.75">
      <c r="A1164" s="224"/>
      <c r="B1164" s="83"/>
      <c r="C1164" s="222"/>
      <c r="D1164" s="222"/>
      <c r="E1164" s="223"/>
    </row>
    <row r="1165" spans="1:5" ht="15.75">
      <c r="A1165" s="224"/>
      <c r="B1165" s="83"/>
      <c r="C1165" s="222"/>
      <c r="D1165" s="222"/>
      <c r="E1165" s="223"/>
    </row>
    <row r="1166" spans="1:5" ht="15.75">
      <c r="A1166" s="224"/>
      <c r="B1166" s="83"/>
      <c r="C1166" s="222"/>
      <c r="D1166" s="222"/>
      <c r="E1166" s="223"/>
    </row>
    <row r="1167" spans="1:5" ht="15.75">
      <c r="A1167" s="224"/>
      <c r="B1167" s="83"/>
      <c r="C1167" s="222"/>
      <c r="D1167" s="222"/>
      <c r="E1167" s="223"/>
    </row>
    <row r="1168" spans="1:5" ht="15.75">
      <c r="A1168" s="224"/>
      <c r="B1168" s="83"/>
      <c r="C1168" s="222"/>
      <c r="D1168" s="222"/>
      <c r="E1168" s="223"/>
    </row>
    <row r="1169" spans="1:5" ht="15.75">
      <c r="A1169" s="224"/>
      <c r="B1169" s="83"/>
      <c r="C1169" s="222"/>
      <c r="D1169" s="222"/>
      <c r="E1169" s="223"/>
    </row>
    <row r="1170" spans="1:5" ht="15.75">
      <c r="A1170" s="224"/>
      <c r="B1170" s="83"/>
      <c r="C1170" s="222"/>
      <c r="D1170" s="222"/>
      <c r="E1170" s="223"/>
    </row>
    <row r="1171" spans="1:5" ht="15.75">
      <c r="A1171" s="224"/>
      <c r="B1171" s="83"/>
      <c r="C1171" s="222"/>
      <c r="D1171" s="222"/>
      <c r="E1171" s="223"/>
    </row>
    <row r="1172" spans="1:5" ht="15.75">
      <c r="A1172" s="224"/>
      <c r="B1172" s="83"/>
      <c r="C1172" s="222"/>
      <c r="D1172" s="222"/>
      <c r="E1172" s="223"/>
    </row>
    <row r="1173" spans="1:5" ht="15.75">
      <c r="A1173" s="224"/>
      <c r="B1173" s="83"/>
      <c r="C1173" s="222"/>
      <c r="D1173" s="222"/>
      <c r="E1173" s="223"/>
    </row>
    <row r="1174" spans="1:5" ht="15.75">
      <c r="A1174" s="224"/>
      <c r="B1174" s="83"/>
      <c r="C1174" s="222"/>
      <c r="D1174" s="222"/>
      <c r="E1174" s="223"/>
    </row>
    <row r="1175" spans="1:5" ht="15.75">
      <c r="A1175" s="224"/>
      <c r="B1175" s="83"/>
      <c r="C1175" s="222"/>
      <c r="D1175" s="222"/>
      <c r="E1175" s="223"/>
    </row>
    <row r="1176" spans="1:5" ht="15.75">
      <c r="A1176" s="224"/>
      <c r="B1176" s="83"/>
      <c r="C1176" s="222"/>
      <c r="D1176" s="222"/>
      <c r="E1176" s="223"/>
    </row>
    <row r="1177" spans="1:5" ht="15.75">
      <c r="A1177" s="224"/>
      <c r="B1177" s="83"/>
      <c r="C1177" s="222"/>
      <c r="D1177" s="222"/>
      <c r="E1177" s="223"/>
    </row>
    <row r="1178" spans="1:5" ht="15.75">
      <c r="A1178" s="224"/>
      <c r="B1178" s="83"/>
      <c r="C1178" s="222"/>
      <c r="D1178" s="222"/>
      <c r="E1178" s="223"/>
    </row>
    <row r="1179" spans="1:5" ht="15.75">
      <c r="A1179" s="224"/>
      <c r="B1179" s="83"/>
      <c r="C1179" s="222"/>
      <c r="D1179" s="222"/>
      <c r="E1179" s="223"/>
    </row>
    <row r="1180" spans="1:5" ht="15.75">
      <c r="A1180" s="224"/>
      <c r="B1180" s="83"/>
      <c r="C1180" s="222"/>
      <c r="D1180" s="222"/>
      <c r="E1180" s="223"/>
    </row>
    <row r="1181" spans="1:5" ht="15.75">
      <c r="A1181" s="224"/>
      <c r="B1181" s="83"/>
      <c r="C1181" s="222"/>
      <c r="D1181" s="222"/>
      <c r="E1181" s="223"/>
    </row>
    <row r="1182" spans="1:5" ht="15.75">
      <c r="A1182" s="224"/>
      <c r="B1182" s="83"/>
      <c r="C1182" s="222"/>
      <c r="D1182" s="222"/>
      <c r="E1182" s="223"/>
    </row>
    <row r="1183" spans="1:5" ht="15.75">
      <c r="A1183" s="224"/>
      <c r="B1183" s="83"/>
      <c r="C1183" s="222"/>
      <c r="D1183" s="222"/>
      <c r="E1183" s="223"/>
    </row>
    <row r="1184" spans="1:5" ht="15.75">
      <c r="A1184" s="224"/>
      <c r="B1184" s="83"/>
      <c r="C1184" s="222"/>
      <c r="D1184" s="222"/>
      <c r="E1184" s="223"/>
    </row>
    <row r="1185" spans="1:5" ht="15.75">
      <c r="A1185" s="224"/>
      <c r="B1185" s="83"/>
      <c r="C1185" s="222"/>
      <c r="D1185" s="222"/>
      <c r="E1185" s="223"/>
    </row>
    <row r="1186" spans="1:5" ht="15.75">
      <c r="A1186" s="224"/>
      <c r="B1186" s="83"/>
      <c r="C1186" s="222"/>
      <c r="D1186" s="222"/>
      <c r="E1186" s="223"/>
    </row>
    <row r="1187" spans="1:5" ht="15.75">
      <c r="A1187" s="224"/>
      <c r="B1187" s="83"/>
      <c r="C1187" s="222"/>
      <c r="D1187" s="222"/>
      <c r="E1187" s="223"/>
    </row>
    <row r="1188" spans="1:5" ht="15.75">
      <c r="A1188" s="224"/>
      <c r="B1188" s="83"/>
      <c r="C1188" s="222"/>
      <c r="D1188" s="222"/>
      <c r="E1188" s="223"/>
    </row>
    <row r="1189" spans="1:5" ht="15.75">
      <c r="A1189" s="224"/>
      <c r="B1189" s="83"/>
      <c r="C1189" s="222"/>
      <c r="D1189" s="222"/>
      <c r="E1189" s="223"/>
    </row>
    <row r="1190" spans="1:5" ht="15.75">
      <c r="A1190" s="224"/>
      <c r="B1190" s="83"/>
      <c r="C1190" s="222"/>
      <c r="D1190" s="222"/>
      <c r="E1190" s="223"/>
    </row>
    <row r="1191" spans="1:5" ht="15.75">
      <c r="A1191" s="224"/>
      <c r="B1191" s="83"/>
      <c r="C1191" s="222"/>
      <c r="D1191" s="222"/>
      <c r="E1191" s="223"/>
    </row>
    <row r="1192" spans="1:5" ht="15.75">
      <c r="A1192" s="224"/>
      <c r="B1192" s="83"/>
      <c r="C1192" s="222"/>
      <c r="D1192" s="222"/>
      <c r="E1192" s="223"/>
    </row>
    <row r="1193" spans="1:5" ht="15.75">
      <c r="A1193" s="224"/>
      <c r="B1193" s="83"/>
      <c r="C1193" s="222"/>
      <c r="D1193" s="222"/>
      <c r="E1193" s="223"/>
    </row>
    <row r="1194" spans="1:5" ht="15.75">
      <c r="A1194" s="224"/>
      <c r="B1194" s="83"/>
      <c r="C1194" s="222"/>
      <c r="D1194" s="222"/>
      <c r="E1194" s="223"/>
    </row>
    <row r="1195" spans="1:5" ht="15.75">
      <c r="A1195" s="224"/>
      <c r="B1195" s="83"/>
      <c r="C1195" s="222"/>
      <c r="D1195" s="222"/>
      <c r="E1195" s="223"/>
    </row>
    <row r="1196" spans="1:5" ht="15.75">
      <c r="A1196" s="224"/>
      <c r="B1196" s="83"/>
      <c r="C1196" s="222"/>
      <c r="D1196" s="222"/>
      <c r="E1196" s="223"/>
    </row>
    <row r="1197" spans="1:5" ht="15.75">
      <c r="A1197" s="224"/>
      <c r="B1197" s="83"/>
      <c r="C1197" s="222"/>
      <c r="D1197" s="222"/>
      <c r="E1197" s="223"/>
    </row>
    <row r="1198" spans="1:5" ht="15.75">
      <c r="A1198" s="224"/>
      <c r="B1198" s="83"/>
      <c r="C1198" s="222"/>
      <c r="D1198" s="222"/>
      <c r="E1198" s="223"/>
    </row>
    <row r="1199" spans="1:5" ht="15.75">
      <c r="A1199" s="224"/>
      <c r="B1199" s="83"/>
      <c r="C1199" s="222"/>
      <c r="D1199" s="222"/>
      <c r="E1199" s="223"/>
    </row>
    <row r="1200" spans="1:5" ht="15.75">
      <c r="A1200" s="224"/>
      <c r="B1200" s="83"/>
      <c r="C1200" s="222"/>
      <c r="D1200" s="222"/>
      <c r="E1200" s="223"/>
    </row>
    <row r="1201" spans="1:5" ht="15.75">
      <c r="A1201" s="224"/>
      <c r="B1201" s="83"/>
      <c r="C1201" s="222"/>
      <c r="D1201" s="222"/>
      <c r="E1201" s="223"/>
    </row>
    <row r="1202" spans="1:5" ht="15.75">
      <c r="A1202" s="224"/>
      <c r="B1202" s="83"/>
      <c r="C1202" s="222"/>
      <c r="D1202" s="222"/>
      <c r="E1202" s="223"/>
    </row>
    <row r="1203" spans="1:5" ht="15.75">
      <c r="A1203" s="224"/>
      <c r="B1203" s="83"/>
      <c r="C1203" s="222"/>
      <c r="D1203" s="222"/>
      <c r="E1203" s="223"/>
    </row>
    <row r="1204" spans="1:5" ht="15.75">
      <c r="A1204" s="224"/>
      <c r="B1204" s="83"/>
      <c r="C1204" s="222"/>
      <c r="D1204" s="222"/>
      <c r="E1204" s="223"/>
    </row>
    <row r="1205" spans="1:5" ht="15.75">
      <c r="A1205" s="224"/>
      <c r="B1205" s="83"/>
      <c r="C1205" s="222"/>
      <c r="D1205" s="222"/>
      <c r="E1205" s="223"/>
    </row>
    <row r="1206" spans="1:5" ht="15.75">
      <c r="A1206" s="224"/>
      <c r="B1206" s="83"/>
      <c r="C1206" s="222"/>
      <c r="D1206" s="222"/>
      <c r="E1206" s="223"/>
    </row>
    <row r="1207" spans="1:5" ht="15.75">
      <c r="A1207" s="224"/>
      <c r="B1207" s="83"/>
      <c r="C1207" s="222"/>
      <c r="D1207" s="222"/>
      <c r="E1207" s="223"/>
    </row>
    <row r="1208" spans="1:5" ht="15.75">
      <c r="A1208" s="224"/>
      <c r="B1208" s="83"/>
      <c r="C1208" s="222"/>
      <c r="D1208" s="222"/>
      <c r="E1208" s="223"/>
    </row>
    <row r="1209" spans="1:5" ht="15.75">
      <c r="A1209" s="224"/>
      <c r="B1209" s="83"/>
      <c r="C1209" s="222"/>
      <c r="D1209" s="222"/>
      <c r="E1209" s="223"/>
    </row>
    <row r="1210" spans="1:5" ht="15.75">
      <c r="A1210" s="224"/>
      <c r="B1210" s="83"/>
      <c r="C1210" s="222"/>
      <c r="D1210" s="222"/>
      <c r="E1210" s="223"/>
    </row>
    <row r="1211" spans="1:5" ht="15.75">
      <c r="A1211" s="224"/>
      <c r="B1211" s="83"/>
      <c r="C1211" s="222"/>
      <c r="D1211" s="222"/>
      <c r="E1211" s="223"/>
    </row>
    <row r="1212" spans="1:5" ht="15.75">
      <c r="A1212" s="224"/>
      <c r="B1212" s="83"/>
      <c r="C1212" s="222"/>
      <c r="D1212" s="222"/>
      <c r="E1212" s="223"/>
    </row>
    <row r="1213" spans="1:5" ht="15.75">
      <c r="A1213" s="224"/>
      <c r="B1213" s="83"/>
      <c r="C1213" s="222"/>
      <c r="D1213" s="222"/>
      <c r="E1213" s="223"/>
    </row>
    <row r="1214" spans="1:5" ht="15.75">
      <c r="A1214" s="224"/>
      <c r="B1214" s="83"/>
      <c r="C1214" s="222"/>
      <c r="D1214" s="222"/>
      <c r="E1214" s="223"/>
    </row>
    <row r="1215" spans="1:5" ht="15.75">
      <c r="A1215" s="224"/>
      <c r="B1215" s="83"/>
      <c r="C1215" s="222"/>
      <c r="D1215" s="222"/>
      <c r="E1215" s="223"/>
    </row>
    <row r="1216" spans="1:5" ht="15.75">
      <c r="A1216" s="224"/>
      <c r="B1216" s="83"/>
      <c r="C1216" s="222"/>
      <c r="D1216" s="222"/>
      <c r="E1216" s="223"/>
    </row>
    <row r="1217" spans="1:5" ht="15.75">
      <c r="A1217" s="224"/>
      <c r="B1217" s="83"/>
      <c r="C1217" s="222"/>
      <c r="D1217" s="222"/>
      <c r="E1217" s="223"/>
    </row>
    <row r="1218" spans="1:5" ht="15.75">
      <c r="A1218" s="224"/>
      <c r="B1218" s="83"/>
      <c r="C1218" s="222"/>
      <c r="D1218" s="222"/>
      <c r="E1218" s="223"/>
    </row>
    <row r="1219" spans="1:5" ht="15.75">
      <c r="A1219" s="224"/>
      <c r="B1219" s="83"/>
      <c r="C1219" s="222"/>
      <c r="D1219" s="222"/>
      <c r="E1219" s="223"/>
    </row>
    <row r="1220" spans="1:5" ht="15.75">
      <c r="A1220" s="224"/>
      <c r="B1220" s="83"/>
      <c r="C1220" s="222"/>
      <c r="D1220" s="222"/>
      <c r="E1220" s="223"/>
    </row>
    <row r="1221" spans="1:5" ht="15.75">
      <c r="A1221" s="224"/>
      <c r="B1221" s="83"/>
      <c r="C1221" s="222"/>
      <c r="D1221" s="222"/>
      <c r="E1221" s="223"/>
    </row>
    <row r="1222" spans="1:5" ht="15.75">
      <c r="A1222" s="224"/>
      <c r="B1222" s="83"/>
      <c r="C1222" s="222"/>
      <c r="D1222" s="222"/>
      <c r="E1222" s="223"/>
    </row>
    <row r="1223" spans="1:5" ht="15.75">
      <c r="A1223" s="224"/>
      <c r="B1223" s="83"/>
      <c r="C1223" s="222"/>
      <c r="D1223" s="222"/>
      <c r="E1223" s="223"/>
    </row>
    <row r="1224" spans="1:5" ht="15.75">
      <c r="A1224" s="224"/>
      <c r="B1224" s="83"/>
      <c r="C1224" s="222"/>
      <c r="D1224" s="222"/>
      <c r="E1224" s="223"/>
    </row>
    <row r="1225" spans="1:5" ht="15.75">
      <c r="A1225" s="224"/>
      <c r="B1225" s="83"/>
      <c r="C1225" s="222"/>
      <c r="D1225" s="222"/>
      <c r="E1225" s="223"/>
    </row>
    <row r="1226" spans="1:5" ht="15.75">
      <c r="A1226" s="224"/>
      <c r="B1226" s="83"/>
      <c r="C1226" s="222"/>
      <c r="D1226" s="222"/>
      <c r="E1226" s="223"/>
    </row>
    <row r="1227" spans="1:5" ht="15.75">
      <c r="A1227" s="224"/>
      <c r="B1227" s="83"/>
      <c r="C1227" s="222"/>
      <c r="D1227" s="222"/>
      <c r="E1227" s="223"/>
    </row>
    <row r="1228" spans="1:5" ht="15.75">
      <c r="A1228" s="224"/>
      <c r="B1228" s="83"/>
      <c r="C1228" s="222"/>
      <c r="D1228" s="222"/>
      <c r="E1228" s="223"/>
    </row>
    <row r="1229" spans="1:5" ht="15.75">
      <c r="A1229" s="224"/>
      <c r="B1229" s="83"/>
      <c r="C1229" s="222"/>
      <c r="D1229" s="222"/>
      <c r="E1229" s="223"/>
    </row>
    <row r="1230" spans="1:5" ht="15.75">
      <c r="A1230" s="224"/>
      <c r="B1230" s="83"/>
      <c r="C1230" s="222"/>
      <c r="D1230" s="222"/>
      <c r="E1230" s="223"/>
    </row>
    <row r="1231" spans="1:5" ht="15.75">
      <c r="A1231" s="224"/>
      <c r="B1231" s="83"/>
      <c r="C1231" s="222"/>
      <c r="D1231" s="222"/>
      <c r="E1231" s="223"/>
    </row>
    <row r="1232" spans="1:5" ht="15.75">
      <c r="A1232" s="224"/>
      <c r="B1232" s="83"/>
      <c r="C1232" s="222"/>
      <c r="D1232" s="222"/>
      <c r="E1232" s="223"/>
    </row>
    <row r="1233" spans="1:5" ht="15.75">
      <c r="A1233" s="224"/>
      <c r="B1233" s="83"/>
      <c r="C1233" s="222"/>
      <c r="D1233" s="222"/>
      <c r="E1233" s="223"/>
    </row>
    <row r="1234" spans="1:5" ht="15.75">
      <c r="A1234" s="224"/>
      <c r="B1234" s="83"/>
      <c r="C1234" s="222"/>
      <c r="D1234" s="222"/>
      <c r="E1234" s="223"/>
    </row>
    <row r="1235" spans="1:5" ht="15.75">
      <c r="A1235" s="224"/>
      <c r="B1235" s="83"/>
      <c r="C1235" s="222"/>
      <c r="D1235" s="222"/>
      <c r="E1235" s="223"/>
    </row>
    <row r="1236" spans="1:5" ht="15.75">
      <c r="A1236" s="224"/>
      <c r="B1236" s="83"/>
      <c r="C1236" s="222"/>
      <c r="D1236" s="222"/>
      <c r="E1236" s="223"/>
    </row>
    <row r="1237" spans="1:5" ht="15.75">
      <c r="A1237" s="224"/>
      <c r="B1237" s="83"/>
      <c r="C1237" s="222"/>
      <c r="D1237" s="222"/>
      <c r="E1237" s="223"/>
    </row>
    <row r="1238" spans="1:5" ht="15.75">
      <c r="A1238" s="224"/>
      <c r="B1238" s="83"/>
      <c r="C1238" s="222"/>
      <c r="D1238" s="222"/>
      <c r="E1238" s="223"/>
    </row>
    <row r="1239" spans="1:5" ht="15.75">
      <c r="A1239" s="224"/>
      <c r="B1239" s="83"/>
      <c r="C1239" s="222"/>
      <c r="D1239" s="222"/>
      <c r="E1239" s="223"/>
    </row>
    <row r="1240" spans="1:5" ht="15.75">
      <c r="A1240" s="224"/>
      <c r="B1240" s="83"/>
      <c r="C1240" s="222"/>
      <c r="D1240" s="222"/>
      <c r="E1240" s="223"/>
    </row>
    <row r="1241" spans="1:5" ht="15.75">
      <c r="A1241" s="224"/>
      <c r="B1241" s="83"/>
      <c r="C1241" s="222"/>
      <c r="D1241" s="222"/>
      <c r="E1241" s="223"/>
    </row>
    <row r="1242" spans="1:5" ht="15.75">
      <c r="A1242" s="224"/>
      <c r="B1242" s="83"/>
      <c r="C1242" s="222"/>
      <c r="D1242" s="222"/>
      <c r="E1242" s="223"/>
    </row>
    <row r="1243" spans="1:5" ht="15.75">
      <c r="A1243" s="224"/>
      <c r="B1243" s="83"/>
      <c r="C1243" s="222"/>
      <c r="D1243" s="222"/>
      <c r="E1243" s="223"/>
    </row>
    <row r="1244" spans="1:5" ht="15.75">
      <c r="A1244" s="224"/>
      <c r="B1244" s="83"/>
      <c r="C1244" s="222"/>
      <c r="D1244" s="222"/>
      <c r="E1244" s="223"/>
    </row>
    <row r="1245" spans="1:5" ht="15.75">
      <c r="A1245" s="224"/>
      <c r="B1245" s="83"/>
      <c r="C1245" s="222"/>
      <c r="D1245" s="222"/>
      <c r="E1245" s="223"/>
    </row>
    <row r="1246" spans="1:5" ht="15.75">
      <c r="A1246" s="224"/>
      <c r="B1246" s="83"/>
      <c r="C1246" s="222"/>
      <c r="D1246" s="222"/>
      <c r="E1246" s="223"/>
    </row>
    <row r="1247" spans="1:5" ht="15.75">
      <c r="A1247" s="224"/>
      <c r="B1247" s="83"/>
      <c r="C1247" s="222"/>
      <c r="D1247" s="222"/>
      <c r="E1247" s="223"/>
    </row>
    <row r="1248" spans="1:5" ht="15.75">
      <c r="A1248" s="224"/>
      <c r="B1248" s="83"/>
      <c r="C1248" s="222"/>
      <c r="D1248" s="222"/>
      <c r="E1248" s="223"/>
    </row>
    <row r="1249" spans="1:5" ht="15.75">
      <c r="A1249" s="224"/>
      <c r="B1249" s="83"/>
      <c r="C1249" s="222"/>
      <c r="D1249" s="222"/>
      <c r="E1249" s="223"/>
    </row>
    <row r="1250" spans="1:5" ht="15.75">
      <c r="A1250" s="224"/>
      <c r="B1250" s="83"/>
      <c r="C1250" s="222"/>
      <c r="D1250" s="222"/>
      <c r="E1250" s="223"/>
    </row>
    <row r="1251" spans="1:5" ht="15.75">
      <c r="A1251" s="224"/>
      <c r="B1251" s="83"/>
      <c r="C1251" s="222"/>
      <c r="D1251" s="222"/>
      <c r="E1251" s="223"/>
    </row>
    <row r="1252" spans="1:5" ht="15.75">
      <c r="A1252" s="224"/>
      <c r="B1252" s="83"/>
      <c r="C1252" s="222"/>
      <c r="D1252" s="222"/>
      <c r="E1252" s="223"/>
    </row>
    <row r="1253" spans="1:5" ht="15.75">
      <c r="A1253" s="224"/>
      <c r="B1253" s="83"/>
      <c r="C1253" s="222"/>
      <c r="D1253" s="222"/>
      <c r="E1253" s="223"/>
    </row>
    <row r="1254" spans="1:5" ht="15.75">
      <c r="A1254" s="224"/>
      <c r="B1254" s="83"/>
      <c r="C1254" s="222"/>
      <c r="D1254" s="222"/>
      <c r="E1254" s="223"/>
    </row>
    <row r="1255" spans="1:5" ht="15.75">
      <c r="A1255" s="224"/>
      <c r="B1255" s="83"/>
      <c r="C1255" s="222"/>
      <c r="D1255" s="222"/>
      <c r="E1255" s="223"/>
    </row>
    <row r="1256" spans="1:5" ht="15.75">
      <c r="A1256" s="224"/>
      <c r="B1256" s="83"/>
      <c r="C1256" s="222"/>
      <c r="D1256" s="222"/>
      <c r="E1256" s="223"/>
    </row>
    <row r="1257" spans="1:5" ht="15.75">
      <c r="A1257" s="224"/>
      <c r="B1257" s="83"/>
      <c r="C1257" s="222"/>
      <c r="D1257" s="222"/>
      <c r="E1257" s="223"/>
    </row>
    <row r="1258" spans="1:5" ht="15.75">
      <c r="A1258" s="224"/>
      <c r="B1258" s="83"/>
      <c r="C1258" s="222"/>
      <c r="D1258" s="222"/>
      <c r="E1258" s="223"/>
    </row>
    <row r="1259" spans="1:5" ht="15.75">
      <c r="A1259" s="224"/>
      <c r="B1259" s="83"/>
      <c r="C1259" s="222"/>
      <c r="D1259" s="222"/>
      <c r="E1259" s="223"/>
    </row>
    <row r="1260" spans="1:5" ht="15.75">
      <c r="A1260" s="224"/>
      <c r="B1260" s="83"/>
      <c r="C1260" s="222"/>
      <c r="D1260" s="222"/>
      <c r="E1260" s="223"/>
    </row>
    <row r="1261" spans="1:5" ht="15.75">
      <c r="A1261" s="224"/>
      <c r="B1261" s="83"/>
      <c r="C1261" s="222"/>
      <c r="D1261" s="222"/>
      <c r="E1261" s="223"/>
    </row>
    <row r="1262" spans="1:5" ht="15.75">
      <c r="A1262" s="224"/>
      <c r="B1262" s="83"/>
      <c r="C1262" s="222"/>
      <c r="D1262" s="222"/>
      <c r="E1262" s="223"/>
    </row>
    <row r="1263" spans="1:5" ht="15.75">
      <c r="A1263" s="224"/>
      <c r="B1263" s="83"/>
      <c r="C1263" s="222"/>
      <c r="D1263" s="222"/>
      <c r="E1263" s="223"/>
    </row>
    <row r="1264" spans="1:5" ht="15.75">
      <c r="A1264" s="224"/>
      <c r="B1264" s="83"/>
      <c r="C1264" s="222"/>
      <c r="D1264" s="222"/>
      <c r="E1264" s="223"/>
    </row>
    <row r="1265" spans="1:5" ht="15.75">
      <c r="A1265" s="224"/>
      <c r="B1265" s="83"/>
      <c r="C1265" s="222"/>
      <c r="D1265" s="222"/>
      <c r="E1265" s="223"/>
    </row>
    <row r="1266" spans="1:5" ht="15.75">
      <c r="A1266" s="224"/>
      <c r="B1266" s="83"/>
      <c r="C1266" s="222"/>
      <c r="D1266" s="222"/>
      <c r="E1266" s="223"/>
    </row>
    <row r="1267" spans="1:5" ht="15.75">
      <c r="A1267" s="224"/>
      <c r="B1267" s="83"/>
      <c r="C1267" s="222"/>
      <c r="D1267" s="222"/>
      <c r="E1267" s="223"/>
    </row>
    <row r="1268" spans="1:5" ht="15.75">
      <c r="A1268" s="224"/>
      <c r="B1268" s="83"/>
      <c r="C1268" s="222"/>
      <c r="D1268" s="222"/>
      <c r="E1268" s="223"/>
    </row>
    <row r="1269" spans="1:5" ht="15.75">
      <c r="A1269" s="224"/>
      <c r="B1269" s="83"/>
      <c r="C1269" s="222"/>
      <c r="D1269" s="222"/>
      <c r="E1269" s="223"/>
    </row>
    <row r="1270" spans="1:5" ht="15.75">
      <c r="A1270" s="224"/>
      <c r="B1270" s="83"/>
      <c r="C1270" s="222"/>
      <c r="D1270" s="222"/>
      <c r="E1270" s="223"/>
    </row>
    <row r="1271" spans="1:5" ht="15.75">
      <c r="A1271" s="224"/>
      <c r="B1271" s="83"/>
      <c r="C1271" s="222"/>
      <c r="D1271" s="222"/>
      <c r="E1271" s="223"/>
    </row>
    <row r="1272" spans="1:5" ht="15.75">
      <c r="A1272" s="224"/>
      <c r="B1272" s="83"/>
      <c r="C1272" s="222"/>
      <c r="D1272" s="222"/>
      <c r="E1272" s="223"/>
    </row>
    <row r="1273" spans="1:5" ht="15.75">
      <c r="A1273" s="224"/>
      <c r="B1273" s="83"/>
      <c r="C1273" s="222"/>
      <c r="D1273" s="222"/>
      <c r="E1273" s="223"/>
    </row>
    <row r="1274" spans="1:5" ht="15.75">
      <c r="A1274" s="224"/>
      <c r="B1274" s="83"/>
      <c r="C1274" s="222"/>
      <c r="D1274" s="222"/>
      <c r="E1274" s="223"/>
    </row>
    <row r="1275" spans="1:5" ht="15.75">
      <c r="A1275" s="224"/>
      <c r="B1275" s="83"/>
      <c r="C1275" s="222"/>
      <c r="D1275" s="222"/>
      <c r="E1275" s="223"/>
    </row>
    <row r="1276" spans="1:5" ht="15.75">
      <c r="A1276" s="224"/>
      <c r="B1276" s="83"/>
      <c r="C1276" s="222"/>
      <c r="D1276" s="222"/>
      <c r="E1276" s="223"/>
    </row>
    <row r="1277" spans="1:5" ht="15.75">
      <c r="A1277" s="224"/>
      <c r="B1277" s="83"/>
      <c r="C1277" s="222"/>
      <c r="D1277" s="222"/>
      <c r="E1277" s="223"/>
    </row>
    <row r="1278" spans="1:5" ht="15.75">
      <c r="A1278" s="224"/>
      <c r="B1278" s="83"/>
      <c r="C1278" s="222"/>
      <c r="D1278" s="222"/>
      <c r="E1278" s="223"/>
    </row>
    <row r="1279" spans="1:5" ht="15.75">
      <c r="A1279" s="224"/>
      <c r="B1279" s="83"/>
      <c r="C1279" s="222"/>
      <c r="D1279" s="222"/>
      <c r="E1279" s="223"/>
    </row>
    <row r="1280" spans="1:5" ht="15.75">
      <c r="A1280" s="224"/>
      <c r="B1280" s="83"/>
      <c r="C1280" s="222"/>
      <c r="D1280" s="222"/>
      <c r="E1280" s="223"/>
    </row>
    <row r="1281" spans="1:5" ht="15.75">
      <c r="A1281" s="224"/>
      <c r="B1281" s="83"/>
      <c r="C1281" s="222"/>
      <c r="D1281" s="222"/>
      <c r="E1281" s="223"/>
    </row>
    <row r="1282" spans="1:5" ht="15.75">
      <c r="A1282" s="224"/>
      <c r="B1282" s="83"/>
      <c r="C1282" s="222"/>
      <c r="D1282" s="222"/>
      <c r="E1282" s="223"/>
    </row>
    <row r="1283" spans="1:5" ht="15.75">
      <c r="A1283" s="224"/>
      <c r="B1283" s="83"/>
      <c r="C1283" s="222"/>
      <c r="D1283" s="222"/>
      <c r="E1283" s="223"/>
    </row>
    <row r="1284" spans="1:5" ht="15.75">
      <c r="A1284" s="224"/>
      <c r="B1284" s="83"/>
      <c r="C1284" s="222"/>
      <c r="D1284" s="222"/>
      <c r="E1284" s="223"/>
    </row>
    <row r="1285" spans="1:5" ht="15.75">
      <c r="A1285" s="224"/>
      <c r="B1285" s="83"/>
      <c r="C1285" s="222"/>
      <c r="D1285" s="222"/>
      <c r="E1285" s="223"/>
    </row>
    <row r="1286" spans="1:5" ht="15.75">
      <c r="A1286" s="224"/>
      <c r="B1286" s="83"/>
      <c r="C1286" s="222"/>
      <c r="D1286" s="222"/>
      <c r="E1286" s="223"/>
    </row>
    <row r="1287" spans="1:5" ht="15.75">
      <c r="A1287" s="224"/>
      <c r="B1287" s="83"/>
      <c r="C1287" s="222"/>
      <c r="D1287" s="222"/>
      <c r="E1287" s="223"/>
    </row>
    <row r="1288" spans="1:5" ht="15.75">
      <c r="A1288" s="224"/>
      <c r="B1288" s="83"/>
      <c r="C1288" s="222"/>
      <c r="D1288" s="222"/>
      <c r="E1288" s="223"/>
    </row>
    <row r="1289" spans="1:5" ht="15.75">
      <c r="A1289" s="224"/>
      <c r="B1289" s="83"/>
      <c r="C1289" s="222"/>
      <c r="D1289" s="222"/>
      <c r="E1289" s="223"/>
    </row>
    <row r="1290" spans="1:5" ht="15.75">
      <c r="A1290" s="224"/>
      <c r="B1290" s="83"/>
      <c r="C1290" s="222"/>
      <c r="D1290" s="222"/>
      <c r="E1290" s="223"/>
    </row>
    <row r="1291" spans="1:5" ht="15.75">
      <c r="A1291" s="224"/>
      <c r="B1291" s="83"/>
      <c r="C1291" s="222"/>
      <c r="D1291" s="222"/>
      <c r="E1291" s="223"/>
    </row>
    <row r="1292" spans="1:5" ht="15.75">
      <c r="A1292" s="224"/>
      <c r="B1292" s="83"/>
      <c r="C1292" s="222"/>
      <c r="D1292" s="222"/>
      <c r="E1292" s="223"/>
    </row>
    <row r="1293" spans="1:5" ht="15.75">
      <c r="A1293" s="224"/>
      <c r="B1293" s="83"/>
      <c r="C1293" s="222"/>
      <c r="D1293" s="222"/>
      <c r="E1293" s="223"/>
    </row>
    <row r="1294" spans="1:5" ht="15.75">
      <c r="A1294" s="224"/>
      <c r="B1294" s="83"/>
      <c r="C1294" s="222"/>
      <c r="D1294" s="222"/>
      <c r="E1294" s="223"/>
    </row>
    <row r="1295" spans="1:5" ht="15.75">
      <c r="A1295" s="224"/>
      <c r="B1295" s="83"/>
      <c r="C1295" s="222"/>
      <c r="D1295" s="222"/>
      <c r="E1295" s="223"/>
    </row>
    <row r="1296" spans="1:5" ht="15.75">
      <c r="A1296" s="224"/>
      <c r="B1296" s="83"/>
      <c r="C1296" s="222"/>
      <c r="D1296" s="222"/>
      <c r="E1296" s="223"/>
    </row>
    <row r="1297" spans="1:5" ht="15.75">
      <c r="A1297" s="224"/>
      <c r="B1297" s="83"/>
      <c r="C1297" s="222"/>
      <c r="D1297" s="222"/>
      <c r="E1297" s="223"/>
    </row>
    <row r="1298" spans="1:5" ht="15.75">
      <c r="A1298" s="224"/>
      <c r="B1298" s="83"/>
      <c r="C1298" s="222"/>
      <c r="D1298" s="222"/>
      <c r="E1298" s="223"/>
    </row>
    <row r="1299" spans="1:5" ht="15.75">
      <c r="A1299" s="224"/>
      <c r="B1299" s="83"/>
      <c r="C1299" s="222"/>
      <c r="D1299" s="222"/>
      <c r="E1299" s="223"/>
    </row>
    <row r="1300" spans="1:5" ht="15.75">
      <c r="A1300" s="224"/>
      <c r="B1300" s="83"/>
      <c r="C1300" s="222"/>
      <c r="D1300" s="222"/>
      <c r="E1300" s="223"/>
    </row>
    <row r="1301" spans="1:5" ht="15.75">
      <c r="A1301" s="224"/>
      <c r="B1301" s="83"/>
      <c r="C1301" s="222"/>
      <c r="D1301" s="222"/>
      <c r="E1301" s="223"/>
    </row>
    <row r="1302" spans="1:5" ht="15.75">
      <c r="A1302" s="224"/>
      <c r="B1302" s="83"/>
      <c r="C1302" s="222"/>
      <c r="D1302" s="222"/>
      <c r="E1302" s="223"/>
    </row>
    <row r="1303" spans="1:5" ht="15.75">
      <c r="A1303" s="224"/>
      <c r="B1303" s="83"/>
      <c r="C1303" s="222"/>
      <c r="D1303" s="222"/>
      <c r="E1303" s="223"/>
    </row>
    <row r="1304" spans="1:5" ht="15.75">
      <c r="A1304" s="224"/>
      <c r="B1304" s="83"/>
      <c r="C1304" s="222"/>
      <c r="D1304" s="222"/>
      <c r="E1304" s="223"/>
    </row>
    <row r="1305" spans="1:5" ht="15.75">
      <c r="A1305" s="224"/>
      <c r="B1305" s="83"/>
      <c r="C1305" s="222"/>
      <c r="D1305" s="222"/>
      <c r="E1305" s="223"/>
    </row>
    <row r="1306" spans="1:5" ht="15.75">
      <c r="A1306" s="224"/>
      <c r="B1306" s="83"/>
      <c r="C1306" s="222"/>
      <c r="D1306" s="222"/>
      <c r="E1306" s="223"/>
    </row>
    <row r="1307" spans="1:5" ht="15.75">
      <c r="A1307" s="224"/>
      <c r="B1307" s="83"/>
      <c r="C1307" s="222"/>
      <c r="D1307" s="222"/>
      <c r="E1307" s="223"/>
    </row>
    <row r="1308" spans="1:5" ht="15.75">
      <c r="A1308" s="224"/>
      <c r="B1308" s="83"/>
      <c r="C1308" s="222"/>
      <c r="D1308" s="222"/>
      <c r="E1308" s="223"/>
    </row>
    <row r="1309" spans="1:5" ht="15.75">
      <c r="A1309" s="224"/>
      <c r="B1309" s="83"/>
      <c r="C1309" s="222"/>
      <c r="D1309" s="222"/>
      <c r="E1309" s="223"/>
    </row>
    <row r="1310" spans="1:5" ht="15.75">
      <c r="A1310" s="224"/>
      <c r="B1310" s="83"/>
      <c r="C1310" s="222"/>
      <c r="D1310" s="222"/>
      <c r="E1310" s="223"/>
    </row>
    <row r="1311" spans="1:5" ht="15.75">
      <c r="A1311" s="224"/>
      <c r="B1311" s="83"/>
      <c r="C1311" s="222"/>
      <c r="D1311" s="222"/>
      <c r="E1311" s="223"/>
    </row>
    <row r="1312" spans="1:5" ht="15.75">
      <c r="A1312" s="224"/>
      <c r="B1312" s="83"/>
      <c r="C1312" s="222"/>
      <c r="D1312" s="222"/>
      <c r="E1312" s="223"/>
    </row>
    <row r="1313" spans="1:5" ht="15.75">
      <c r="A1313" s="224"/>
      <c r="B1313" s="83"/>
      <c r="C1313" s="222"/>
      <c r="D1313" s="222"/>
      <c r="E1313" s="223"/>
    </row>
    <row r="1314" spans="1:5" ht="15.75">
      <c r="A1314" s="224"/>
      <c r="B1314" s="83"/>
      <c r="C1314" s="222"/>
      <c r="D1314" s="222"/>
      <c r="E1314" s="223"/>
    </row>
    <row r="1315" spans="1:5" ht="15.75">
      <c r="A1315" s="224"/>
      <c r="B1315" s="83"/>
      <c r="C1315" s="222"/>
      <c r="D1315" s="222"/>
      <c r="E1315" s="223"/>
    </row>
    <row r="1316" spans="1:5" ht="15.75">
      <c r="A1316" s="224"/>
      <c r="B1316" s="83"/>
      <c r="C1316" s="222"/>
      <c r="D1316" s="222"/>
      <c r="E1316" s="223"/>
    </row>
    <row r="1317" spans="1:5" ht="15.75">
      <c r="A1317" s="224"/>
      <c r="B1317" s="83"/>
      <c r="C1317" s="222"/>
      <c r="D1317" s="222"/>
      <c r="E1317" s="223"/>
    </row>
    <row r="1318" spans="1:5" ht="15.75">
      <c r="A1318" s="224"/>
      <c r="B1318" s="83"/>
      <c r="C1318" s="222"/>
      <c r="D1318" s="222"/>
      <c r="E1318" s="223"/>
    </row>
    <row r="1319" spans="1:5" ht="15.75">
      <c r="A1319" s="224"/>
      <c r="B1319" s="83"/>
      <c r="C1319" s="222"/>
      <c r="D1319" s="222"/>
      <c r="E1319" s="223"/>
    </row>
    <row r="1320" spans="1:5" ht="15.75">
      <c r="A1320" s="224"/>
      <c r="B1320" s="83"/>
      <c r="C1320" s="222"/>
      <c r="D1320" s="222"/>
      <c r="E1320" s="223"/>
    </row>
    <row r="1321" spans="1:5" ht="15.75">
      <c r="A1321" s="224"/>
      <c r="B1321" s="83"/>
      <c r="C1321" s="222"/>
      <c r="D1321" s="222"/>
      <c r="E1321" s="223"/>
    </row>
    <row r="1322" spans="1:5" ht="15.75">
      <c r="A1322" s="224"/>
      <c r="B1322" s="83"/>
      <c r="C1322" s="222"/>
      <c r="D1322" s="222"/>
      <c r="E1322" s="223"/>
    </row>
    <row r="1323" spans="1:5" ht="15.75">
      <c r="A1323" s="224"/>
      <c r="B1323" s="83"/>
      <c r="C1323" s="222"/>
      <c r="D1323" s="222"/>
      <c r="E1323" s="223"/>
    </row>
    <row r="1324" spans="1:5" ht="15.75">
      <c r="A1324" s="224"/>
      <c r="B1324" s="83"/>
      <c r="C1324" s="222"/>
      <c r="D1324" s="222"/>
      <c r="E1324" s="223"/>
    </row>
    <row r="1325" spans="1:5" ht="15.75">
      <c r="A1325" s="224"/>
      <c r="B1325" s="83"/>
      <c r="C1325" s="222"/>
      <c r="D1325" s="222"/>
      <c r="E1325" s="223"/>
    </row>
    <row r="1326" spans="1:5" ht="15.75">
      <c r="A1326" s="224"/>
      <c r="B1326" s="83"/>
      <c r="C1326" s="222"/>
      <c r="D1326" s="222"/>
      <c r="E1326" s="223"/>
    </row>
    <row r="1327" spans="1:5" ht="15.75">
      <c r="A1327" s="224"/>
      <c r="B1327" s="83"/>
      <c r="C1327" s="222"/>
      <c r="D1327" s="222"/>
      <c r="E1327" s="223"/>
    </row>
    <row r="1328" spans="1:5" ht="15.75">
      <c r="A1328" s="224"/>
      <c r="B1328" s="83"/>
      <c r="C1328" s="222"/>
      <c r="D1328" s="222"/>
      <c r="E1328" s="223"/>
    </row>
    <row r="1329" spans="1:5" ht="15.75">
      <c r="A1329" s="224"/>
      <c r="B1329" s="83"/>
      <c r="C1329" s="222"/>
      <c r="D1329" s="222"/>
      <c r="E1329" s="223"/>
    </row>
    <row r="1330" spans="1:5" ht="15.75">
      <c r="A1330" s="224"/>
      <c r="B1330" s="83"/>
      <c r="C1330" s="222"/>
      <c r="D1330" s="222"/>
      <c r="E1330" s="223"/>
    </row>
    <row r="1331" spans="1:5" ht="15.75">
      <c r="A1331" s="224"/>
      <c r="B1331" s="83"/>
      <c r="C1331" s="222"/>
      <c r="D1331" s="222"/>
      <c r="E1331" s="223"/>
    </row>
    <row r="1332" spans="1:5" ht="15.75">
      <c r="A1332" s="224"/>
      <c r="B1332" s="83"/>
      <c r="C1332" s="222"/>
      <c r="D1332" s="222"/>
      <c r="E1332" s="223"/>
    </row>
    <row r="1333" spans="1:5" ht="15.75">
      <c r="A1333" s="224"/>
      <c r="B1333" s="83"/>
      <c r="C1333" s="222"/>
      <c r="D1333" s="222"/>
      <c r="E1333" s="223"/>
    </row>
    <row r="1334" spans="1:5" ht="15.75">
      <c r="A1334" s="224"/>
      <c r="B1334" s="83"/>
      <c r="C1334" s="222"/>
      <c r="D1334" s="222"/>
      <c r="E1334" s="223"/>
    </row>
    <row r="1335" spans="1:5" ht="15.75">
      <c r="A1335" s="224"/>
      <c r="B1335" s="83"/>
      <c r="C1335" s="222"/>
      <c r="D1335" s="222"/>
      <c r="E1335" s="223"/>
    </row>
    <row r="1336" spans="1:5" ht="15.75">
      <c r="A1336" s="224"/>
      <c r="B1336" s="83"/>
      <c r="C1336" s="222"/>
      <c r="D1336" s="222"/>
      <c r="E1336" s="223"/>
    </row>
    <row r="1337" spans="1:5" ht="15.75">
      <c r="A1337" s="224"/>
      <c r="B1337" s="83"/>
      <c r="C1337" s="222"/>
      <c r="D1337" s="222"/>
      <c r="E1337" s="223"/>
    </row>
    <row r="1338" spans="1:5" ht="15.75">
      <c r="A1338" s="224"/>
      <c r="B1338" s="83"/>
      <c r="C1338" s="222"/>
      <c r="D1338" s="222"/>
      <c r="E1338" s="223"/>
    </row>
    <row r="1339" spans="1:5" ht="15.75">
      <c r="A1339" s="224"/>
      <c r="B1339" s="83"/>
      <c r="C1339" s="222"/>
      <c r="D1339" s="222"/>
      <c r="E1339" s="223"/>
    </row>
    <row r="1340" spans="1:5" ht="15.75">
      <c r="A1340" s="224"/>
      <c r="B1340" s="83"/>
      <c r="C1340" s="222"/>
      <c r="D1340" s="222"/>
      <c r="E1340" s="223"/>
    </row>
    <row r="1341" spans="1:5" ht="15.75">
      <c r="A1341" s="224"/>
      <c r="B1341" s="83"/>
      <c r="C1341" s="222"/>
      <c r="D1341" s="222"/>
      <c r="E1341" s="223"/>
    </row>
    <row r="1342" spans="1:5" ht="15.75">
      <c r="A1342" s="224"/>
      <c r="B1342" s="83"/>
      <c r="C1342" s="222"/>
      <c r="D1342" s="222"/>
      <c r="E1342" s="223"/>
    </row>
    <row r="1343" spans="1:5" ht="15.75">
      <c r="A1343" s="224"/>
      <c r="B1343" s="83"/>
      <c r="C1343" s="222"/>
      <c r="D1343" s="222"/>
      <c r="E1343" s="223"/>
    </row>
    <row r="1344" spans="1:5" ht="15.75">
      <c r="A1344" s="224"/>
      <c r="B1344" s="83"/>
      <c r="C1344" s="222"/>
      <c r="D1344" s="222"/>
      <c r="E1344" s="223"/>
    </row>
    <row r="1345" spans="1:5" ht="15.75">
      <c r="A1345" s="224"/>
      <c r="B1345" s="83"/>
      <c r="C1345" s="222"/>
      <c r="D1345" s="222"/>
      <c r="E1345" s="223"/>
    </row>
    <row r="1346" spans="1:5" ht="15.75">
      <c r="A1346" s="224"/>
      <c r="B1346" s="83"/>
      <c r="C1346" s="222"/>
      <c r="D1346" s="222"/>
      <c r="E1346" s="223"/>
    </row>
    <row r="1347" spans="1:5" ht="15.75">
      <c r="A1347" s="224"/>
      <c r="B1347" s="83"/>
      <c r="C1347" s="222"/>
      <c r="D1347" s="222"/>
      <c r="E1347" s="223"/>
    </row>
    <row r="1348" spans="1:5" ht="15.75">
      <c r="A1348" s="224"/>
      <c r="B1348" s="83"/>
      <c r="C1348" s="222"/>
      <c r="D1348" s="222"/>
      <c r="E1348" s="223"/>
    </row>
    <row r="1349" spans="1:5" ht="15.75">
      <c r="A1349" s="224"/>
      <c r="B1349" s="83"/>
      <c r="C1349" s="222"/>
      <c r="D1349" s="222"/>
      <c r="E1349" s="223"/>
    </row>
    <row r="1350" spans="1:5" ht="15.75">
      <c r="A1350" s="224"/>
      <c r="B1350" s="83"/>
      <c r="C1350" s="222"/>
      <c r="D1350" s="222"/>
      <c r="E1350" s="223"/>
    </row>
    <row r="1351" spans="1:5" ht="15.75">
      <c r="A1351" s="224"/>
      <c r="B1351" s="83"/>
      <c r="C1351" s="222"/>
      <c r="D1351" s="222"/>
      <c r="E1351" s="223"/>
    </row>
    <row r="1352" spans="1:5" ht="15.75">
      <c r="A1352" s="224"/>
      <c r="B1352" s="83"/>
      <c r="C1352" s="222"/>
      <c r="D1352" s="222"/>
      <c r="E1352" s="223"/>
    </row>
    <row r="1353" spans="1:5" ht="15.75">
      <c r="A1353" s="224"/>
      <c r="B1353" s="83"/>
      <c r="C1353" s="222"/>
      <c r="D1353" s="222"/>
      <c r="E1353" s="223"/>
    </row>
    <row r="1354" spans="1:5" ht="15.75">
      <c r="A1354" s="224"/>
      <c r="B1354" s="83"/>
      <c r="C1354" s="222"/>
      <c r="D1354" s="222"/>
      <c r="E1354" s="223"/>
    </row>
    <row r="1355" spans="1:5" ht="15.75">
      <c r="A1355" s="224"/>
      <c r="B1355" s="83"/>
      <c r="C1355" s="222"/>
      <c r="D1355" s="222"/>
      <c r="E1355" s="223"/>
    </row>
    <row r="1356" spans="1:5" ht="15.75">
      <c r="A1356" s="224"/>
      <c r="B1356" s="83"/>
      <c r="C1356" s="222"/>
      <c r="D1356" s="222"/>
      <c r="E1356" s="223"/>
    </row>
    <row r="1357" spans="1:5" ht="15.75">
      <c r="A1357" s="224"/>
      <c r="B1357" s="83"/>
      <c r="C1357" s="222"/>
      <c r="D1357" s="222"/>
      <c r="E1357" s="223"/>
    </row>
    <row r="1358" spans="1:5" ht="15.75">
      <c r="A1358" s="224"/>
      <c r="B1358" s="83"/>
      <c r="C1358" s="222"/>
      <c r="D1358" s="222"/>
      <c r="E1358" s="223"/>
    </row>
    <row r="1359" spans="1:5" ht="15.75">
      <c r="A1359" s="224"/>
      <c r="B1359" s="83"/>
      <c r="C1359" s="222"/>
      <c r="D1359" s="222"/>
      <c r="E1359" s="223"/>
    </row>
    <row r="1360" spans="1:5" ht="15.75">
      <c r="A1360" s="224"/>
      <c r="B1360" s="83"/>
      <c r="C1360" s="222"/>
      <c r="D1360" s="222"/>
      <c r="E1360" s="223"/>
    </row>
    <row r="1361" spans="1:5" ht="15.75">
      <c r="A1361" s="224"/>
      <c r="B1361" s="83"/>
      <c r="C1361" s="222"/>
      <c r="D1361" s="222"/>
      <c r="E1361" s="223"/>
    </row>
    <row r="1362" spans="1:5" ht="15.75">
      <c r="A1362" s="224"/>
      <c r="B1362" s="83"/>
      <c r="C1362" s="222"/>
      <c r="D1362" s="222"/>
      <c r="E1362" s="223"/>
    </row>
    <row r="1363" spans="1:5" ht="15.75">
      <c r="A1363" s="224"/>
      <c r="B1363" s="83"/>
      <c r="C1363" s="222"/>
      <c r="D1363" s="222"/>
      <c r="E1363" s="223"/>
    </row>
    <row r="1364" spans="1:5" ht="15.75">
      <c r="A1364" s="224"/>
      <c r="B1364" s="83"/>
      <c r="C1364" s="222"/>
      <c r="D1364" s="222"/>
      <c r="E1364" s="223"/>
    </row>
    <row r="1365" spans="1:5" ht="15.75">
      <c r="A1365" s="224"/>
      <c r="B1365" s="83"/>
      <c r="C1365" s="222"/>
      <c r="D1365" s="222"/>
      <c r="E1365" s="223"/>
    </row>
    <row r="1366" spans="1:5" ht="15.75">
      <c r="A1366" s="224"/>
      <c r="B1366" s="83"/>
      <c r="C1366" s="222"/>
      <c r="D1366" s="222"/>
      <c r="E1366" s="223"/>
    </row>
    <row r="1367" spans="1:5" ht="15.75">
      <c r="A1367" s="224"/>
      <c r="B1367" s="83"/>
      <c r="C1367" s="222"/>
      <c r="D1367" s="222"/>
      <c r="E1367" s="223"/>
    </row>
    <row r="1368" spans="1:5" ht="15.75">
      <c r="A1368" s="224"/>
      <c r="B1368" s="83"/>
      <c r="C1368" s="222"/>
      <c r="D1368" s="222"/>
      <c r="E1368" s="223"/>
    </row>
    <row r="1369" spans="1:5" ht="15.75">
      <c r="A1369" s="224"/>
      <c r="B1369" s="83"/>
      <c r="C1369" s="222"/>
      <c r="D1369" s="222"/>
      <c r="E1369" s="223"/>
    </row>
    <row r="1370" spans="1:5" ht="15.75">
      <c r="A1370" s="224"/>
      <c r="B1370" s="83"/>
      <c r="C1370" s="222"/>
      <c r="D1370" s="222"/>
      <c r="E1370" s="223"/>
    </row>
    <row r="1371" spans="1:5" ht="15.75">
      <c r="A1371" s="224"/>
      <c r="B1371" s="83"/>
      <c r="C1371" s="222"/>
      <c r="D1371" s="222"/>
      <c r="E1371" s="223"/>
    </row>
    <row r="1372" spans="1:5" ht="15.75">
      <c r="A1372" s="224"/>
      <c r="B1372" s="83"/>
      <c r="C1372" s="222"/>
      <c r="D1372" s="222"/>
      <c r="E1372" s="223"/>
    </row>
    <row r="1373" spans="1:5" ht="15.75">
      <c r="A1373" s="224"/>
      <c r="B1373" s="83"/>
      <c r="C1373" s="222"/>
      <c r="D1373" s="222"/>
      <c r="E1373" s="223"/>
    </row>
    <row r="1374" spans="1:5" ht="15.75">
      <c r="A1374" s="224"/>
      <c r="B1374" s="83"/>
      <c r="C1374" s="222"/>
      <c r="D1374" s="222"/>
      <c r="E1374" s="223"/>
    </row>
    <row r="1375" spans="1:5" ht="15.75">
      <c r="A1375" s="224"/>
      <c r="B1375" s="83"/>
      <c r="C1375" s="222"/>
      <c r="D1375" s="222"/>
      <c r="E1375" s="223"/>
    </row>
    <row r="1376" spans="1:5" ht="15.75">
      <c r="A1376" s="224"/>
      <c r="B1376" s="83"/>
      <c r="C1376" s="222"/>
      <c r="D1376" s="222"/>
      <c r="E1376" s="223"/>
    </row>
    <row r="1377" spans="1:5" ht="15.75">
      <c r="A1377" s="224"/>
      <c r="B1377" s="83"/>
      <c r="C1377" s="222"/>
      <c r="D1377" s="222"/>
      <c r="E1377" s="223"/>
    </row>
    <row r="1378" spans="1:5" ht="15.75">
      <c r="A1378" s="224"/>
      <c r="B1378" s="83"/>
      <c r="C1378" s="222"/>
      <c r="D1378" s="222"/>
      <c r="E1378" s="223"/>
    </row>
    <row r="1379" spans="1:5" ht="15.75">
      <c r="A1379" s="224"/>
      <c r="B1379" s="83"/>
      <c r="C1379" s="222"/>
      <c r="D1379" s="222"/>
      <c r="E1379" s="223"/>
    </row>
    <row r="1380" spans="1:5" ht="15.75">
      <c r="A1380" s="224"/>
      <c r="B1380" s="83"/>
      <c r="C1380" s="222"/>
      <c r="D1380" s="222"/>
      <c r="E1380" s="223"/>
    </row>
    <row r="1381" spans="1:5" ht="15.75">
      <c r="A1381" s="224"/>
      <c r="B1381" s="83"/>
      <c r="C1381" s="222"/>
      <c r="D1381" s="222"/>
      <c r="E1381" s="223"/>
    </row>
    <row r="1382" spans="1:5" ht="15.75">
      <c r="A1382" s="224"/>
      <c r="B1382" s="83"/>
      <c r="C1382" s="222"/>
      <c r="D1382" s="222"/>
      <c r="E1382" s="223"/>
    </row>
    <row r="1383" spans="1:5" ht="15.75">
      <c r="A1383" s="224"/>
      <c r="B1383" s="83"/>
      <c r="C1383" s="222"/>
      <c r="D1383" s="222"/>
      <c r="E1383" s="223"/>
    </row>
    <row r="1384" spans="1:5" ht="15.75">
      <c r="A1384" s="224"/>
      <c r="B1384" s="83"/>
      <c r="C1384" s="222"/>
      <c r="D1384" s="222"/>
      <c r="E1384" s="223"/>
    </row>
    <row r="1385" spans="1:5" ht="15.75">
      <c r="A1385" s="224"/>
      <c r="B1385" s="83"/>
      <c r="C1385" s="222"/>
      <c r="D1385" s="222"/>
      <c r="E1385" s="223"/>
    </row>
    <row r="1386" spans="1:5" ht="15.75">
      <c r="A1386" s="224"/>
      <c r="B1386" s="83"/>
      <c r="C1386" s="222"/>
      <c r="D1386" s="222"/>
      <c r="E1386" s="223"/>
    </row>
    <row r="1387" spans="1:5" ht="15.75">
      <c r="A1387" s="224"/>
      <c r="B1387" s="83"/>
      <c r="C1387" s="222"/>
      <c r="D1387" s="222"/>
      <c r="E1387" s="223"/>
    </row>
    <row r="1388" spans="1:5" ht="15.75">
      <c r="A1388" s="224"/>
      <c r="B1388" s="83"/>
      <c r="C1388" s="222"/>
      <c r="D1388" s="222"/>
      <c r="E1388" s="223"/>
    </row>
    <row r="1389" spans="1:5" ht="15.75">
      <c r="A1389" s="224"/>
      <c r="B1389" s="83"/>
      <c r="C1389" s="222"/>
      <c r="D1389" s="222"/>
      <c r="E1389" s="223"/>
    </row>
    <row r="1390" spans="1:5" ht="15.75">
      <c r="A1390" s="224"/>
      <c r="B1390" s="83"/>
      <c r="C1390" s="222"/>
      <c r="D1390" s="222"/>
      <c r="E1390" s="223"/>
    </row>
    <row r="1391" spans="1:5" ht="15.75">
      <c r="A1391" s="224"/>
      <c r="B1391" s="83"/>
      <c r="C1391" s="222"/>
      <c r="D1391" s="222"/>
      <c r="E1391" s="223"/>
    </row>
    <row r="1392" spans="1:5" ht="15.75">
      <c r="A1392" s="224"/>
      <c r="B1392" s="83"/>
      <c r="C1392" s="222"/>
      <c r="D1392" s="222"/>
      <c r="E1392" s="223"/>
    </row>
    <row r="1393" spans="1:5" ht="15.75">
      <c r="A1393" s="224"/>
      <c r="B1393" s="83"/>
      <c r="C1393" s="222"/>
      <c r="D1393" s="222"/>
      <c r="E1393" s="223"/>
    </row>
    <row r="1394" spans="1:5" ht="15.75">
      <c r="A1394" s="224"/>
      <c r="B1394" s="83"/>
      <c r="C1394" s="222"/>
      <c r="D1394" s="222"/>
      <c r="E1394" s="223"/>
    </row>
    <row r="1395" spans="1:5" ht="15.75">
      <c r="A1395" s="224"/>
      <c r="B1395" s="83"/>
      <c r="C1395" s="222"/>
      <c r="D1395" s="222"/>
      <c r="E1395" s="223"/>
    </row>
    <row r="1396" spans="1:5" ht="15.75">
      <c r="A1396" s="224"/>
      <c r="B1396" s="83"/>
      <c r="C1396" s="222"/>
      <c r="D1396" s="222"/>
      <c r="E1396" s="223"/>
    </row>
    <row r="1397" spans="1:5" ht="15.75">
      <c r="A1397" s="224"/>
      <c r="B1397" s="83"/>
      <c r="C1397" s="222"/>
      <c r="D1397" s="222"/>
      <c r="E1397" s="223"/>
    </row>
    <row r="1398" spans="1:5" ht="15.75">
      <c r="A1398" s="224"/>
      <c r="B1398" s="83"/>
      <c r="C1398" s="222"/>
      <c r="D1398" s="222"/>
      <c r="E1398" s="223"/>
    </row>
    <row r="1399" spans="1:5" ht="15.75">
      <c r="A1399" s="224"/>
      <c r="B1399" s="83"/>
      <c r="C1399" s="222"/>
      <c r="D1399" s="222"/>
      <c r="E1399" s="223"/>
    </row>
    <row r="1400" spans="1:5" ht="15.75">
      <c r="A1400" s="224"/>
      <c r="B1400" s="83"/>
      <c r="C1400" s="222"/>
      <c r="D1400" s="222"/>
      <c r="E1400" s="223"/>
    </row>
    <row r="1401" spans="1:5" ht="15.75">
      <c r="A1401" s="224"/>
      <c r="B1401" s="83"/>
      <c r="C1401" s="222"/>
      <c r="D1401" s="222"/>
      <c r="E1401" s="223"/>
    </row>
    <row r="1402" spans="1:5" ht="15.75">
      <c r="A1402" s="224"/>
      <c r="B1402" s="83"/>
      <c r="C1402" s="222"/>
      <c r="D1402" s="222"/>
      <c r="E1402" s="223"/>
    </row>
    <row r="1403" spans="1:5" ht="15.75">
      <c r="A1403" s="224"/>
      <c r="B1403" s="83"/>
      <c r="C1403" s="222"/>
      <c r="D1403" s="222"/>
      <c r="E1403" s="223"/>
    </row>
    <row r="1404" spans="1:5" ht="15.75">
      <c r="A1404" s="224"/>
      <c r="B1404" s="83"/>
      <c r="C1404" s="222"/>
      <c r="D1404" s="222"/>
      <c r="E1404" s="223"/>
    </row>
    <row r="1405" spans="1:5" ht="15.75">
      <c r="A1405" s="224"/>
      <c r="B1405" s="83"/>
      <c r="C1405" s="222"/>
      <c r="D1405" s="222"/>
      <c r="E1405" s="223"/>
    </row>
    <row r="1406" spans="1:5" ht="15.75">
      <c r="A1406" s="224"/>
      <c r="B1406" s="83"/>
      <c r="C1406" s="222"/>
      <c r="D1406" s="222"/>
      <c r="E1406" s="223"/>
    </row>
    <row r="1407" spans="1:5" ht="15.75">
      <c r="A1407" s="224"/>
      <c r="B1407" s="83"/>
      <c r="C1407" s="222"/>
      <c r="D1407" s="222"/>
      <c r="E1407" s="223"/>
    </row>
    <row r="1408" spans="1:5" ht="15.75">
      <c r="A1408" s="224"/>
      <c r="B1408" s="83"/>
      <c r="C1408" s="222"/>
      <c r="D1408" s="222"/>
      <c r="E1408" s="223"/>
    </row>
    <row r="1409" spans="1:5" ht="15.75">
      <c r="A1409" s="224"/>
      <c r="B1409" s="83"/>
      <c r="C1409" s="222"/>
      <c r="D1409" s="222"/>
      <c r="E1409" s="223"/>
    </row>
    <row r="1410" spans="1:5" ht="15.75">
      <c r="A1410" s="224"/>
      <c r="B1410" s="83"/>
      <c r="C1410" s="222"/>
      <c r="D1410" s="222"/>
      <c r="E1410" s="223"/>
    </row>
    <row r="1411" spans="1:5" ht="15.75">
      <c r="A1411" s="224"/>
      <c r="B1411" s="83"/>
      <c r="C1411" s="222"/>
      <c r="D1411" s="222"/>
      <c r="E1411" s="223"/>
    </row>
    <row r="1412" spans="1:5" ht="15.75">
      <c r="A1412" s="224"/>
      <c r="B1412" s="83"/>
      <c r="C1412" s="222"/>
      <c r="D1412" s="222"/>
      <c r="E1412" s="223"/>
    </row>
    <row r="1413" spans="1:5" ht="15.75">
      <c r="A1413" s="224"/>
      <c r="B1413" s="83"/>
      <c r="C1413" s="222"/>
      <c r="D1413" s="222"/>
      <c r="E1413" s="223"/>
    </row>
    <row r="1414" spans="1:5" ht="15.75">
      <c r="A1414" s="224"/>
      <c r="B1414" s="83"/>
      <c r="C1414" s="222"/>
      <c r="D1414" s="222"/>
      <c r="E1414" s="223"/>
    </row>
    <row r="1415" spans="1:5" ht="15.75">
      <c r="A1415" s="224"/>
      <c r="B1415" s="83"/>
      <c r="C1415" s="222"/>
      <c r="D1415" s="222"/>
      <c r="E1415" s="223"/>
    </row>
    <row r="1416" spans="1:5" ht="15.75">
      <c r="A1416" s="224"/>
      <c r="B1416" s="83"/>
      <c r="C1416" s="222"/>
      <c r="D1416" s="222"/>
      <c r="E1416" s="223"/>
    </row>
    <row r="1417" spans="1:5" ht="15.75">
      <c r="A1417" s="224"/>
      <c r="B1417" s="83"/>
      <c r="C1417" s="222"/>
      <c r="D1417" s="222"/>
      <c r="E1417" s="223"/>
    </row>
    <row r="1418" spans="1:5" ht="15.75">
      <c r="A1418" s="224"/>
      <c r="B1418" s="83"/>
      <c r="C1418" s="222"/>
      <c r="D1418" s="222"/>
      <c r="E1418" s="223"/>
    </row>
    <row r="1419" spans="1:5" ht="15.75">
      <c r="A1419" s="224"/>
      <c r="B1419" s="83"/>
      <c r="C1419" s="222"/>
      <c r="D1419" s="222"/>
      <c r="E1419" s="223"/>
    </row>
    <row r="1420" spans="1:5" ht="15.75">
      <c r="A1420" s="224"/>
      <c r="B1420" s="83"/>
      <c r="C1420" s="222"/>
      <c r="D1420" s="222"/>
      <c r="E1420" s="223"/>
    </row>
    <row r="1421" spans="1:5" ht="15.75">
      <c r="A1421" s="224"/>
      <c r="B1421" s="83"/>
      <c r="C1421" s="222"/>
      <c r="D1421" s="222"/>
      <c r="E1421" s="223"/>
    </row>
    <row r="1422" spans="1:5" ht="15.75">
      <c r="A1422" s="224"/>
      <c r="B1422" s="83"/>
      <c r="C1422" s="222"/>
      <c r="D1422" s="222"/>
      <c r="E1422" s="223"/>
    </row>
    <row r="1423" spans="1:5" ht="15.75">
      <c r="A1423" s="224"/>
      <c r="B1423" s="83"/>
      <c r="C1423" s="222"/>
      <c r="D1423" s="222"/>
      <c r="E1423" s="223"/>
    </row>
    <row r="1424" spans="1:5" ht="15.75">
      <c r="A1424" s="224"/>
      <c r="B1424" s="83"/>
      <c r="C1424" s="222"/>
      <c r="D1424" s="222"/>
      <c r="E1424" s="223"/>
    </row>
    <row r="1425" spans="1:5" ht="15.75">
      <c r="A1425" s="224"/>
      <c r="B1425" s="83"/>
      <c r="C1425" s="222"/>
      <c r="D1425" s="222"/>
      <c r="E1425" s="223"/>
    </row>
    <row r="1426" spans="1:5" ht="15.75">
      <c r="A1426" s="224"/>
      <c r="B1426" s="83"/>
      <c r="C1426" s="222"/>
      <c r="D1426" s="222"/>
      <c r="E1426" s="223"/>
    </row>
    <row r="1427" spans="1:5" ht="15.75">
      <c r="A1427" s="224"/>
      <c r="B1427" s="83"/>
      <c r="C1427" s="222"/>
      <c r="D1427" s="222"/>
      <c r="E1427" s="223"/>
    </row>
    <row r="1428" spans="1:5" ht="15.75">
      <c r="A1428" s="224"/>
      <c r="B1428" s="83"/>
      <c r="C1428" s="222"/>
      <c r="D1428" s="222"/>
      <c r="E1428" s="223"/>
    </row>
    <row r="1429" spans="1:5" ht="15.75">
      <c r="A1429" s="224"/>
      <c r="B1429" s="83"/>
      <c r="C1429" s="222"/>
      <c r="D1429" s="222"/>
      <c r="E1429" s="223"/>
    </row>
    <row r="1430" spans="1:5" ht="15.75">
      <c r="A1430" s="224"/>
      <c r="B1430" s="83"/>
      <c r="C1430" s="222"/>
      <c r="D1430" s="222"/>
      <c r="E1430" s="223"/>
    </row>
    <row r="1431" spans="1:5" ht="15.75">
      <c r="A1431" s="224"/>
      <c r="B1431" s="83"/>
      <c r="C1431" s="222"/>
      <c r="D1431" s="222"/>
      <c r="E1431" s="223"/>
    </row>
    <row r="1432" spans="1:5" ht="15.75">
      <c r="A1432" s="224"/>
      <c r="B1432" s="83"/>
      <c r="C1432" s="222"/>
      <c r="D1432" s="222"/>
      <c r="E1432" s="223"/>
    </row>
    <row r="1433" spans="1:5" ht="15.75">
      <c r="A1433" s="224"/>
      <c r="B1433" s="83"/>
      <c r="C1433" s="222"/>
      <c r="D1433" s="222"/>
      <c r="E1433" s="223"/>
    </row>
    <row r="1434" spans="1:5" ht="15.75">
      <c r="A1434" s="224"/>
      <c r="B1434" s="83"/>
      <c r="C1434" s="222"/>
      <c r="D1434" s="222"/>
      <c r="E1434" s="223"/>
    </row>
    <row r="1435" spans="1:5" ht="15.75">
      <c r="A1435" s="224"/>
      <c r="B1435" s="83"/>
      <c r="C1435" s="222"/>
      <c r="D1435" s="222"/>
      <c r="E1435" s="223"/>
    </row>
    <row r="1436" spans="1:5" ht="15.75">
      <c r="A1436" s="224"/>
      <c r="B1436" s="83"/>
      <c r="C1436" s="222"/>
      <c r="D1436" s="222"/>
      <c r="E1436" s="223"/>
    </row>
    <row r="1437" spans="1:5" ht="15.75">
      <c r="A1437" s="224"/>
      <c r="B1437" s="83"/>
      <c r="C1437" s="222"/>
      <c r="D1437" s="222"/>
      <c r="E1437" s="223"/>
    </row>
    <row r="1438" spans="1:5" ht="15.75">
      <c r="A1438" s="224"/>
      <c r="B1438" s="83"/>
      <c r="C1438" s="222"/>
      <c r="D1438" s="222"/>
      <c r="E1438" s="223"/>
    </row>
    <row r="1439" spans="1:5" ht="15.75">
      <c r="A1439" s="224"/>
      <c r="B1439" s="83"/>
      <c r="C1439" s="222"/>
      <c r="D1439" s="222"/>
      <c r="E1439" s="223"/>
    </row>
    <row r="1440" spans="1:5" ht="15.75">
      <c r="A1440" s="224"/>
      <c r="B1440" s="83"/>
      <c r="C1440" s="222"/>
      <c r="D1440" s="222"/>
      <c r="E1440" s="223"/>
    </row>
    <row r="1441" spans="1:5" ht="15.75">
      <c r="A1441" s="224"/>
      <c r="B1441" s="83"/>
      <c r="C1441" s="222"/>
      <c r="D1441" s="222"/>
      <c r="E1441" s="223"/>
    </row>
    <row r="1442" spans="1:5" ht="15.75">
      <c r="A1442" s="224"/>
      <c r="B1442" s="83"/>
      <c r="C1442" s="222"/>
      <c r="D1442" s="222"/>
      <c r="E1442" s="223"/>
    </row>
    <row r="1443" spans="1:5" ht="15.75">
      <c r="A1443" s="224"/>
      <c r="B1443" s="83"/>
      <c r="C1443" s="222"/>
      <c r="D1443" s="222"/>
      <c r="E1443" s="223"/>
    </row>
    <row r="1444" spans="1:5" ht="15.75">
      <c r="A1444" s="224"/>
      <c r="B1444" s="83"/>
      <c r="C1444" s="222"/>
      <c r="D1444" s="222"/>
      <c r="E1444" s="223"/>
    </row>
    <row r="1445" spans="1:5" ht="15.75">
      <c r="A1445" s="224"/>
      <c r="B1445" s="83"/>
      <c r="C1445" s="222"/>
      <c r="D1445" s="222"/>
      <c r="E1445" s="223"/>
    </row>
    <row r="1446" spans="1:5" ht="15.75">
      <c r="A1446" s="224"/>
      <c r="B1446" s="83"/>
      <c r="C1446" s="222"/>
      <c r="D1446" s="222"/>
      <c r="E1446" s="223"/>
    </row>
    <row r="1447" spans="1:5" ht="15.75">
      <c r="A1447" s="224"/>
      <c r="B1447" s="83"/>
      <c r="C1447" s="222"/>
      <c r="D1447" s="222"/>
      <c r="E1447" s="223"/>
    </row>
    <row r="1448" spans="1:5" ht="15.75">
      <c r="A1448" s="224"/>
      <c r="B1448" s="83"/>
      <c r="C1448" s="222"/>
      <c r="D1448" s="222"/>
      <c r="E1448" s="223"/>
    </row>
    <row r="1449" spans="1:5" ht="15.75">
      <c r="A1449" s="224"/>
      <c r="B1449" s="83"/>
      <c r="C1449" s="222"/>
      <c r="D1449" s="222"/>
      <c r="E1449" s="223"/>
    </row>
    <row r="1450" spans="1:5" ht="15.75">
      <c r="A1450" s="224"/>
      <c r="B1450" s="83"/>
      <c r="C1450" s="222"/>
      <c r="D1450" s="222"/>
      <c r="E1450" s="223"/>
    </row>
    <row r="1451" spans="1:5" ht="15.75">
      <c r="A1451" s="224"/>
      <c r="B1451" s="83"/>
      <c r="C1451" s="222"/>
      <c r="D1451" s="222"/>
      <c r="E1451" s="223"/>
    </row>
    <row r="1452" spans="1:5" ht="15.75">
      <c r="A1452" s="224"/>
      <c r="B1452" s="83"/>
      <c r="C1452" s="222"/>
      <c r="D1452" s="222"/>
      <c r="E1452" s="223"/>
    </row>
    <row r="1453" spans="1:5" ht="15.75">
      <c r="A1453" s="224"/>
      <c r="B1453" s="83"/>
      <c r="C1453" s="222"/>
      <c r="D1453" s="222"/>
      <c r="E1453" s="223"/>
    </row>
    <row r="1454" spans="1:5" ht="15.75">
      <c r="A1454" s="224"/>
      <c r="B1454" s="83"/>
      <c r="C1454" s="222"/>
      <c r="D1454" s="222"/>
      <c r="E1454" s="223"/>
    </row>
    <row r="1455" spans="1:5" ht="15.75">
      <c r="A1455" s="224"/>
      <c r="B1455" s="83"/>
      <c r="C1455" s="222"/>
      <c r="D1455" s="222"/>
      <c r="E1455" s="223"/>
    </row>
    <row r="1456" spans="1:5" ht="15.75">
      <c r="A1456" s="224"/>
      <c r="B1456" s="83"/>
      <c r="C1456" s="222"/>
      <c r="D1456" s="222"/>
      <c r="E1456" s="223"/>
    </row>
    <row r="1457" spans="1:5" ht="15.75">
      <c r="A1457" s="224"/>
      <c r="B1457" s="83"/>
      <c r="C1457" s="222"/>
      <c r="D1457" s="222"/>
      <c r="E1457" s="223"/>
    </row>
    <row r="1458" spans="1:5" ht="15.75">
      <c r="A1458" s="224"/>
      <c r="B1458" s="83"/>
      <c r="C1458" s="222"/>
      <c r="D1458" s="222"/>
      <c r="E1458" s="223"/>
    </row>
    <row r="1459" spans="1:5" ht="15.75">
      <c r="A1459" s="224"/>
      <c r="B1459" s="83"/>
      <c r="C1459" s="222"/>
      <c r="D1459" s="222"/>
      <c r="E1459" s="223"/>
    </row>
    <row r="1460" spans="1:5" ht="15.75">
      <c r="A1460" s="224"/>
      <c r="B1460" s="83"/>
      <c r="C1460" s="222"/>
      <c r="D1460" s="222"/>
      <c r="E1460" s="223"/>
    </row>
    <row r="1461" spans="1:5" ht="15.75">
      <c r="A1461" s="224"/>
      <c r="B1461" s="83"/>
      <c r="C1461" s="222"/>
      <c r="D1461" s="222"/>
      <c r="E1461" s="223"/>
    </row>
    <row r="1462" spans="1:5" ht="15.75">
      <c r="A1462" s="224"/>
      <c r="B1462" s="83"/>
      <c r="C1462" s="222"/>
      <c r="D1462" s="222"/>
      <c r="E1462" s="223"/>
    </row>
    <row r="1463" spans="1:5" ht="15.75">
      <c r="A1463" s="224"/>
      <c r="B1463" s="83"/>
      <c r="C1463" s="222"/>
      <c r="D1463" s="222"/>
      <c r="E1463" s="223"/>
    </row>
    <row r="1464" spans="1:5" ht="15.75">
      <c r="A1464" s="224"/>
      <c r="B1464" s="83"/>
      <c r="C1464" s="222"/>
      <c r="D1464" s="222"/>
      <c r="E1464" s="223"/>
    </row>
    <row r="1465" spans="1:5" ht="15.75">
      <c r="A1465" s="224"/>
      <c r="B1465" s="83"/>
      <c r="C1465" s="222"/>
      <c r="D1465" s="222"/>
      <c r="E1465" s="223"/>
    </row>
    <row r="1466" spans="1:5" ht="15.75">
      <c r="A1466" s="224"/>
      <c r="B1466" s="83"/>
      <c r="C1466" s="222"/>
      <c r="D1466" s="222"/>
      <c r="E1466" s="223"/>
    </row>
    <row r="1467" spans="1:5" ht="15.75">
      <c r="A1467" s="224"/>
      <c r="B1467" s="83"/>
      <c r="C1467" s="222"/>
      <c r="D1467" s="222"/>
      <c r="E1467" s="223"/>
    </row>
    <row r="1468" spans="1:5" ht="15.75">
      <c r="A1468" s="224"/>
      <c r="B1468" s="83"/>
      <c r="C1468" s="222"/>
      <c r="D1468" s="222"/>
      <c r="E1468" s="223"/>
    </row>
    <row r="1469" spans="1:5" ht="15.75">
      <c r="A1469" s="224"/>
      <c r="B1469" s="83"/>
      <c r="C1469" s="222"/>
      <c r="D1469" s="222"/>
      <c r="E1469" s="223"/>
    </row>
    <row r="1470" spans="1:5" ht="15.75">
      <c r="A1470" s="224"/>
      <c r="B1470" s="83"/>
      <c r="C1470" s="222"/>
      <c r="D1470" s="222"/>
      <c r="E1470" s="223"/>
    </row>
    <row r="1471" spans="1:5" ht="15.75">
      <c r="A1471" s="224"/>
      <c r="B1471" s="83"/>
      <c r="C1471" s="222"/>
      <c r="D1471" s="222"/>
      <c r="E1471" s="223"/>
    </row>
    <row r="1472" spans="1:5" ht="15.75">
      <c r="A1472" s="224"/>
      <c r="B1472" s="83"/>
      <c r="C1472" s="222"/>
      <c r="D1472" s="222"/>
      <c r="E1472" s="223"/>
    </row>
    <row r="1473" spans="1:5" ht="15.75">
      <c r="A1473" s="224"/>
      <c r="B1473" s="83"/>
      <c r="C1473" s="222"/>
      <c r="D1473" s="222"/>
      <c r="E1473" s="223"/>
    </row>
    <row r="1474" spans="1:5" ht="15.75">
      <c r="A1474" s="224"/>
      <c r="B1474" s="83"/>
      <c r="C1474" s="222"/>
      <c r="D1474" s="222"/>
      <c r="E1474" s="223"/>
    </row>
    <row r="1475" spans="1:5" ht="15.75">
      <c r="A1475" s="224"/>
      <c r="B1475" s="83"/>
      <c r="C1475" s="222"/>
      <c r="D1475" s="222"/>
      <c r="E1475" s="223"/>
    </row>
    <row r="1476" spans="1:5" ht="15.75">
      <c r="A1476" s="224"/>
      <c r="B1476" s="83"/>
      <c r="C1476" s="222"/>
      <c r="D1476" s="222"/>
      <c r="E1476" s="223"/>
    </row>
    <row r="1477" spans="1:5" ht="15.75">
      <c r="A1477" s="224"/>
      <c r="B1477" s="83"/>
      <c r="C1477" s="222"/>
      <c r="D1477" s="222"/>
      <c r="E1477" s="223"/>
    </row>
    <row r="1478" spans="1:5" ht="15.75">
      <c r="A1478" s="224"/>
      <c r="B1478" s="83"/>
      <c r="C1478" s="222"/>
      <c r="D1478" s="222"/>
      <c r="E1478" s="223"/>
    </row>
    <row r="1479" spans="1:5" ht="15.75">
      <c r="A1479" s="224"/>
      <c r="B1479" s="83"/>
      <c r="C1479" s="222"/>
      <c r="D1479" s="222"/>
      <c r="E1479" s="223"/>
    </row>
    <row r="1480" spans="1:5" ht="15.75">
      <c r="A1480" s="224"/>
      <c r="B1480" s="83"/>
      <c r="C1480" s="222"/>
      <c r="D1480" s="222"/>
      <c r="E1480" s="223"/>
    </row>
    <row r="1481" spans="1:5" ht="15.75">
      <c r="A1481" s="224"/>
      <c r="B1481" s="83"/>
      <c r="C1481" s="222"/>
      <c r="D1481" s="222"/>
      <c r="E1481" s="223"/>
    </row>
    <row r="1482" spans="1:5" ht="15.75">
      <c r="A1482" s="224"/>
      <c r="B1482" s="83"/>
      <c r="C1482" s="222"/>
      <c r="D1482" s="222"/>
      <c r="E1482" s="223"/>
    </row>
    <row r="1483" spans="1:5" ht="15.75">
      <c r="A1483" s="224"/>
      <c r="B1483" s="83"/>
      <c r="C1483" s="222"/>
      <c r="D1483" s="222"/>
      <c r="E1483" s="223"/>
    </row>
    <row r="1484" spans="1:5" ht="15.75">
      <c r="A1484" s="224"/>
      <c r="B1484" s="83"/>
      <c r="C1484" s="222"/>
      <c r="D1484" s="222"/>
      <c r="E1484" s="223"/>
    </row>
    <row r="1485" spans="1:5" ht="15.75">
      <c r="A1485" s="224"/>
      <c r="B1485" s="83"/>
      <c r="C1485" s="222"/>
      <c r="D1485" s="222"/>
      <c r="E1485" s="223"/>
    </row>
    <row r="1486" spans="1:5" ht="15.75">
      <c r="A1486" s="224"/>
      <c r="B1486" s="83"/>
      <c r="C1486" s="222"/>
      <c r="D1486" s="222"/>
      <c r="E1486" s="223"/>
    </row>
    <row r="1487" spans="1:5" ht="15.75">
      <c r="A1487" s="224"/>
      <c r="B1487" s="83"/>
      <c r="C1487" s="222"/>
      <c r="D1487" s="222"/>
      <c r="E1487" s="223"/>
    </row>
    <row r="1488" spans="1:5" ht="15.75">
      <c r="A1488" s="224"/>
      <c r="B1488" s="83"/>
      <c r="C1488" s="222"/>
      <c r="D1488" s="222"/>
      <c r="E1488" s="223"/>
    </row>
    <row r="1489" spans="1:5" ht="15.75">
      <c r="A1489" s="224"/>
      <c r="B1489" s="83"/>
      <c r="C1489" s="222"/>
      <c r="D1489" s="222"/>
      <c r="E1489" s="223"/>
    </row>
    <row r="1490" spans="1:5" ht="15.75">
      <c r="A1490" s="224"/>
      <c r="B1490" s="83"/>
      <c r="C1490" s="222"/>
      <c r="D1490" s="222"/>
      <c r="E1490" s="223"/>
    </row>
    <row r="1491" spans="1:5" ht="15.75">
      <c r="A1491" s="224"/>
      <c r="B1491" s="83"/>
      <c r="C1491" s="222"/>
      <c r="D1491" s="222"/>
      <c r="E1491" s="223"/>
    </row>
    <row r="1492" spans="1:5" ht="15.75">
      <c r="A1492" s="224"/>
      <c r="B1492" s="83"/>
      <c r="C1492" s="222"/>
      <c r="D1492" s="222"/>
      <c r="E1492" s="223"/>
    </row>
    <row r="1493" spans="1:5" ht="15.75">
      <c r="A1493" s="224"/>
      <c r="B1493" s="83"/>
      <c r="C1493" s="222"/>
      <c r="D1493" s="222"/>
      <c r="E1493" s="223"/>
    </row>
    <row r="1494" spans="1:5" ht="15.75">
      <c r="A1494" s="224"/>
      <c r="B1494" s="83"/>
      <c r="C1494" s="222"/>
      <c r="D1494" s="222"/>
      <c r="E1494" s="223"/>
    </row>
    <row r="1495" spans="1:5" ht="15.75">
      <c r="A1495" s="224"/>
      <c r="B1495" s="83"/>
      <c r="C1495" s="222"/>
      <c r="D1495" s="222"/>
      <c r="E1495" s="223"/>
    </row>
    <row r="1496" spans="1:5" ht="15.75">
      <c r="A1496" s="224"/>
      <c r="B1496" s="83"/>
      <c r="C1496" s="222"/>
      <c r="D1496" s="222"/>
      <c r="E1496" s="223"/>
    </row>
    <row r="1497" spans="1:5" ht="15.75">
      <c r="A1497" s="224"/>
      <c r="B1497" s="83"/>
      <c r="C1497" s="222"/>
      <c r="D1497" s="222"/>
      <c r="E1497" s="223"/>
    </row>
    <row r="1498" spans="1:5" ht="15.75">
      <c r="A1498" s="224"/>
      <c r="B1498" s="83"/>
      <c r="C1498" s="222"/>
      <c r="D1498" s="222"/>
      <c r="E1498" s="223"/>
    </row>
    <row r="1499" spans="1:5" ht="15.75">
      <c r="A1499" s="224"/>
      <c r="B1499" s="83"/>
      <c r="C1499" s="222"/>
      <c r="D1499" s="222"/>
      <c r="E1499" s="223"/>
    </row>
    <row r="1500" spans="1:5" ht="15.75">
      <c r="A1500" s="224"/>
      <c r="B1500" s="83"/>
      <c r="C1500" s="222"/>
      <c r="D1500" s="222"/>
      <c r="E1500" s="223"/>
    </row>
    <row r="1501" spans="1:5" ht="15.75">
      <c r="A1501" s="224"/>
      <c r="B1501" s="83"/>
      <c r="C1501" s="222"/>
      <c r="D1501" s="222"/>
      <c r="E1501" s="223"/>
    </row>
    <row r="1502" spans="1:5" ht="15.75">
      <c r="A1502" s="224"/>
      <c r="B1502" s="83"/>
      <c r="C1502" s="222"/>
      <c r="D1502" s="222"/>
      <c r="E1502" s="223"/>
    </row>
    <row r="1503" spans="1:5" ht="15.75">
      <c r="A1503" s="224"/>
      <c r="B1503" s="83"/>
      <c r="C1503" s="222"/>
      <c r="D1503" s="222"/>
      <c r="E1503" s="223"/>
    </row>
    <row r="1504" spans="1:5" ht="15.75">
      <c r="A1504" s="224"/>
      <c r="B1504" s="83"/>
      <c r="C1504" s="222"/>
      <c r="D1504" s="222"/>
      <c r="E1504" s="223"/>
    </row>
    <row r="1505" spans="1:5" ht="15.75">
      <c r="A1505" s="224"/>
      <c r="B1505" s="83"/>
      <c r="C1505" s="222"/>
      <c r="D1505" s="222"/>
      <c r="E1505" s="223"/>
    </row>
    <row r="1506" spans="1:5" ht="15.75">
      <c r="A1506" s="224"/>
      <c r="B1506" s="83"/>
      <c r="C1506" s="222"/>
      <c r="D1506" s="222"/>
      <c r="E1506" s="223"/>
    </row>
    <row r="1507" spans="1:5" ht="15.75">
      <c r="A1507" s="224"/>
      <c r="B1507" s="83"/>
      <c r="C1507" s="222"/>
      <c r="D1507" s="222"/>
      <c r="E1507" s="223"/>
    </row>
    <row r="1508" spans="1:5" ht="15.75">
      <c r="A1508" s="224"/>
      <c r="B1508" s="83"/>
      <c r="C1508" s="222"/>
      <c r="D1508" s="222"/>
      <c r="E1508" s="223"/>
    </row>
    <row r="1509" spans="1:5" ht="15.75">
      <c r="A1509" s="224"/>
      <c r="B1509" s="83"/>
      <c r="C1509" s="222"/>
      <c r="D1509" s="222"/>
      <c r="E1509" s="223"/>
    </row>
    <row r="1510" spans="1:5" ht="15.75">
      <c r="A1510" s="224"/>
      <c r="B1510" s="83"/>
      <c r="C1510" s="222"/>
      <c r="D1510" s="222"/>
      <c r="E1510" s="223"/>
    </row>
    <row r="1511" spans="1:5" ht="15.75">
      <c r="A1511" s="224"/>
      <c r="B1511" s="83"/>
      <c r="C1511" s="222"/>
      <c r="D1511" s="222"/>
      <c r="E1511" s="223"/>
    </row>
    <row r="1512" spans="1:5" ht="15.75">
      <c r="A1512" s="224"/>
      <c r="B1512" s="83"/>
      <c r="C1512" s="222"/>
      <c r="D1512" s="222"/>
      <c r="E1512" s="223"/>
    </row>
    <row r="1513" spans="1:5" ht="15.75">
      <c r="A1513" s="224"/>
      <c r="B1513" s="83"/>
      <c r="C1513" s="222"/>
      <c r="D1513" s="222"/>
      <c r="E1513" s="223"/>
    </row>
    <row r="1514" spans="1:5" ht="15.75">
      <c r="A1514" s="224"/>
      <c r="B1514" s="83"/>
      <c r="C1514" s="222"/>
      <c r="D1514" s="222"/>
      <c r="E1514" s="223"/>
    </row>
    <row r="1515" spans="1:5" ht="15.75">
      <c r="A1515" s="224"/>
      <c r="B1515" s="83"/>
      <c r="C1515" s="222"/>
      <c r="D1515" s="222"/>
      <c r="E1515" s="223"/>
    </row>
    <row r="1516" spans="1:5" ht="15.75">
      <c r="A1516" s="224"/>
      <c r="B1516" s="83"/>
      <c r="C1516" s="222"/>
      <c r="D1516" s="222"/>
      <c r="E1516" s="223"/>
    </row>
    <row r="1517" spans="1:5" ht="15.75">
      <c r="A1517" s="224"/>
      <c r="B1517" s="83"/>
      <c r="C1517" s="222"/>
      <c r="D1517" s="222"/>
      <c r="E1517" s="223"/>
    </row>
    <row r="1518" spans="1:5" ht="15.75">
      <c r="A1518" s="224"/>
      <c r="B1518" s="83"/>
      <c r="C1518" s="222"/>
      <c r="D1518" s="222"/>
      <c r="E1518" s="223"/>
    </row>
    <row r="1519" spans="1:5" ht="15.75">
      <c r="A1519" s="224"/>
      <c r="B1519" s="83"/>
      <c r="C1519" s="222"/>
      <c r="D1519" s="222"/>
      <c r="E1519" s="223"/>
    </row>
    <row r="1520" spans="1:5" ht="15.75">
      <c r="A1520" s="224"/>
      <c r="B1520" s="83"/>
      <c r="C1520" s="222"/>
      <c r="D1520" s="222"/>
      <c r="E1520" s="223"/>
    </row>
    <row r="1521" spans="1:5" ht="15.75">
      <c r="A1521" s="224"/>
      <c r="B1521" s="83"/>
      <c r="C1521" s="222"/>
      <c r="D1521" s="222"/>
      <c r="E1521" s="223"/>
    </row>
    <row r="1522" spans="1:5" ht="15.75">
      <c r="A1522" s="224"/>
      <c r="B1522" s="83"/>
      <c r="C1522" s="222"/>
      <c r="D1522" s="222"/>
      <c r="E1522" s="223"/>
    </row>
    <row r="1523" spans="1:5" ht="15.75">
      <c r="A1523" s="224"/>
      <c r="B1523" s="83"/>
      <c r="C1523" s="222"/>
      <c r="D1523" s="222"/>
      <c r="E1523" s="223"/>
    </row>
    <row r="1524" spans="1:5" ht="15.75">
      <c r="A1524" s="224"/>
      <c r="B1524" s="83"/>
      <c r="C1524" s="222"/>
      <c r="D1524" s="222"/>
      <c r="E1524" s="223"/>
    </row>
    <row r="1525" spans="1:5" ht="15.75">
      <c r="A1525" s="224"/>
      <c r="B1525" s="83"/>
      <c r="C1525" s="222"/>
      <c r="D1525" s="222"/>
      <c r="E1525" s="223"/>
    </row>
    <row r="1526" spans="1:5" ht="15.75">
      <c r="A1526" s="224"/>
      <c r="B1526" s="83"/>
      <c r="C1526" s="222"/>
      <c r="D1526" s="222"/>
      <c r="E1526" s="223"/>
    </row>
    <row r="1527" spans="1:5" ht="15.75">
      <c r="A1527" s="224"/>
      <c r="B1527" s="83"/>
      <c r="C1527" s="222"/>
      <c r="D1527" s="222"/>
      <c r="E1527" s="223"/>
    </row>
    <row r="1528" spans="1:5" ht="15.75">
      <c r="A1528" s="224"/>
      <c r="B1528" s="83"/>
      <c r="C1528" s="222"/>
      <c r="D1528" s="222"/>
      <c r="E1528" s="223"/>
    </row>
    <row r="1529" spans="1:5" ht="15.75">
      <c r="A1529" s="224"/>
      <c r="B1529" s="83"/>
      <c r="C1529" s="222"/>
      <c r="D1529" s="222"/>
      <c r="E1529" s="223"/>
    </row>
    <row r="1530" spans="1:5" ht="15.75">
      <c r="A1530" s="224"/>
      <c r="B1530" s="83"/>
      <c r="C1530" s="222"/>
      <c r="D1530" s="222"/>
      <c r="E1530" s="223"/>
    </row>
    <row r="1531" spans="1:5" ht="15.75">
      <c r="A1531" s="224"/>
      <c r="B1531" s="83"/>
      <c r="C1531" s="222"/>
      <c r="D1531" s="222"/>
      <c r="E1531" s="223"/>
    </row>
    <row r="1532" spans="1:5" ht="15.75">
      <c r="A1532" s="224"/>
      <c r="B1532" s="83"/>
      <c r="C1532" s="222"/>
      <c r="D1532" s="222"/>
      <c r="E1532" s="223"/>
    </row>
    <row r="1533" spans="1:5" ht="15.75">
      <c r="A1533" s="224"/>
      <c r="B1533" s="83"/>
      <c r="C1533" s="222"/>
      <c r="D1533" s="222"/>
      <c r="E1533" s="223"/>
    </row>
    <row r="1534" spans="1:5" ht="15.75">
      <c r="A1534" s="224"/>
      <c r="B1534" s="83"/>
      <c r="C1534" s="222"/>
      <c r="D1534" s="222"/>
      <c r="E1534" s="223"/>
    </row>
    <row r="1535" spans="1:5" ht="15.75">
      <c r="A1535" s="224"/>
      <c r="B1535" s="83"/>
      <c r="C1535" s="222"/>
      <c r="D1535" s="222"/>
      <c r="E1535" s="223"/>
    </row>
    <row r="1536" spans="1:5" ht="15.75">
      <c r="A1536" s="224"/>
      <c r="B1536" s="83"/>
      <c r="C1536" s="222"/>
      <c r="D1536" s="222"/>
      <c r="E1536" s="223"/>
    </row>
    <row r="1537" spans="1:5" ht="15.75">
      <c r="A1537" s="224"/>
      <c r="B1537" s="83"/>
      <c r="C1537" s="222"/>
      <c r="D1537" s="222"/>
      <c r="E1537" s="223"/>
    </row>
    <row r="1538" spans="1:5" ht="15.75">
      <c r="A1538" s="224"/>
      <c r="B1538" s="83"/>
      <c r="C1538" s="222"/>
      <c r="D1538" s="222"/>
      <c r="E1538" s="223"/>
    </row>
    <row r="1539" spans="1:5" ht="15.75">
      <c r="A1539" s="224"/>
      <c r="B1539" s="83"/>
      <c r="C1539" s="222"/>
      <c r="D1539" s="222"/>
      <c r="E1539" s="223"/>
    </row>
    <row r="1540" spans="1:5" ht="15.75">
      <c r="A1540" s="224"/>
      <c r="B1540" s="83"/>
      <c r="C1540" s="222"/>
      <c r="D1540" s="222"/>
      <c r="E1540" s="223"/>
    </row>
    <row r="1541" spans="1:5" ht="15.75">
      <c r="A1541" s="224"/>
      <c r="B1541" s="83"/>
      <c r="C1541" s="222"/>
      <c r="D1541" s="222"/>
      <c r="E1541" s="223"/>
    </row>
    <row r="1542" spans="1:5" ht="15.75">
      <c r="A1542" s="224"/>
      <c r="B1542" s="83"/>
      <c r="C1542" s="222"/>
      <c r="D1542" s="222"/>
      <c r="E1542" s="223"/>
    </row>
    <row r="1543" spans="1:5" ht="15.75">
      <c r="A1543" s="224"/>
      <c r="B1543" s="83"/>
      <c r="C1543" s="222"/>
      <c r="D1543" s="222"/>
      <c r="E1543" s="223"/>
    </row>
    <row r="1544" spans="1:5" ht="15.75">
      <c r="A1544" s="224"/>
      <c r="B1544" s="83"/>
      <c r="C1544" s="222"/>
      <c r="D1544" s="222"/>
      <c r="E1544" s="223"/>
    </row>
    <row r="1545" spans="1:5" ht="15.75">
      <c r="A1545" s="224"/>
      <c r="B1545" s="83"/>
      <c r="C1545" s="222"/>
      <c r="D1545" s="222"/>
      <c r="E1545" s="223"/>
    </row>
    <row r="1546" spans="1:5" ht="15.75">
      <c r="A1546" s="224"/>
      <c r="B1546" s="83"/>
      <c r="C1546" s="222"/>
      <c r="D1546" s="222"/>
      <c r="E1546" s="223"/>
    </row>
    <row r="1547" spans="1:5" ht="15.75">
      <c r="A1547" s="224"/>
      <c r="B1547" s="83"/>
      <c r="C1547" s="222"/>
      <c r="D1547" s="222"/>
      <c r="E1547" s="223"/>
    </row>
    <row r="1548" spans="1:5" ht="15.75">
      <c r="A1548" s="224"/>
      <c r="B1548" s="83"/>
      <c r="C1548" s="222"/>
      <c r="D1548" s="222"/>
      <c r="E1548" s="223"/>
    </row>
    <row r="1549" spans="1:5" ht="15.75">
      <c r="A1549" s="224"/>
      <c r="B1549" s="83"/>
      <c r="C1549" s="222"/>
      <c r="D1549" s="222"/>
      <c r="E1549" s="223"/>
    </row>
    <row r="1550" spans="1:5" ht="15.75">
      <c r="A1550" s="224"/>
      <c r="B1550" s="83"/>
      <c r="C1550" s="222"/>
      <c r="D1550" s="222"/>
      <c r="E1550" s="223"/>
    </row>
    <row r="1551" spans="1:5" ht="15.75">
      <c r="A1551" s="224"/>
      <c r="B1551" s="83"/>
      <c r="C1551" s="222"/>
      <c r="D1551" s="222"/>
      <c r="E1551" s="223"/>
    </row>
    <row r="1552" spans="1:5" ht="15.75">
      <c r="A1552" s="224"/>
      <c r="B1552" s="83"/>
      <c r="C1552" s="222"/>
      <c r="D1552" s="222"/>
      <c r="E1552" s="223"/>
    </row>
    <row r="1553" spans="1:5" ht="15.75">
      <c r="A1553" s="224"/>
      <c r="B1553" s="83"/>
      <c r="C1553" s="222"/>
      <c r="D1553" s="222"/>
      <c r="E1553" s="223"/>
    </row>
    <row r="1554" spans="1:5" ht="15.75">
      <c r="A1554" s="224"/>
      <c r="B1554" s="83"/>
      <c r="C1554" s="222"/>
      <c r="D1554" s="222"/>
      <c r="E1554" s="223"/>
    </row>
    <row r="1555" spans="1:5" ht="15.75">
      <c r="A1555" s="224"/>
      <c r="B1555" s="83"/>
      <c r="C1555" s="222"/>
      <c r="D1555" s="222"/>
      <c r="E1555" s="223"/>
    </row>
    <row r="1556" spans="1:5" ht="15.75">
      <c r="A1556" s="224"/>
      <c r="B1556" s="83"/>
      <c r="C1556" s="222"/>
      <c r="D1556" s="222"/>
      <c r="E1556" s="223"/>
    </row>
    <row r="1557" spans="1:5" ht="15.75">
      <c r="A1557" s="224"/>
      <c r="B1557" s="83"/>
      <c r="C1557" s="222"/>
      <c r="D1557" s="222"/>
      <c r="E1557" s="223"/>
    </row>
    <row r="1558" spans="1:5" ht="15.75">
      <c r="A1558" s="224"/>
      <c r="B1558" s="83"/>
      <c r="C1558" s="222"/>
      <c r="D1558" s="222"/>
      <c r="E1558" s="223"/>
    </row>
    <row r="1559" spans="1:5" ht="15.75">
      <c r="A1559" s="224"/>
      <c r="B1559" s="83"/>
      <c r="C1559" s="222"/>
      <c r="D1559" s="222"/>
      <c r="E1559" s="223"/>
    </row>
    <row r="1560" spans="1:5" ht="15.75">
      <c r="A1560" s="224"/>
      <c r="B1560" s="83"/>
      <c r="C1560" s="222"/>
      <c r="D1560" s="222"/>
      <c r="E1560" s="223"/>
    </row>
    <row r="1561" spans="1:5" ht="15.75">
      <c r="A1561" s="224"/>
      <c r="B1561" s="83"/>
      <c r="C1561" s="222"/>
      <c r="D1561" s="222"/>
      <c r="E1561" s="223"/>
    </row>
    <row r="1562" spans="1:5" ht="15.75">
      <c r="A1562" s="224"/>
      <c r="B1562" s="83"/>
      <c r="C1562" s="222"/>
      <c r="D1562" s="222"/>
      <c r="E1562" s="223"/>
    </row>
    <row r="1563" spans="1:5" ht="15.75">
      <c r="A1563" s="224"/>
      <c r="B1563" s="83"/>
      <c r="C1563" s="222"/>
      <c r="D1563" s="222"/>
      <c r="E1563" s="223"/>
    </row>
    <row r="1564" spans="1:5" ht="15.75">
      <c r="A1564" s="224"/>
      <c r="B1564" s="83"/>
      <c r="C1564" s="222"/>
      <c r="D1564" s="222"/>
      <c r="E1564" s="223"/>
    </row>
    <row r="1565" spans="1:5" ht="15.75">
      <c r="A1565" s="224"/>
      <c r="B1565" s="83"/>
      <c r="C1565" s="222"/>
      <c r="D1565" s="222"/>
      <c r="E1565" s="223"/>
    </row>
    <row r="1566" spans="1:5" ht="15.75">
      <c r="A1566" s="224"/>
      <c r="B1566" s="83"/>
      <c r="C1566" s="222"/>
      <c r="D1566" s="222"/>
      <c r="E1566" s="223"/>
    </row>
    <row r="1567" spans="1:5" ht="15.75">
      <c r="A1567" s="224"/>
      <c r="B1567" s="83"/>
      <c r="C1567" s="222"/>
      <c r="D1567" s="222"/>
      <c r="E1567" s="223"/>
    </row>
    <row r="1568" spans="1:5" ht="15.75">
      <c r="A1568" s="224"/>
      <c r="B1568" s="83"/>
      <c r="C1568" s="222"/>
      <c r="D1568" s="222"/>
      <c r="E1568" s="223"/>
    </row>
    <row r="1569" spans="1:5" ht="15.75">
      <c r="A1569" s="224"/>
      <c r="B1569" s="83"/>
      <c r="C1569" s="222"/>
      <c r="D1569" s="222"/>
      <c r="E1569" s="223"/>
    </row>
    <row r="1570" spans="1:5" ht="15.75">
      <c r="A1570" s="224"/>
      <c r="B1570" s="83"/>
      <c r="C1570" s="222"/>
      <c r="D1570" s="222"/>
      <c r="E1570" s="223"/>
    </row>
    <row r="1571" spans="1:5" ht="15.75">
      <c r="A1571" s="224"/>
      <c r="B1571" s="83"/>
      <c r="C1571" s="222"/>
      <c r="D1571" s="222"/>
      <c r="E1571" s="223"/>
    </row>
    <row r="1572" spans="1:5" ht="15.75">
      <c r="A1572" s="224"/>
      <c r="B1572" s="83"/>
      <c r="C1572" s="222"/>
      <c r="D1572" s="222"/>
      <c r="E1572" s="223"/>
    </row>
    <row r="1573" spans="1:5" ht="15.75">
      <c r="A1573" s="224"/>
      <c r="B1573" s="83"/>
      <c r="C1573" s="222"/>
      <c r="D1573" s="222"/>
      <c r="E1573" s="223"/>
    </row>
    <row r="1574" spans="1:5" ht="15.75">
      <c r="A1574" s="224"/>
      <c r="B1574" s="83"/>
      <c r="C1574" s="222"/>
      <c r="D1574" s="222"/>
      <c r="E1574" s="223"/>
    </row>
    <row r="1575" spans="1:5" ht="15.75">
      <c r="A1575" s="224"/>
      <c r="B1575" s="83"/>
      <c r="C1575" s="222"/>
      <c r="D1575" s="222"/>
      <c r="E1575" s="223"/>
    </row>
    <row r="1576" spans="1:5" ht="15.75">
      <c r="A1576" s="224"/>
      <c r="B1576" s="83"/>
      <c r="C1576" s="222"/>
      <c r="D1576" s="222"/>
      <c r="E1576" s="223"/>
    </row>
    <row r="1577" spans="1:5" ht="15.75">
      <c r="A1577" s="224"/>
      <c r="B1577" s="83"/>
      <c r="C1577" s="222"/>
      <c r="D1577" s="222"/>
      <c r="E1577" s="223"/>
    </row>
    <row r="1578" spans="1:5" ht="15.75">
      <c r="A1578" s="224"/>
      <c r="B1578" s="83"/>
      <c r="C1578" s="222"/>
      <c r="D1578" s="222"/>
      <c r="E1578" s="223"/>
    </row>
    <row r="1579" spans="1:5" ht="15.75">
      <c r="A1579" s="224"/>
      <c r="B1579" s="83"/>
      <c r="C1579" s="222"/>
      <c r="D1579" s="222"/>
      <c r="E1579" s="223"/>
    </row>
    <row r="1580" spans="1:5" ht="15.75">
      <c r="A1580" s="224"/>
      <c r="B1580" s="83"/>
      <c r="C1580" s="222"/>
      <c r="D1580" s="222"/>
      <c r="E1580" s="223"/>
    </row>
    <row r="1581" spans="1:5" ht="15.75">
      <c r="A1581" s="224"/>
      <c r="B1581" s="83"/>
      <c r="C1581" s="222"/>
      <c r="D1581" s="222"/>
      <c r="E1581" s="223"/>
    </row>
    <row r="1582" spans="1:5" ht="15.75">
      <c r="A1582" s="224"/>
      <c r="B1582" s="83"/>
      <c r="C1582" s="222"/>
      <c r="D1582" s="222"/>
      <c r="E1582" s="223"/>
    </row>
    <row r="1583" spans="1:5" ht="15.75">
      <c r="A1583" s="224"/>
      <c r="B1583" s="83"/>
      <c r="C1583" s="222"/>
      <c r="D1583" s="222"/>
      <c r="E1583" s="223"/>
    </row>
    <row r="1584" spans="1:5" ht="15.75">
      <c r="A1584" s="224"/>
      <c r="B1584" s="83"/>
      <c r="C1584" s="222"/>
      <c r="D1584" s="222"/>
      <c r="E1584" s="223"/>
    </row>
    <row r="1585" spans="1:5" ht="15.75">
      <c r="A1585" s="224"/>
      <c r="B1585" s="83"/>
      <c r="C1585" s="222"/>
      <c r="D1585" s="222"/>
      <c r="E1585" s="223"/>
    </row>
    <row r="1586" spans="1:5" ht="15.75">
      <c r="A1586" s="224"/>
      <c r="B1586" s="83"/>
      <c r="C1586" s="222"/>
      <c r="D1586" s="222"/>
      <c r="E1586" s="223"/>
    </row>
    <row r="1587" spans="1:5" ht="15.75">
      <c r="A1587" s="224"/>
      <c r="B1587" s="83"/>
      <c r="C1587" s="222"/>
      <c r="D1587" s="222"/>
      <c r="E1587" s="223"/>
    </row>
    <row r="1588" spans="1:5" ht="15.75">
      <c r="A1588" s="224"/>
      <c r="B1588" s="83"/>
      <c r="C1588" s="222"/>
      <c r="D1588" s="222"/>
      <c r="E1588" s="223"/>
    </row>
    <row r="1589" spans="1:5" ht="15.75">
      <c r="A1589" s="224"/>
      <c r="B1589" s="83"/>
      <c r="C1589" s="222"/>
      <c r="D1589" s="222"/>
      <c r="E1589" s="223"/>
    </row>
    <row r="1590" spans="1:5" ht="15.75">
      <c r="A1590" s="224"/>
      <c r="B1590" s="83"/>
      <c r="C1590" s="222"/>
      <c r="D1590" s="222"/>
      <c r="E1590" s="223"/>
    </row>
    <row r="1591" spans="1:5" ht="15.75">
      <c r="A1591" s="224"/>
      <c r="B1591" s="83"/>
      <c r="C1591" s="222"/>
      <c r="D1591" s="222"/>
      <c r="E1591" s="223"/>
    </row>
    <row r="1592" spans="1:5" ht="15.75">
      <c r="A1592" s="224"/>
      <c r="B1592" s="83"/>
      <c r="C1592" s="222"/>
      <c r="D1592" s="222"/>
      <c r="E1592" s="223"/>
    </row>
    <row r="1593" spans="1:5" ht="15.75">
      <c r="A1593" s="224"/>
      <c r="B1593" s="83"/>
      <c r="C1593" s="222"/>
      <c r="D1593" s="222"/>
      <c r="E1593" s="223"/>
    </row>
    <row r="1594" spans="1:5" ht="15.75">
      <c r="A1594" s="224"/>
      <c r="B1594" s="83"/>
      <c r="C1594" s="222"/>
      <c r="D1594" s="222"/>
      <c r="E1594" s="223"/>
    </row>
    <row r="1595" spans="1:5" ht="15.75">
      <c r="A1595" s="224"/>
      <c r="B1595" s="83"/>
      <c r="C1595" s="222"/>
      <c r="D1595" s="222"/>
      <c r="E1595" s="223"/>
    </row>
    <row r="1596" spans="1:5" ht="15.75">
      <c r="A1596" s="224"/>
      <c r="B1596" s="83"/>
      <c r="C1596" s="222"/>
      <c r="D1596" s="222"/>
      <c r="E1596" s="223"/>
    </row>
    <row r="1597" spans="1:5" ht="15.75">
      <c r="A1597" s="224"/>
      <c r="B1597" s="83"/>
      <c r="C1597" s="222"/>
      <c r="D1597" s="222"/>
      <c r="E1597" s="223"/>
    </row>
    <row r="1598" spans="1:5" ht="15.75">
      <c r="A1598" s="224"/>
      <c r="B1598" s="83"/>
      <c r="C1598" s="222"/>
      <c r="D1598" s="222"/>
      <c r="E1598" s="223"/>
    </row>
    <row r="1599" spans="1:5" ht="15.75">
      <c r="A1599" s="224"/>
      <c r="B1599" s="83"/>
      <c r="C1599" s="222"/>
      <c r="D1599" s="222"/>
      <c r="E1599" s="223"/>
    </row>
    <row r="1600" spans="1:5" ht="15.75">
      <c r="A1600" s="224"/>
      <c r="B1600" s="83"/>
      <c r="C1600" s="222"/>
      <c r="D1600" s="222"/>
      <c r="E1600" s="223"/>
    </row>
    <row r="1601" spans="1:5" ht="15.75">
      <c r="A1601" s="224"/>
      <c r="B1601" s="83"/>
      <c r="C1601" s="222"/>
      <c r="D1601" s="222"/>
      <c r="E1601" s="223"/>
    </row>
    <row r="1602" spans="1:5" ht="15.75">
      <c r="A1602" s="224"/>
      <c r="B1602" s="83"/>
      <c r="C1602" s="222"/>
      <c r="D1602" s="222"/>
      <c r="E1602" s="223"/>
    </row>
    <row r="1603" spans="1:5" ht="15.75">
      <c r="A1603" s="224"/>
      <c r="B1603" s="83"/>
      <c r="C1603" s="222"/>
      <c r="D1603" s="222"/>
      <c r="E1603" s="223"/>
    </row>
    <row r="1604" spans="1:5" ht="15.75">
      <c r="A1604" s="224"/>
      <c r="B1604" s="83"/>
      <c r="C1604" s="222"/>
      <c r="D1604" s="222"/>
      <c r="E1604" s="223"/>
    </row>
    <row r="1605" spans="1:5" ht="15.75">
      <c r="A1605" s="224"/>
      <c r="B1605" s="83"/>
      <c r="C1605" s="222"/>
      <c r="D1605" s="222"/>
      <c r="E1605" s="223"/>
    </row>
    <row r="1606" spans="1:5" ht="15.75">
      <c r="A1606" s="224"/>
      <c r="B1606" s="83"/>
      <c r="C1606" s="222"/>
      <c r="D1606" s="222"/>
      <c r="E1606" s="223"/>
    </row>
    <row r="1607" spans="1:5" ht="15.75">
      <c r="A1607" s="224"/>
      <c r="B1607" s="83"/>
      <c r="C1607" s="222"/>
      <c r="D1607" s="222"/>
      <c r="E1607" s="223"/>
    </row>
    <row r="1608" spans="1:5" ht="15.75">
      <c r="A1608" s="224"/>
      <c r="B1608" s="83"/>
      <c r="C1608" s="222"/>
      <c r="D1608" s="222"/>
      <c r="E1608" s="223"/>
    </row>
    <row r="1609" spans="1:5" ht="15.75">
      <c r="A1609" s="224"/>
      <c r="B1609" s="83"/>
      <c r="C1609" s="222"/>
      <c r="D1609" s="222"/>
      <c r="E1609" s="223"/>
    </row>
    <row r="1610" spans="1:5" ht="15.75">
      <c r="A1610" s="224"/>
      <c r="B1610" s="83"/>
      <c r="C1610" s="222"/>
      <c r="D1610" s="222"/>
      <c r="E1610" s="223"/>
    </row>
    <row r="1611" spans="1:5" ht="15.75">
      <c r="A1611" s="224"/>
      <c r="B1611" s="83"/>
      <c r="C1611" s="222"/>
      <c r="D1611" s="222"/>
      <c r="E1611" s="223"/>
    </row>
    <row r="1612" spans="1:5" ht="15.75">
      <c r="A1612" s="224"/>
      <c r="B1612" s="83"/>
      <c r="C1612" s="222"/>
      <c r="D1612" s="222"/>
      <c r="E1612" s="223"/>
    </row>
    <row r="1613" spans="1:5" ht="15.75">
      <c r="A1613" s="224"/>
      <c r="B1613" s="83"/>
      <c r="C1613" s="222"/>
      <c r="D1613" s="222"/>
      <c r="E1613" s="223"/>
    </row>
    <row r="1614" spans="1:5" ht="15.75">
      <c r="A1614" s="224"/>
      <c r="B1614" s="83"/>
      <c r="C1614" s="222"/>
      <c r="D1614" s="222"/>
      <c r="E1614" s="223"/>
    </row>
    <row r="1615" spans="1:5" ht="15.75">
      <c r="A1615" s="224"/>
      <c r="B1615" s="83"/>
      <c r="C1615" s="222"/>
      <c r="D1615" s="222"/>
      <c r="E1615" s="223"/>
    </row>
    <row r="1616" spans="1:5" ht="15.75">
      <c r="A1616" s="224"/>
      <c r="B1616" s="83"/>
      <c r="C1616" s="222"/>
      <c r="D1616" s="222"/>
      <c r="E1616" s="223"/>
    </row>
    <row r="1617" spans="1:5" ht="15.75">
      <c r="A1617" s="224"/>
      <c r="B1617" s="83"/>
      <c r="C1617" s="222"/>
      <c r="D1617" s="222"/>
      <c r="E1617" s="223"/>
    </row>
    <row r="1618" spans="1:5" ht="15.75">
      <c r="A1618" s="224"/>
      <c r="B1618" s="83"/>
      <c r="C1618" s="222"/>
      <c r="D1618" s="222"/>
      <c r="E1618" s="223"/>
    </row>
    <row r="1619" spans="1:5" ht="15.75">
      <c r="A1619" s="224"/>
      <c r="B1619" s="83"/>
      <c r="C1619" s="222"/>
      <c r="D1619" s="222"/>
      <c r="E1619" s="223"/>
    </row>
    <row r="1620" spans="1:5" ht="15.75">
      <c r="A1620" s="224"/>
      <c r="B1620" s="83"/>
      <c r="C1620" s="222"/>
      <c r="D1620" s="222"/>
      <c r="E1620" s="223"/>
    </row>
    <row r="1621" spans="1:5" ht="15.75">
      <c r="A1621" s="224"/>
      <c r="B1621" s="83"/>
      <c r="C1621" s="222"/>
      <c r="D1621" s="222"/>
      <c r="E1621" s="223"/>
    </row>
    <row r="1622" spans="1:5" ht="15.75">
      <c r="A1622" s="224"/>
      <c r="B1622" s="83"/>
      <c r="C1622" s="222"/>
      <c r="D1622" s="222"/>
      <c r="E1622" s="223"/>
    </row>
    <row r="1623" spans="1:5" ht="15.75">
      <c r="A1623" s="224"/>
      <c r="B1623" s="83"/>
      <c r="C1623" s="222"/>
      <c r="D1623" s="222"/>
      <c r="E1623" s="223"/>
    </row>
    <row r="1624" spans="1:5" ht="15.75">
      <c r="A1624" s="224"/>
      <c r="B1624" s="83"/>
      <c r="C1624" s="222"/>
      <c r="D1624" s="222"/>
      <c r="E1624" s="223"/>
    </row>
    <row r="1625" spans="1:5" ht="15.75">
      <c r="A1625" s="224"/>
      <c r="B1625" s="83"/>
      <c r="C1625" s="222"/>
      <c r="D1625" s="222"/>
      <c r="E1625" s="223"/>
    </row>
    <row r="1626" spans="1:5" ht="15.75">
      <c r="A1626" s="224"/>
      <c r="B1626" s="83"/>
      <c r="C1626" s="222"/>
      <c r="D1626" s="222"/>
      <c r="E1626" s="223"/>
    </row>
    <row r="1627" spans="1:5" ht="15.75">
      <c r="A1627" s="224"/>
      <c r="B1627" s="83"/>
      <c r="C1627" s="222"/>
      <c r="D1627" s="222"/>
      <c r="E1627" s="223"/>
    </row>
    <row r="1628" spans="1:5" ht="15.75">
      <c r="A1628" s="224"/>
      <c r="B1628" s="83"/>
      <c r="C1628" s="222"/>
      <c r="D1628" s="222"/>
      <c r="E1628" s="223"/>
    </row>
    <row r="1629" spans="1:5" ht="15.75">
      <c r="A1629" s="224"/>
      <c r="B1629" s="83"/>
      <c r="C1629" s="222"/>
      <c r="D1629" s="222"/>
      <c r="E1629" s="223"/>
    </row>
    <row r="1630" spans="1:5" ht="15.75">
      <c r="A1630" s="224"/>
      <c r="B1630" s="83"/>
      <c r="C1630" s="222"/>
      <c r="D1630" s="222"/>
      <c r="E1630" s="223"/>
    </row>
    <row r="1631" spans="1:5" ht="15.75">
      <c r="A1631" s="224"/>
      <c r="B1631" s="83"/>
      <c r="C1631" s="222"/>
      <c r="D1631" s="222"/>
      <c r="E1631" s="223"/>
    </row>
    <row r="1632" spans="1:5" ht="15.75">
      <c r="A1632" s="224"/>
      <c r="B1632" s="83"/>
      <c r="C1632" s="222"/>
      <c r="D1632" s="222"/>
      <c r="E1632" s="223"/>
    </row>
    <row r="1633" spans="1:5" ht="15.75">
      <c r="A1633" s="224"/>
      <c r="B1633" s="83"/>
      <c r="C1633" s="222"/>
      <c r="D1633" s="222"/>
      <c r="E1633" s="223"/>
    </row>
    <row r="1634" spans="1:5" ht="15.75">
      <c r="A1634" s="224"/>
      <c r="B1634" s="83"/>
      <c r="C1634" s="222"/>
      <c r="D1634" s="222"/>
      <c r="E1634" s="223"/>
    </row>
    <row r="1635" spans="1:5" ht="15.75">
      <c r="A1635" s="224"/>
      <c r="B1635" s="83"/>
      <c r="C1635" s="222"/>
      <c r="D1635" s="222"/>
      <c r="E1635" s="223"/>
    </row>
    <row r="1636" spans="1:5" ht="15.75">
      <c r="A1636" s="224"/>
      <c r="B1636" s="83"/>
      <c r="C1636" s="222"/>
      <c r="D1636" s="222"/>
      <c r="E1636" s="223"/>
    </row>
    <row r="1637" spans="1:5" ht="15.75">
      <c r="A1637" s="224"/>
      <c r="B1637" s="83"/>
      <c r="C1637" s="222"/>
      <c r="D1637" s="222"/>
      <c r="E1637" s="223"/>
    </row>
    <row r="1638" spans="1:5" ht="15.75">
      <c r="A1638" s="224"/>
      <c r="B1638" s="83"/>
      <c r="C1638" s="222"/>
      <c r="D1638" s="222"/>
      <c r="E1638" s="223"/>
    </row>
    <row r="1639" spans="1:5" ht="15.75">
      <c r="A1639" s="224"/>
      <c r="B1639" s="83"/>
      <c r="C1639" s="222"/>
      <c r="D1639" s="222"/>
      <c r="E1639" s="223"/>
    </row>
    <row r="1640" spans="1:5" ht="15.75">
      <c r="A1640" s="224"/>
      <c r="B1640" s="83"/>
      <c r="C1640" s="222"/>
      <c r="D1640" s="222"/>
      <c r="E1640" s="223"/>
    </row>
    <row r="1641" spans="1:5" ht="15.75">
      <c r="A1641" s="224"/>
      <c r="B1641" s="83"/>
      <c r="C1641" s="222"/>
      <c r="D1641" s="222"/>
      <c r="E1641" s="223"/>
    </row>
    <row r="1642" spans="1:5" ht="15.75">
      <c r="A1642" s="224"/>
      <c r="B1642" s="83"/>
      <c r="C1642" s="222"/>
      <c r="D1642" s="222"/>
      <c r="E1642" s="223"/>
    </row>
    <row r="1643" spans="1:5" ht="15.75">
      <c r="A1643" s="224"/>
      <c r="B1643" s="83"/>
      <c r="C1643" s="222"/>
      <c r="D1643" s="222"/>
      <c r="E1643" s="223"/>
    </row>
    <row r="1644" spans="1:5" ht="15.75">
      <c r="A1644" s="224"/>
      <c r="B1644" s="83"/>
      <c r="C1644" s="222"/>
      <c r="D1644" s="222"/>
      <c r="E1644" s="223"/>
    </row>
    <row r="1645" spans="1:5" ht="15.75">
      <c r="A1645" s="224"/>
      <c r="B1645" s="83"/>
      <c r="C1645" s="222"/>
      <c r="D1645" s="222"/>
      <c r="E1645" s="223"/>
    </row>
    <row r="1646" spans="1:5" ht="15.75">
      <c r="A1646" s="224"/>
      <c r="B1646" s="83"/>
      <c r="C1646" s="222"/>
      <c r="D1646" s="222"/>
      <c r="E1646" s="223"/>
    </row>
    <row r="1647" spans="1:5" ht="15.75">
      <c r="A1647" s="224"/>
      <c r="B1647" s="83"/>
      <c r="C1647" s="222"/>
      <c r="D1647" s="222"/>
      <c r="E1647" s="223"/>
    </row>
    <row r="1648" spans="1:5" ht="15.75">
      <c r="A1648" s="224"/>
      <c r="B1648" s="83"/>
      <c r="C1648" s="222"/>
      <c r="D1648" s="222"/>
      <c r="E1648" s="223"/>
    </row>
    <row r="1649" spans="1:5" ht="15.75">
      <c r="A1649" s="224"/>
      <c r="B1649" s="83"/>
      <c r="C1649" s="222"/>
      <c r="D1649" s="222"/>
      <c r="E1649" s="223"/>
    </row>
    <row r="1650" spans="1:5" ht="15.75">
      <c r="A1650" s="224"/>
      <c r="B1650" s="83"/>
      <c r="C1650" s="222"/>
      <c r="D1650" s="222"/>
      <c r="E1650" s="223"/>
    </row>
    <row r="1651" spans="1:5" ht="15.75">
      <c r="A1651" s="224"/>
      <c r="B1651" s="83"/>
      <c r="C1651" s="222"/>
      <c r="D1651" s="222"/>
      <c r="E1651" s="223"/>
    </row>
    <row r="1652" spans="1:5" ht="15.75">
      <c r="A1652" s="224"/>
      <c r="B1652" s="83"/>
      <c r="C1652" s="222"/>
      <c r="D1652" s="222"/>
      <c r="E1652" s="223"/>
    </row>
    <row r="1653" spans="1:5" ht="15.75">
      <c r="A1653" s="224"/>
      <c r="B1653" s="83"/>
      <c r="C1653" s="222"/>
      <c r="D1653" s="222"/>
      <c r="E1653" s="223"/>
    </row>
    <row r="1654" spans="1:5" ht="15.75">
      <c r="A1654" s="224"/>
      <c r="B1654" s="83"/>
      <c r="C1654" s="222"/>
      <c r="D1654" s="222"/>
      <c r="E1654" s="223"/>
    </row>
    <row r="1655" spans="1:5" ht="15.75">
      <c r="A1655" s="224"/>
      <c r="B1655" s="83"/>
      <c r="C1655" s="222"/>
      <c r="D1655" s="222"/>
      <c r="E1655" s="223"/>
    </row>
    <row r="1656" spans="1:5" ht="15.75">
      <c r="A1656" s="224"/>
      <c r="B1656" s="83"/>
      <c r="C1656" s="222"/>
      <c r="D1656" s="222"/>
      <c r="E1656" s="223"/>
    </row>
    <row r="1657" spans="1:5" ht="15.75">
      <c r="A1657" s="224"/>
      <c r="B1657" s="83"/>
      <c r="C1657" s="222"/>
      <c r="D1657" s="222"/>
      <c r="E1657" s="223"/>
    </row>
    <row r="1658" spans="1:5" ht="15.75">
      <c r="A1658" s="224"/>
      <c r="B1658" s="83"/>
      <c r="C1658" s="222"/>
      <c r="D1658" s="222"/>
      <c r="E1658" s="223"/>
    </row>
    <row r="1659" spans="1:5" ht="15.75">
      <c r="A1659" s="224"/>
      <c r="B1659" s="83"/>
      <c r="C1659" s="222"/>
      <c r="D1659" s="222"/>
      <c r="E1659" s="223"/>
    </row>
    <row r="1660" spans="1:5" ht="15.75">
      <c r="A1660" s="224"/>
      <c r="B1660" s="83"/>
      <c r="C1660" s="222"/>
      <c r="D1660" s="222"/>
      <c r="E1660" s="223"/>
    </row>
    <row r="1661" spans="1:5" ht="15.75">
      <c r="A1661" s="224"/>
      <c r="B1661" s="83"/>
      <c r="C1661" s="222"/>
      <c r="D1661" s="222"/>
      <c r="E1661" s="223"/>
    </row>
    <row r="1662" spans="1:5" ht="15.75">
      <c r="A1662" s="224"/>
      <c r="B1662" s="83"/>
      <c r="C1662" s="222"/>
      <c r="D1662" s="222"/>
      <c r="E1662" s="223"/>
    </row>
    <row r="1663" spans="1:5" ht="15.75">
      <c r="A1663" s="224"/>
      <c r="B1663" s="83"/>
      <c r="C1663" s="222"/>
      <c r="D1663" s="222"/>
      <c r="E1663" s="223"/>
    </row>
    <row r="1664" spans="1:5" ht="15.75">
      <c r="A1664" s="224"/>
      <c r="B1664" s="83"/>
      <c r="C1664" s="222"/>
      <c r="D1664" s="222"/>
      <c r="E1664" s="223"/>
    </row>
    <row r="1665" spans="1:5" ht="15.75">
      <c r="A1665" s="224"/>
      <c r="B1665" s="83"/>
      <c r="C1665" s="222"/>
      <c r="D1665" s="222"/>
      <c r="E1665" s="223"/>
    </row>
    <row r="1666" spans="1:5" ht="15.75">
      <c r="A1666" s="224"/>
      <c r="B1666" s="83"/>
      <c r="C1666" s="222"/>
      <c r="D1666" s="222"/>
      <c r="E1666" s="223"/>
    </row>
    <row r="1667" spans="1:5" ht="15.75">
      <c r="A1667" s="224"/>
      <c r="B1667" s="83"/>
      <c r="C1667" s="222"/>
      <c r="D1667" s="222"/>
      <c r="E1667" s="223"/>
    </row>
    <row r="1668" spans="1:5" ht="15.75">
      <c r="A1668" s="224"/>
      <c r="B1668" s="83"/>
      <c r="C1668" s="222"/>
      <c r="D1668" s="222"/>
      <c r="E1668" s="223"/>
    </row>
    <row r="1669" spans="1:5" ht="15.75">
      <c r="A1669" s="224"/>
      <c r="B1669" s="83"/>
      <c r="C1669" s="222"/>
      <c r="D1669" s="222"/>
      <c r="E1669" s="223"/>
    </row>
    <row r="1670" spans="1:5" ht="15.75">
      <c r="A1670" s="224"/>
      <c r="B1670" s="83"/>
      <c r="C1670" s="222"/>
      <c r="D1670" s="222"/>
      <c r="E1670" s="223"/>
    </row>
    <row r="1671" spans="1:5" ht="15.75">
      <c r="A1671" s="224"/>
      <c r="B1671" s="83"/>
      <c r="C1671" s="222"/>
      <c r="D1671" s="222"/>
      <c r="E1671" s="223"/>
    </row>
    <row r="1672" spans="1:5" ht="15.75">
      <c r="A1672" s="224"/>
      <c r="B1672" s="83"/>
      <c r="C1672" s="222"/>
      <c r="D1672" s="222"/>
      <c r="E1672" s="223"/>
    </row>
    <row r="1673" spans="1:5" ht="15.75">
      <c r="A1673" s="224"/>
      <c r="B1673" s="83"/>
      <c r="C1673" s="222"/>
      <c r="D1673" s="222"/>
      <c r="E1673" s="223"/>
    </row>
    <row r="1674" spans="1:5" ht="15.75">
      <c r="A1674" s="224"/>
      <c r="B1674" s="83"/>
      <c r="C1674" s="222"/>
      <c r="D1674" s="222"/>
      <c r="E1674" s="223"/>
    </row>
    <row r="1675" spans="1:5" ht="15.75">
      <c r="A1675" s="224"/>
      <c r="B1675" s="83"/>
      <c r="C1675" s="222"/>
      <c r="D1675" s="222"/>
      <c r="E1675" s="223"/>
    </row>
    <row r="1676" spans="1:5" ht="15.75">
      <c r="A1676" s="224"/>
      <c r="B1676" s="83"/>
      <c r="C1676" s="222"/>
      <c r="D1676" s="222"/>
      <c r="E1676" s="223"/>
    </row>
    <row r="1677" spans="1:5" ht="15.75">
      <c r="A1677" s="224"/>
      <c r="B1677" s="83"/>
      <c r="C1677" s="222"/>
      <c r="D1677" s="222"/>
      <c r="E1677" s="223"/>
    </row>
    <row r="1678" spans="1:5" ht="15.75">
      <c r="A1678" s="224"/>
      <c r="B1678" s="83"/>
      <c r="C1678" s="222"/>
      <c r="D1678" s="222"/>
      <c r="E1678" s="223"/>
    </row>
    <row r="1679" spans="1:5" ht="15.75">
      <c r="A1679" s="224"/>
      <c r="B1679" s="83"/>
      <c r="C1679" s="222"/>
      <c r="D1679" s="222"/>
      <c r="E1679" s="223"/>
    </row>
    <row r="1680" spans="1:5" ht="15.75">
      <c r="A1680" s="224"/>
      <c r="B1680" s="83"/>
      <c r="C1680" s="222"/>
      <c r="D1680" s="222"/>
      <c r="E1680" s="223"/>
    </row>
    <row r="1681" spans="1:5" ht="15.75">
      <c r="A1681" s="224"/>
      <c r="B1681" s="83"/>
      <c r="C1681" s="222"/>
      <c r="D1681" s="222"/>
      <c r="E1681" s="223"/>
    </row>
    <row r="1682" spans="1:5" ht="15.75">
      <c r="A1682" s="224"/>
      <c r="B1682" s="83"/>
      <c r="C1682" s="222"/>
      <c r="D1682" s="222"/>
      <c r="E1682" s="223"/>
    </row>
    <row r="1683" spans="1:5" ht="15.75">
      <c r="A1683" s="224"/>
      <c r="B1683" s="83"/>
      <c r="C1683" s="222"/>
      <c r="D1683" s="222"/>
      <c r="E1683" s="223"/>
    </row>
    <row r="1684" spans="1:5" ht="15.75">
      <c r="A1684" s="224"/>
      <c r="B1684" s="83"/>
      <c r="C1684" s="222"/>
      <c r="D1684" s="222"/>
      <c r="E1684" s="223"/>
    </row>
    <row r="1685" spans="1:5" ht="15.75">
      <c r="A1685" s="224"/>
      <c r="B1685" s="83"/>
      <c r="C1685" s="222"/>
      <c r="D1685" s="222"/>
      <c r="E1685" s="223"/>
    </row>
    <row r="1686" spans="1:5" ht="15.75">
      <c r="A1686" s="224"/>
      <c r="B1686" s="83"/>
      <c r="C1686" s="222"/>
      <c r="D1686" s="222"/>
      <c r="E1686" s="223"/>
    </row>
    <row r="1687" spans="1:5" ht="15.75">
      <c r="A1687" s="224"/>
      <c r="B1687" s="83"/>
      <c r="C1687" s="222"/>
      <c r="D1687" s="222"/>
      <c r="E1687" s="223"/>
    </row>
    <row r="1688" spans="1:5" ht="15.75">
      <c r="A1688" s="224"/>
      <c r="B1688" s="83"/>
      <c r="C1688" s="222"/>
      <c r="D1688" s="222"/>
      <c r="E1688" s="223"/>
    </row>
    <row r="1689" spans="1:5" ht="15.75">
      <c r="A1689" s="224"/>
      <c r="B1689" s="83"/>
      <c r="C1689" s="222"/>
      <c r="D1689" s="222"/>
      <c r="E1689" s="223"/>
    </row>
    <row r="1690" spans="1:5" ht="15.75">
      <c r="A1690" s="224"/>
      <c r="B1690" s="83"/>
      <c r="C1690" s="222"/>
      <c r="D1690" s="222"/>
      <c r="E1690" s="223"/>
    </row>
    <row r="1691" spans="1:5" ht="15.75">
      <c r="A1691" s="224"/>
      <c r="B1691" s="83"/>
      <c r="C1691" s="222"/>
      <c r="D1691" s="222"/>
      <c r="E1691" s="223"/>
    </row>
    <row r="1692" spans="1:5" ht="15.75">
      <c r="A1692" s="224"/>
      <c r="B1692" s="83"/>
      <c r="C1692" s="222"/>
      <c r="D1692" s="222"/>
      <c r="E1692" s="223"/>
    </row>
    <row r="1693" spans="1:5" ht="15.75">
      <c r="A1693" s="224"/>
      <c r="B1693" s="83"/>
      <c r="C1693" s="222"/>
      <c r="D1693" s="222"/>
      <c r="E1693" s="223"/>
    </row>
    <row r="1694" spans="1:5" ht="15.75">
      <c r="A1694" s="224"/>
      <c r="B1694" s="83"/>
      <c r="C1694" s="222"/>
      <c r="D1694" s="222"/>
      <c r="E1694" s="223"/>
    </row>
    <row r="1695" spans="1:5" ht="15.75">
      <c r="A1695" s="224"/>
      <c r="B1695" s="83"/>
      <c r="C1695" s="222"/>
      <c r="D1695" s="222"/>
      <c r="E1695" s="223"/>
    </row>
    <row r="1696" spans="1:5" ht="15.75">
      <c r="A1696" s="224"/>
      <c r="B1696" s="83"/>
      <c r="C1696" s="222"/>
      <c r="D1696" s="222"/>
      <c r="E1696" s="223"/>
    </row>
    <row r="1697" spans="1:5" ht="15.75">
      <c r="A1697" s="224"/>
      <c r="B1697" s="83"/>
      <c r="C1697" s="222"/>
      <c r="D1697" s="222"/>
      <c r="E1697" s="223"/>
    </row>
    <row r="1698" spans="1:5" ht="15.75">
      <c r="A1698" s="224"/>
      <c r="B1698" s="83"/>
      <c r="C1698" s="222"/>
      <c r="D1698" s="222"/>
      <c r="E1698" s="223"/>
    </row>
    <row r="1699" spans="1:5" ht="15.75">
      <c r="A1699" s="224"/>
      <c r="B1699" s="83"/>
      <c r="C1699" s="222"/>
      <c r="D1699" s="222"/>
      <c r="E1699" s="223"/>
    </row>
    <row r="1700" spans="1:5" ht="15.75">
      <c r="A1700" s="224"/>
      <c r="B1700" s="83"/>
      <c r="C1700" s="222"/>
      <c r="D1700" s="222"/>
      <c r="E1700" s="223"/>
    </row>
    <row r="1701" spans="1:5" ht="15.75">
      <c r="A1701" s="224"/>
      <c r="B1701" s="83"/>
      <c r="C1701" s="222"/>
      <c r="D1701" s="222"/>
      <c r="E1701" s="223"/>
    </row>
    <row r="1702" spans="1:5" ht="15.75">
      <c r="A1702" s="224"/>
      <c r="B1702" s="83"/>
      <c r="C1702" s="222"/>
      <c r="D1702" s="222"/>
      <c r="E1702" s="223"/>
    </row>
    <row r="1703" spans="1:5" ht="15.75">
      <c r="A1703" s="224"/>
      <c r="B1703" s="83"/>
      <c r="C1703" s="222"/>
      <c r="D1703" s="222"/>
      <c r="E1703" s="223"/>
    </row>
    <row r="1704" spans="1:5" ht="15.75">
      <c r="A1704" s="224"/>
      <c r="B1704" s="83"/>
      <c r="C1704" s="222"/>
      <c r="D1704" s="222"/>
      <c r="E1704" s="223"/>
    </row>
    <row r="1705" spans="1:5" ht="15.75">
      <c r="A1705" s="224"/>
      <c r="B1705" s="83"/>
      <c r="C1705" s="222"/>
      <c r="D1705" s="222"/>
      <c r="E1705" s="223"/>
    </row>
    <row r="1706" spans="1:5" ht="15.75">
      <c r="A1706" s="224"/>
      <c r="B1706" s="83"/>
      <c r="C1706" s="222"/>
      <c r="D1706" s="222"/>
      <c r="E1706" s="223"/>
    </row>
    <row r="1707" spans="1:5" ht="15.75">
      <c r="A1707" s="224"/>
      <c r="B1707" s="83"/>
      <c r="C1707" s="222"/>
      <c r="D1707" s="222"/>
      <c r="E1707" s="223"/>
    </row>
    <row r="1708" spans="1:5" ht="15.75">
      <c r="A1708" s="224"/>
      <c r="B1708" s="83"/>
      <c r="C1708" s="222"/>
      <c r="D1708" s="222"/>
      <c r="E1708" s="223"/>
    </row>
    <row r="1709" spans="1:5" ht="15.75">
      <c r="A1709" s="224"/>
      <c r="B1709" s="83"/>
      <c r="C1709" s="222"/>
      <c r="D1709" s="222"/>
      <c r="E1709" s="223"/>
    </row>
    <row r="1710" spans="1:5" ht="15.75">
      <c r="A1710" s="224"/>
      <c r="B1710" s="83"/>
      <c r="C1710" s="222"/>
      <c r="D1710" s="222"/>
      <c r="E1710" s="223"/>
    </row>
    <row r="1711" spans="1:5" ht="15.75">
      <c r="A1711" s="224"/>
      <c r="B1711" s="83"/>
      <c r="C1711" s="222"/>
      <c r="D1711" s="222"/>
      <c r="E1711" s="223"/>
    </row>
    <row r="1712" spans="1:5" ht="15.75">
      <c r="A1712" s="224"/>
      <c r="B1712" s="83"/>
      <c r="C1712" s="222"/>
      <c r="D1712" s="222"/>
      <c r="E1712" s="223"/>
    </row>
    <row r="1713" spans="1:5" ht="15.75">
      <c r="A1713" s="224"/>
      <c r="B1713" s="83"/>
      <c r="C1713" s="222"/>
      <c r="D1713" s="222"/>
      <c r="E1713" s="223"/>
    </row>
    <row r="1714" spans="1:5" ht="15.75">
      <c r="A1714" s="224"/>
      <c r="B1714" s="83"/>
      <c r="C1714" s="222"/>
      <c r="D1714" s="222"/>
      <c r="E1714" s="223"/>
    </row>
    <row r="1715" spans="1:5" ht="15.75">
      <c r="A1715" s="224"/>
      <c r="B1715" s="83"/>
      <c r="C1715" s="222"/>
      <c r="D1715" s="222"/>
      <c r="E1715" s="223"/>
    </row>
    <row r="1716" spans="1:5" ht="15.75">
      <c r="A1716" s="224"/>
      <c r="B1716" s="83"/>
      <c r="C1716" s="222"/>
      <c r="D1716" s="222"/>
      <c r="E1716" s="223"/>
    </row>
    <row r="1717" spans="1:5" ht="15.75">
      <c r="A1717" s="224"/>
      <c r="B1717" s="83"/>
      <c r="C1717" s="222"/>
      <c r="D1717" s="222"/>
      <c r="E1717" s="223"/>
    </row>
    <row r="1718" spans="1:5" ht="15.75">
      <c r="A1718" s="224"/>
      <c r="B1718" s="83"/>
      <c r="C1718" s="222"/>
      <c r="D1718" s="222"/>
      <c r="E1718" s="223"/>
    </row>
    <row r="1719" spans="1:5" ht="15.75">
      <c r="A1719" s="224"/>
      <c r="B1719" s="83"/>
      <c r="C1719" s="222"/>
      <c r="D1719" s="222"/>
      <c r="E1719" s="223"/>
    </row>
    <row r="1720" spans="1:5" ht="15.75">
      <c r="A1720" s="224"/>
      <c r="B1720" s="83"/>
      <c r="C1720" s="222"/>
      <c r="D1720" s="222"/>
      <c r="E1720" s="223"/>
    </row>
    <row r="1721" spans="1:5" ht="15.75">
      <c r="A1721" s="224"/>
      <c r="B1721" s="83"/>
      <c r="C1721" s="222"/>
      <c r="D1721" s="222"/>
      <c r="E1721" s="223"/>
    </row>
    <row r="1722" spans="1:5" ht="15.75">
      <c r="A1722" s="224"/>
      <c r="B1722" s="83"/>
      <c r="C1722" s="222"/>
      <c r="D1722" s="222"/>
      <c r="E1722" s="223"/>
    </row>
    <row r="1723" spans="1:5" ht="15.75">
      <c r="A1723" s="224"/>
      <c r="B1723" s="83"/>
      <c r="C1723" s="222"/>
      <c r="D1723" s="222"/>
      <c r="E1723" s="223"/>
    </row>
    <row r="1724" spans="1:5" ht="15.75">
      <c r="A1724" s="224"/>
      <c r="B1724" s="83"/>
      <c r="C1724" s="222"/>
      <c r="D1724" s="222"/>
      <c r="E1724" s="223"/>
    </row>
    <row r="1725" spans="1:5" ht="15.75">
      <c r="A1725" s="224"/>
      <c r="B1725" s="83"/>
      <c r="C1725" s="222"/>
      <c r="D1725" s="222"/>
      <c r="E1725" s="223"/>
    </row>
    <row r="1726" spans="1:5" ht="15.75">
      <c r="A1726" s="224"/>
      <c r="B1726" s="83"/>
      <c r="C1726" s="222"/>
      <c r="D1726" s="222"/>
      <c r="E1726" s="223"/>
    </row>
    <row r="1727" spans="1:5" ht="15.75">
      <c r="A1727" s="224"/>
      <c r="B1727" s="83"/>
      <c r="C1727" s="222"/>
      <c r="D1727" s="222"/>
      <c r="E1727" s="223"/>
    </row>
    <row r="1728" spans="1:5" ht="15.75">
      <c r="A1728" s="224"/>
      <c r="B1728" s="83"/>
      <c r="C1728" s="222"/>
      <c r="D1728" s="222"/>
      <c r="E1728" s="223"/>
    </row>
    <row r="1729" spans="1:5" ht="15.75">
      <c r="A1729" s="224"/>
      <c r="B1729" s="83"/>
      <c r="C1729" s="222"/>
      <c r="D1729" s="222"/>
      <c r="E1729" s="223"/>
    </row>
    <row r="1730" spans="1:5" ht="15.75">
      <c r="A1730" s="224"/>
      <c r="B1730" s="83"/>
      <c r="C1730" s="222"/>
      <c r="D1730" s="222"/>
      <c r="E1730" s="223"/>
    </row>
    <row r="1731" spans="1:5" ht="15.75">
      <c r="A1731" s="224"/>
      <c r="B1731" s="83"/>
      <c r="C1731" s="222"/>
      <c r="D1731" s="222"/>
      <c r="E1731" s="223"/>
    </row>
    <row r="1732" spans="1:5" ht="15.75">
      <c r="A1732" s="224"/>
      <c r="B1732" s="83"/>
      <c r="C1732" s="222"/>
      <c r="D1732" s="222"/>
      <c r="E1732" s="223"/>
    </row>
    <row r="1733" spans="1:5" ht="15.75">
      <c r="A1733" s="224"/>
      <c r="B1733" s="83"/>
      <c r="C1733" s="222"/>
      <c r="D1733" s="222"/>
      <c r="E1733" s="223"/>
    </row>
    <row r="1734" spans="1:5" ht="15.75">
      <c r="A1734" s="224"/>
      <c r="B1734" s="83"/>
      <c r="C1734" s="222"/>
      <c r="D1734" s="222"/>
      <c r="E1734" s="223"/>
    </row>
    <row r="1735" spans="1:5" ht="15.75">
      <c r="A1735" s="224"/>
      <c r="B1735" s="83"/>
      <c r="C1735" s="222"/>
      <c r="D1735" s="222"/>
      <c r="E1735" s="223"/>
    </row>
    <row r="1736" spans="1:5" ht="15.75">
      <c r="A1736" s="224"/>
      <c r="B1736" s="83"/>
      <c r="C1736" s="222"/>
      <c r="D1736" s="222"/>
      <c r="E1736" s="223"/>
    </row>
    <row r="1737" spans="1:5" ht="15.75">
      <c r="A1737" s="224"/>
      <c r="B1737" s="83"/>
      <c r="C1737" s="222"/>
      <c r="D1737" s="222"/>
      <c r="E1737" s="223"/>
    </row>
    <row r="1738" spans="1:5" ht="15.75">
      <c r="A1738" s="224"/>
      <c r="B1738" s="83"/>
      <c r="C1738" s="222"/>
      <c r="D1738" s="222"/>
      <c r="E1738" s="223"/>
    </row>
    <row r="1739" spans="1:5" ht="15.75">
      <c r="A1739" s="224"/>
      <c r="B1739" s="83"/>
      <c r="C1739" s="222"/>
      <c r="D1739" s="222"/>
      <c r="E1739" s="223"/>
    </row>
    <row r="1740" spans="1:5" ht="15.75">
      <c r="A1740" s="224"/>
      <c r="B1740" s="83"/>
      <c r="C1740" s="222"/>
      <c r="D1740" s="222"/>
      <c r="E1740" s="223"/>
    </row>
    <row r="1741" spans="1:5" ht="15.75">
      <c r="A1741" s="224"/>
      <c r="B1741" s="83"/>
      <c r="C1741" s="222"/>
      <c r="D1741" s="222"/>
      <c r="E1741" s="223"/>
    </row>
    <row r="1742" spans="1:5" ht="15.75">
      <c r="A1742" s="224"/>
      <c r="B1742" s="83"/>
      <c r="C1742" s="222"/>
      <c r="D1742" s="222"/>
      <c r="E1742" s="223"/>
    </row>
    <row r="1743" spans="1:5" ht="15.75">
      <c r="A1743" s="224"/>
      <c r="B1743" s="83"/>
      <c r="C1743" s="222"/>
      <c r="D1743" s="222"/>
      <c r="E1743" s="223"/>
    </row>
    <row r="1744" spans="1:5" ht="15.75">
      <c r="A1744" s="224"/>
      <c r="B1744" s="83"/>
      <c r="C1744" s="222"/>
      <c r="D1744" s="222"/>
      <c r="E1744" s="223"/>
    </row>
    <row r="1745" spans="1:5" ht="15.75">
      <c r="A1745" s="224"/>
      <c r="B1745" s="83"/>
      <c r="C1745" s="222"/>
      <c r="D1745" s="222"/>
      <c r="E1745" s="223"/>
    </row>
    <row r="1746" spans="1:5" ht="15.75">
      <c r="A1746" s="224"/>
      <c r="B1746" s="83"/>
      <c r="C1746" s="222"/>
      <c r="D1746" s="222"/>
      <c r="E1746" s="223"/>
    </row>
    <row r="1747" spans="1:5" ht="15.75">
      <c r="A1747" s="224"/>
      <c r="B1747" s="83"/>
      <c r="C1747" s="222"/>
      <c r="D1747" s="222"/>
      <c r="E1747" s="223"/>
    </row>
    <row r="1748" spans="1:5" ht="15.75">
      <c r="A1748" s="224"/>
      <c r="B1748" s="83"/>
      <c r="C1748" s="222"/>
      <c r="D1748" s="222"/>
      <c r="E1748" s="223"/>
    </row>
    <row r="1749" spans="1:5" ht="15.75">
      <c r="A1749" s="224"/>
      <c r="B1749" s="83"/>
      <c r="C1749" s="222"/>
      <c r="D1749" s="222"/>
      <c r="E1749" s="223"/>
    </row>
    <row r="1750" spans="1:5" ht="15.75">
      <c r="A1750" s="224"/>
      <c r="B1750" s="83"/>
      <c r="C1750" s="222"/>
      <c r="D1750" s="222"/>
      <c r="E1750" s="223"/>
    </row>
    <row r="1751" spans="1:5" ht="15.75">
      <c r="A1751" s="224"/>
      <c r="B1751" s="83"/>
      <c r="C1751" s="222"/>
      <c r="D1751" s="222"/>
      <c r="E1751" s="223"/>
    </row>
    <row r="1752" spans="1:5" ht="15.75">
      <c r="A1752" s="224"/>
      <c r="B1752" s="83"/>
      <c r="C1752" s="222"/>
      <c r="D1752" s="222"/>
      <c r="E1752" s="223"/>
    </row>
    <row r="1753" spans="1:5" ht="15.75">
      <c r="A1753" s="224"/>
      <c r="B1753" s="83"/>
      <c r="C1753" s="222"/>
      <c r="D1753" s="222"/>
      <c r="E1753" s="223"/>
    </row>
    <row r="1754" spans="1:5" ht="15.75">
      <c r="A1754" s="224"/>
      <c r="B1754" s="83"/>
      <c r="C1754" s="222"/>
      <c r="D1754" s="222"/>
      <c r="E1754" s="223"/>
    </row>
    <row r="1755" spans="1:5" ht="15.75">
      <c r="A1755" s="224"/>
      <c r="B1755" s="83"/>
      <c r="C1755" s="222"/>
      <c r="D1755" s="222"/>
      <c r="E1755" s="223"/>
    </row>
    <row r="1756" spans="1:5" ht="15.75">
      <c r="A1756" s="224"/>
      <c r="B1756" s="83"/>
      <c r="C1756" s="222"/>
      <c r="D1756" s="222"/>
      <c r="E1756" s="223"/>
    </row>
    <row r="1757" spans="1:5" ht="15.75">
      <c r="A1757" s="224"/>
      <c r="B1757" s="83"/>
      <c r="C1757" s="222"/>
      <c r="D1757" s="222"/>
      <c r="E1757" s="223"/>
    </row>
    <row r="1758" spans="1:5" ht="15.75">
      <c r="A1758" s="224"/>
      <c r="B1758" s="83"/>
      <c r="C1758" s="222"/>
      <c r="D1758" s="222"/>
      <c r="E1758" s="223"/>
    </row>
    <row r="1759" spans="1:5" ht="15.75">
      <c r="A1759" s="224"/>
      <c r="B1759" s="83"/>
      <c r="C1759" s="222"/>
      <c r="D1759" s="222"/>
      <c r="E1759" s="223"/>
    </row>
    <row r="1760" spans="1:5" ht="15.75">
      <c r="A1760" s="224"/>
      <c r="B1760" s="83"/>
      <c r="C1760" s="222"/>
      <c r="D1760" s="222"/>
      <c r="E1760" s="223"/>
    </row>
    <row r="1761" spans="1:5" ht="15.75">
      <c r="A1761" s="224"/>
      <c r="B1761" s="83"/>
      <c r="C1761" s="222"/>
      <c r="D1761" s="222"/>
      <c r="E1761" s="223"/>
    </row>
    <row r="1762" spans="1:5" ht="15.75">
      <c r="A1762" s="224"/>
      <c r="B1762" s="83"/>
      <c r="C1762" s="222"/>
      <c r="D1762" s="222"/>
      <c r="E1762" s="223"/>
    </row>
    <row r="1763" spans="1:5" ht="15.75">
      <c r="A1763" s="224"/>
      <c r="B1763" s="83"/>
      <c r="C1763" s="222"/>
      <c r="D1763" s="222"/>
      <c r="E1763" s="223"/>
    </row>
    <row r="1764" spans="1:5" ht="15.75">
      <c r="A1764" s="224"/>
      <c r="B1764" s="83"/>
      <c r="C1764" s="222"/>
      <c r="D1764" s="222"/>
      <c r="E1764" s="223"/>
    </row>
    <row r="1765" spans="1:5" ht="15.75">
      <c r="A1765" s="224"/>
      <c r="B1765" s="83"/>
      <c r="C1765" s="222"/>
      <c r="D1765" s="222"/>
      <c r="E1765" s="223"/>
    </row>
    <row r="1766" spans="1:5" ht="15.75">
      <c r="A1766" s="224"/>
      <c r="B1766" s="83"/>
      <c r="C1766" s="222"/>
      <c r="D1766" s="222"/>
      <c r="E1766" s="223"/>
    </row>
    <row r="1767" spans="1:5" ht="15.75">
      <c r="A1767" s="224"/>
      <c r="B1767" s="83"/>
      <c r="C1767" s="222"/>
      <c r="D1767" s="222"/>
      <c r="E1767" s="223"/>
    </row>
    <row r="1768" spans="1:5" ht="15.75">
      <c r="A1768" s="224"/>
      <c r="B1768" s="83"/>
      <c r="C1768" s="222"/>
      <c r="D1768" s="222"/>
      <c r="E1768" s="223"/>
    </row>
    <row r="1769" spans="1:5" ht="15.75">
      <c r="A1769" s="224"/>
      <c r="B1769" s="83"/>
      <c r="C1769" s="222"/>
      <c r="D1769" s="222"/>
      <c r="E1769" s="223"/>
    </row>
    <row r="1770" spans="1:5" ht="15.75">
      <c r="A1770" s="224"/>
      <c r="B1770" s="83"/>
      <c r="C1770" s="222"/>
      <c r="D1770" s="222"/>
      <c r="E1770" s="223"/>
    </row>
    <row r="1771" spans="1:5" ht="15.75">
      <c r="A1771" s="224"/>
      <c r="B1771" s="83"/>
      <c r="C1771" s="222"/>
      <c r="D1771" s="222"/>
      <c r="E1771" s="223"/>
    </row>
    <row r="1772" spans="1:5" ht="15.75">
      <c r="A1772" s="224"/>
      <c r="B1772" s="83"/>
      <c r="C1772" s="222"/>
      <c r="D1772" s="222"/>
      <c r="E1772" s="223"/>
    </row>
    <row r="1773" spans="1:5" ht="15.75">
      <c r="A1773" s="224"/>
      <c r="B1773" s="83"/>
      <c r="C1773" s="222"/>
      <c r="D1773" s="222"/>
      <c r="E1773" s="223"/>
    </row>
    <row r="1774" spans="1:5" ht="15.75">
      <c r="A1774" s="224"/>
      <c r="B1774" s="83"/>
      <c r="C1774" s="222"/>
      <c r="D1774" s="222"/>
      <c r="E1774" s="223"/>
    </row>
    <row r="1775" spans="1:5" ht="15.75">
      <c r="A1775" s="224"/>
      <c r="B1775" s="83"/>
      <c r="C1775" s="222"/>
      <c r="D1775" s="222"/>
      <c r="E1775" s="223"/>
    </row>
    <row r="1776" spans="1:5" ht="15.75">
      <c r="A1776" s="224"/>
      <c r="B1776" s="83"/>
      <c r="C1776" s="222"/>
      <c r="D1776" s="222"/>
      <c r="E1776" s="223"/>
    </row>
    <row r="1777" spans="1:5" ht="15.75">
      <c r="A1777" s="224"/>
      <c r="B1777" s="83"/>
      <c r="C1777" s="222"/>
      <c r="D1777" s="222"/>
      <c r="E1777" s="223"/>
    </row>
    <row r="1778" spans="1:5" ht="15.75">
      <c r="A1778" s="224"/>
      <c r="B1778" s="83"/>
      <c r="C1778" s="222"/>
      <c r="D1778" s="222"/>
      <c r="E1778" s="223"/>
    </row>
    <row r="1779" spans="1:5" ht="15.75">
      <c r="A1779" s="224"/>
      <c r="B1779" s="83"/>
      <c r="C1779" s="222"/>
      <c r="D1779" s="222"/>
      <c r="E1779" s="223"/>
    </row>
    <row r="1780" spans="1:5" ht="15.75">
      <c r="A1780" s="224"/>
      <c r="B1780" s="83"/>
      <c r="C1780" s="222"/>
      <c r="D1780" s="222"/>
      <c r="E1780" s="223"/>
    </row>
    <row r="1781" spans="1:5" ht="15.75">
      <c r="A1781" s="224"/>
      <c r="B1781" s="83"/>
      <c r="C1781" s="222"/>
      <c r="D1781" s="222"/>
      <c r="E1781" s="223"/>
    </row>
    <row r="1782" spans="1:5" ht="15.75">
      <c r="A1782" s="224"/>
      <c r="B1782" s="83"/>
      <c r="C1782" s="222"/>
      <c r="D1782" s="222"/>
      <c r="E1782" s="223"/>
    </row>
    <row r="1783" spans="1:5" ht="15.75">
      <c r="A1783" s="224"/>
      <c r="B1783" s="83"/>
      <c r="C1783" s="222"/>
      <c r="D1783" s="222"/>
      <c r="E1783" s="223"/>
    </row>
    <row r="1784" spans="1:5" ht="15.75">
      <c r="A1784" s="224"/>
      <c r="B1784" s="83"/>
      <c r="C1784" s="222"/>
      <c r="D1784" s="222"/>
      <c r="E1784" s="223"/>
    </row>
    <row r="1785" spans="1:5" ht="15.75">
      <c r="A1785" s="224"/>
      <c r="B1785" s="83"/>
      <c r="C1785" s="222"/>
      <c r="D1785" s="222"/>
      <c r="E1785" s="223"/>
    </row>
    <row r="1786" spans="1:5" ht="15.75">
      <c r="A1786" s="224"/>
      <c r="B1786" s="83"/>
      <c r="C1786" s="222"/>
      <c r="D1786" s="222"/>
      <c r="E1786" s="223"/>
    </row>
    <row r="1787" spans="1:5" ht="15.75">
      <c r="A1787" s="224"/>
      <c r="B1787" s="83"/>
      <c r="C1787" s="222"/>
      <c r="D1787" s="222"/>
      <c r="E1787" s="223"/>
    </row>
    <row r="1788" spans="1:5" ht="15.75">
      <c r="A1788" s="224"/>
      <c r="B1788" s="83"/>
      <c r="C1788" s="222"/>
      <c r="D1788" s="222"/>
      <c r="E1788" s="223"/>
    </row>
    <row r="1789" spans="1:5" ht="15.75">
      <c r="A1789" s="224"/>
      <c r="B1789" s="83"/>
      <c r="C1789" s="222"/>
      <c r="D1789" s="222"/>
      <c r="E1789" s="223"/>
    </row>
    <row r="1790" spans="1:5" ht="15.75">
      <c r="A1790" s="224"/>
      <c r="B1790" s="83"/>
      <c r="C1790" s="222"/>
      <c r="D1790" s="222"/>
      <c r="E1790" s="223"/>
    </row>
    <row r="1791" spans="1:5" ht="15.75">
      <c r="A1791" s="224"/>
      <c r="B1791" s="83"/>
      <c r="C1791" s="222"/>
      <c r="D1791" s="222"/>
      <c r="E1791" s="223"/>
    </row>
    <row r="1792" spans="1:5" ht="15.75">
      <c r="A1792" s="224"/>
      <c r="B1792" s="83"/>
      <c r="C1792" s="222"/>
      <c r="D1792" s="222"/>
      <c r="E1792" s="223"/>
    </row>
    <row r="1793" spans="1:5" ht="15.75">
      <c r="A1793" s="224"/>
      <c r="B1793" s="83"/>
      <c r="C1793" s="222"/>
      <c r="D1793" s="222"/>
      <c r="E1793" s="223"/>
    </row>
    <row r="1794" spans="1:5" ht="15.75">
      <c r="A1794" s="224"/>
      <c r="B1794" s="83"/>
      <c r="C1794" s="222"/>
      <c r="D1794" s="222"/>
      <c r="E1794" s="223"/>
    </row>
    <row r="1795" spans="1:5" ht="15.75">
      <c r="A1795" s="224"/>
      <c r="B1795" s="83"/>
      <c r="C1795" s="222"/>
      <c r="D1795" s="222"/>
      <c r="E1795" s="223"/>
    </row>
    <row r="1796" spans="1:5" ht="15.75">
      <c r="A1796" s="224"/>
      <c r="B1796" s="83"/>
      <c r="C1796" s="222"/>
      <c r="D1796" s="222"/>
      <c r="E1796" s="223"/>
    </row>
    <row r="1797" spans="1:5" ht="15.75">
      <c r="A1797" s="224"/>
      <c r="B1797" s="83"/>
      <c r="C1797" s="222"/>
      <c r="D1797" s="222"/>
      <c r="E1797" s="223"/>
    </row>
    <row r="1798" spans="1:5" ht="15.75">
      <c r="A1798" s="224"/>
      <c r="B1798" s="83"/>
      <c r="C1798" s="222"/>
      <c r="D1798" s="222"/>
      <c r="E1798" s="223"/>
    </row>
    <row r="1799" spans="1:5" ht="15.75">
      <c r="A1799" s="224"/>
      <c r="B1799" s="83"/>
      <c r="C1799" s="222"/>
      <c r="D1799" s="222"/>
      <c r="E1799" s="223"/>
    </row>
    <row r="1800" spans="1:5" ht="15.75">
      <c r="A1800" s="224"/>
      <c r="B1800" s="83"/>
      <c r="C1800" s="222"/>
      <c r="D1800" s="222"/>
      <c r="E1800" s="223"/>
    </row>
    <row r="1801" spans="1:5" ht="15.75">
      <c r="A1801" s="224"/>
      <c r="B1801" s="83"/>
      <c r="C1801" s="222"/>
      <c r="D1801" s="222"/>
      <c r="E1801" s="223"/>
    </row>
    <row r="1802" spans="1:5" ht="15.75">
      <c r="A1802" s="224"/>
      <c r="B1802" s="83"/>
      <c r="C1802" s="222"/>
      <c r="D1802" s="222"/>
      <c r="E1802" s="223"/>
    </row>
    <row r="1803" spans="1:5" ht="15.75">
      <c r="A1803" s="224"/>
      <c r="B1803" s="83"/>
      <c r="C1803" s="222"/>
      <c r="D1803" s="222"/>
      <c r="E1803" s="223"/>
    </row>
    <row r="1804" spans="1:5" ht="15.75">
      <c r="A1804" s="224"/>
      <c r="B1804" s="83"/>
      <c r="C1804" s="222"/>
      <c r="D1804" s="222"/>
      <c r="E1804" s="223"/>
    </row>
    <row r="1805" spans="1:5" ht="15.75">
      <c r="A1805" s="224"/>
      <c r="B1805" s="83"/>
      <c r="C1805" s="222"/>
      <c r="D1805" s="222"/>
      <c r="E1805" s="223"/>
    </row>
    <row r="1806" spans="1:5" ht="15.75">
      <c r="A1806" s="224"/>
      <c r="B1806" s="83"/>
      <c r="C1806" s="222"/>
      <c r="D1806" s="222"/>
      <c r="E1806" s="223"/>
    </row>
    <row r="1807" spans="1:5" ht="15.75">
      <c r="A1807" s="224"/>
      <c r="B1807" s="83"/>
      <c r="C1807" s="222"/>
      <c r="D1807" s="222"/>
      <c r="E1807" s="223"/>
    </row>
    <row r="1808" spans="1:5" ht="15.75">
      <c r="A1808" s="224"/>
      <c r="B1808" s="83"/>
      <c r="C1808" s="222"/>
      <c r="D1808" s="222"/>
      <c r="E1808" s="223"/>
    </row>
    <row r="1809" spans="1:5" ht="15.75">
      <c r="A1809" s="224"/>
      <c r="B1809" s="83"/>
      <c r="C1809" s="222"/>
      <c r="D1809" s="222"/>
      <c r="E1809" s="223"/>
    </row>
    <row r="1810" spans="1:5" ht="15.75">
      <c r="A1810" s="224"/>
      <c r="B1810" s="83"/>
      <c r="C1810" s="222"/>
      <c r="D1810" s="222"/>
      <c r="E1810" s="223"/>
    </row>
    <row r="1811" spans="1:5" ht="15.75">
      <c r="A1811" s="224"/>
      <c r="B1811" s="83"/>
      <c r="C1811" s="222"/>
      <c r="D1811" s="222"/>
      <c r="E1811" s="223"/>
    </row>
    <row r="1812" spans="1:5" ht="15.75">
      <c r="A1812" s="224"/>
      <c r="B1812" s="83"/>
      <c r="C1812" s="222"/>
      <c r="D1812" s="222"/>
      <c r="E1812" s="223"/>
    </row>
    <row r="1813" spans="1:5" ht="15.75">
      <c r="A1813" s="224"/>
      <c r="B1813" s="83"/>
      <c r="C1813" s="222"/>
      <c r="D1813" s="222"/>
      <c r="E1813" s="223"/>
    </row>
    <row r="1814" spans="1:5" ht="15.75">
      <c r="A1814" s="224"/>
      <c r="B1814" s="83"/>
      <c r="C1814" s="222"/>
      <c r="D1814" s="222"/>
      <c r="E1814" s="223"/>
    </row>
    <row r="1815" spans="1:5" ht="15.75">
      <c r="A1815" s="224"/>
      <c r="B1815" s="83"/>
      <c r="C1815" s="222"/>
      <c r="D1815" s="222"/>
      <c r="E1815" s="223"/>
    </row>
    <row r="1816" spans="1:5" ht="15.75">
      <c r="A1816" s="224"/>
      <c r="B1816" s="83"/>
      <c r="C1816" s="222"/>
      <c r="D1816" s="222"/>
      <c r="E1816" s="223"/>
    </row>
    <row r="1817" spans="1:5" ht="15.75">
      <c r="A1817" s="224"/>
      <c r="B1817" s="83"/>
      <c r="C1817" s="222"/>
      <c r="D1817" s="222"/>
      <c r="E1817" s="223"/>
    </row>
    <row r="1818" spans="1:5" ht="15.75">
      <c r="A1818" s="224"/>
      <c r="B1818" s="83"/>
      <c r="C1818" s="222"/>
      <c r="D1818" s="222"/>
      <c r="E1818" s="223"/>
    </row>
    <row r="1819" spans="1:5" ht="15.75">
      <c r="A1819" s="224"/>
      <c r="B1819" s="83"/>
      <c r="C1819" s="222"/>
      <c r="D1819" s="222"/>
      <c r="E1819" s="223"/>
    </row>
    <row r="1820" spans="1:5" ht="15.75">
      <c r="A1820" s="224"/>
      <c r="B1820" s="83"/>
      <c r="C1820" s="222"/>
      <c r="D1820" s="222"/>
      <c r="E1820" s="223"/>
    </row>
    <row r="1821" spans="1:5" ht="15.75">
      <c r="A1821" s="224"/>
      <c r="B1821" s="83"/>
      <c r="C1821" s="222"/>
      <c r="D1821" s="222"/>
      <c r="E1821" s="223"/>
    </row>
    <row r="1822" spans="1:5" ht="15.75">
      <c r="A1822" s="224"/>
      <c r="B1822" s="83"/>
      <c r="C1822" s="222"/>
      <c r="D1822" s="222"/>
      <c r="E1822" s="223"/>
    </row>
    <row r="1823" spans="1:5" ht="15.75">
      <c r="A1823" s="224"/>
      <c r="B1823" s="83"/>
      <c r="C1823" s="222"/>
      <c r="D1823" s="222"/>
      <c r="E1823" s="223"/>
    </row>
    <row r="1824" spans="1:5" ht="15.75">
      <c r="A1824" s="224"/>
      <c r="B1824" s="83"/>
      <c r="C1824" s="222"/>
      <c r="D1824" s="222"/>
      <c r="E1824" s="223"/>
    </row>
    <row r="1825" spans="1:5" ht="15.75">
      <c r="A1825" s="224"/>
      <c r="B1825" s="83"/>
      <c r="C1825" s="222"/>
      <c r="D1825" s="222"/>
      <c r="E1825" s="223"/>
    </row>
    <row r="1826" spans="1:5" ht="15.75">
      <c r="A1826" s="224"/>
      <c r="B1826" s="83"/>
      <c r="C1826" s="222"/>
      <c r="D1826" s="222"/>
      <c r="E1826" s="223"/>
    </row>
    <row r="1827" spans="1:5" ht="15.75">
      <c r="A1827" s="224"/>
      <c r="B1827" s="83"/>
      <c r="C1827" s="222"/>
      <c r="D1827" s="222"/>
      <c r="E1827" s="223"/>
    </row>
    <row r="1828" spans="1:5" ht="15.75">
      <c r="A1828" s="224"/>
      <c r="B1828" s="83"/>
      <c r="C1828" s="222"/>
      <c r="D1828" s="222"/>
      <c r="E1828" s="223"/>
    </row>
    <row r="1829" spans="1:5" ht="15.75">
      <c r="A1829" s="224"/>
      <c r="B1829" s="83"/>
      <c r="C1829" s="222"/>
      <c r="D1829" s="222"/>
      <c r="E1829" s="223"/>
    </row>
    <row r="1830" spans="1:5" ht="15.75">
      <c r="A1830" s="224"/>
      <c r="B1830" s="83"/>
      <c r="C1830" s="222"/>
      <c r="D1830" s="222"/>
      <c r="E1830" s="223"/>
    </row>
    <row r="1831" spans="1:5" ht="15.75">
      <c r="A1831" s="224"/>
      <c r="B1831" s="83"/>
      <c r="C1831" s="222"/>
      <c r="D1831" s="222"/>
      <c r="E1831" s="223"/>
    </row>
    <row r="1832" spans="1:5" ht="15.75">
      <c r="A1832" s="224"/>
      <c r="B1832" s="83"/>
      <c r="C1832" s="222"/>
      <c r="D1832" s="222"/>
      <c r="E1832" s="223"/>
    </row>
    <row r="1833" spans="1:5" ht="15.75">
      <c r="A1833" s="224"/>
      <c r="B1833" s="83"/>
      <c r="C1833" s="222"/>
      <c r="D1833" s="222"/>
      <c r="E1833" s="223"/>
    </row>
    <row r="1834" spans="1:5" ht="15.75">
      <c r="A1834" s="224"/>
      <c r="B1834" s="83"/>
      <c r="C1834" s="222"/>
      <c r="D1834" s="222"/>
      <c r="E1834" s="223"/>
    </row>
    <row r="1835" spans="1:5" ht="15.75">
      <c r="A1835" s="224"/>
      <c r="B1835" s="83"/>
      <c r="C1835" s="222"/>
      <c r="D1835" s="222"/>
      <c r="E1835" s="223"/>
    </row>
    <row r="1836" spans="1:5" ht="15.75">
      <c r="A1836" s="224"/>
      <c r="B1836" s="83"/>
      <c r="C1836" s="222"/>
      <c r="D1836" s="222"/>
      <c r="E1836" s="223"/>
    </row>
    <row r="1837" spans="1:5" ht="15.75">
      <c r="A1837" s="224"/>
      <c r="B1837" s="83"/>
      <c r="C1837" s="222"/>
      <c r="D1837" s="222"/>
      <c r="E1837" s="223"/>
    </row>
    <row r="1838" spans="1:5" ht="15.75">
      <c r="A1838" s="224"/>
      <c r="B1838" s="83"/>
      <c r="C1838" s="222"/>
      <c r="D1838" s="222"/>
      <c r="E1838" s="223"/>
    </row>
    <row r="1839" spans="1:5" ht="15.75">
      <c r="A1839" s="224"/>
      <c r="B1839" s="83"/>
      <c r="C1839" s="222"/>
      <c r="D1839" s="222"/>
      <c r="E1839" s="223"/>
    </row>
    <row r="1840" spans="1:5" ht="15.75">
      <c r="A1840" s="224"/>
      <c r="B1840" s="83"/>
      <c r="C1840" s="222"/>
      <c r="D1840" s="222"/>
      <c r="E1840" s="223"/>
    </row>
    <row r="1841" spans="1:5" ht="15.75">
      <c r="A1841" s="224"/>
      <c r="B1841" s="83"/>
      <c r="C1841" s="222"/>
      <c r="D1841" s="222"/>
      <c r="E1841" s="223"/>
    </row>
    <row r="1842" spans="1:5" ht="15.75">
      <c r="A1842" s="224"/>
      <c r="B1842" s="83"/>
      <c r="C1842" s="222"/>
      <c r="D1842" s="222"/>
      <c r="E1842" s="223"/>
    </row>
    <row r="1843" spans="1:5" ht="15.75">
      <c r="A1843" s="224"/>
      <c r="B1843" s="83"/>
      <c r="C1843" s="222"/>
      <c r="D1843" s="222"/>
      <c r="E1843" s="223"/>
    </row>
    <row r="1844" spans="1:5" ht="15.75">
      <c r="A1844" s="224"/>
      <c r="B1844" s="83"/>
      <c r="C1844" s="222"/>
      <c r="D1844" s="222"/>
      <c r="E1844" s="223"/>
    </row>
    <row r="1845" spans="1:5" ht="15.75">
      <c r="A1845" s="224"/>
      <c r="B1845" s="83"/>
      <c r="C1845" s="222"/>
      <c r="D1845" s="222"/>
      <c r="E1845" s="223"/>
    </row>
    <row r="1846" spans="1:5" ht="15.75">
      <c r="A1846" s="224"/>
      <c r="B1846" s="83"/>
      <c r="C1846" s="222"/>
      <c r="D1846" s="222"/>
      <c r="E1846" s="223"/>
    </row>
    <row r="1847" spans="1:5" ht="15.75">
      <c r="A1847" s="224"/>
      <c r="B1847" s="83"/>
      <c r="C1847" s="222"/>
      <c r="D1847" s="222"/>
      <c r="E1847" s="223"/>
    </row>
    <row r="1848" spans="1:5" ht="15.75">
      <c r="A1848" s="224"/>
      <c r="B1848" s="83"/>
      <c r="C1848" s="222"/>
      <c r="D1848" s="222"/>
      <c r="E1848" s="223"/>
    </row>
    <row r="1849" spans="1:5" ht="15.75">
      <c r="A1849" s="224"/>
      <c r="B1849" s="83"/>
      <c r="C1849" s="222"/>
      <c r="D1849" s="222"/>
      <c r="E1849" s="223"/>
    </row>
    <row r="1850" spans="1:5" ht="15.75">
      <c r="A1850" s="224"/>
      <c r="B1850" s="83"/>
      <c r="C1850" s="222"/>
      <c r="D1850" s="222"/>
      <c r="E1850" s="223"/>
    </row>
    <row r="1851" spans="1:5" ht="15.75">
      <c r="A1851" s="224"/>
      <c r="B1851" s="83"/>
      <c r="C1851" s="222"/>
      <c r="D1851" s="222"/>
      <c r="E1851" s="223"/>
    </row>
    <row r="1852" spans="1:5" ht="15.75">
      <c r="A1852" s="224"/>
      <c r="B1852" s="83"/>
      <c r="C1852" s="222"/>
      <c r="D1852" s="222"/>
      <c r="E1852" s="223"/>
    </row>
    <row r="1853" spans="1:5" ht="15.75">
      <c r="A1853" s="224"/>
      <c r="B1853" s="83"/>
      <c r="C1853" s="222"/>
      <c r="D1853" s="222"/>
      <c r="E1853" s="223"/>
    </row>
    <row r="1854" spans="1:5" ht="15.75">
      <c r="A1854" s="224"/>
      <c r="B1854" s="83"/>
      <c r="C1854" s="222"/>
      <c r="D1854" s="222"/>
      <c r="E1854" s="223"/>
    </row>
    <row r="1855" spans="1:5" ht="15.75">
      <c r="A1855" s="224"/>
      <c r="B1855" s="83"/>
      <c r="C1855" s="222"/>
      <c r="D1855" s="222"/>
      <c r="E1855" s="223"/>
    </row>
    <row r="1856" spans="1:5" ht="15.75">
      <c r="A1856" s="224"/>
      <c r="B1856" s="83"/>
      <c r="C1856" s="222"/>
      <c r="D1856" s="222"/>
      <c r="E1856" s="223"/>
    </row>
    <row r="1857" spans="1:5" ht="15.75">
      <c r="A1857" s="224"/>
      <c r="B1857" s="83"/>
      <c r="C1857" s="222"/>
      <c r="D1857" s="222"/>
      <c r="E1857" s="223"/>
    </row>
    <row r="1858" spans="1:5" ht="15.75">
      <c r="A1858" s="224"/>
      <c r="B1858" s="83"/>
      <c r="C1858" s="222"/>
      <c r="D1858" s="222"/>
      <c r="E1858" s="223"/>
    </row>
    <row r="1859" spans="1:5" ht="15.75">
      <c r="A1859" s="224"/>
      <c r="B1859" s="83"/>
      <c r="C1859" s="222"/>
      <c r="D1859" s="222"/>
      <c r="E1859" s="223"/>
    </row>
    <row r="1860" spans="1:5" ht="15.75">
      <c r="A1860" s="224"/>
      <c r="B1860" s="83"/>
      <c r="C1860" s="222"/>
      <c r="D1860" s="222"/>
      <c r="E1860" s="223"/>
    </row>
    <row r="1861" spans="1:5" ht="15.75">
      <c r="A1861" s="224"/>
      <c r="B1861" s="83"/>
      <c r="C1861" s="222"/>
      <c r="D1861" s="222"/>
      <c r="E1861" s="223"/>
    </row>
    <row r="1862" spans="1:5" ht="15.75">
      <c r="A1862" s="224"/>
      <c r="B1862" s="83"/>
      <c r="C1862" s="222"/>
      <c r="D1862" s="222"/>
      <c r="E1862" s="223"/>
    </row>
    <row r="1863" spans="1:5" ht="15.75">
      <c r="A1863" s="224"/>
      <c r="B1863" s="83"/>
      <c r="C1863" s="222"/>
      <c r="D1863" s="222"/>
      <c r="E1863" s="223"/>
    </row>
    <row r="1864" spans="1:5" ht="15.75">
      <c r="A1864" s="224"/>
      <c r="B1864" s="83"/>
      <c r="C1864" s="222"/>
      <c r="D1864" s="222"/>
      <c r="E1864" s="223"/>
    </row>
    <row r="1865" spans="1:5" ht="15.75">
      <c r="A1865" s="224"/>
      <c r="B1865" s="83"/>
      <c r="C1865" s="222"/>
      <c r="D1865" s="222"/>
      <c r="E1865" s="223"/>
    </row>
    <row r="1866" spans="1:5" ht="15.75">
      <c r="A1866" s="224"/>
      <c r="B1866" s="83"/>
      <c r="C1866" s="222"/>
      <c r="D1866" s="222"/>
      <c r="E1866" s="223"/>
    </row>
    <row r="1867" spans="1:5" ht="15.75">
      <c r="A1867" s="224"/>
      <c r="B1867" s="83"/>
      <c r="C1867" s="222"/>
      <c r="D1867" s="222"/>
      <c r="E1867" s="223"/>
    </row>
    <row r="1868" spans="1:5" ht="15.75">
      <c r="A1868" s="224"/>
      <c r="B1868" s="83"/>
      <c r="C1868" s="222"/>
      <c r="D1868" s="222"/>
      <c r="E1868" s="223"/>
    </row>
    <row r="1869" spans="1:5" ht="15.75">
      <c r="A1869" s="224"/>
      <c r="B1869" s="83"/>
      <c r="C1869" s="222"/>
      <c r="D1869" s="222"/>
      <c r="E1869" s="223"/>
    </row>
    <row r="1870" spans="1:5" ht="15.75">
      <c r="A1870" s="224"/>
      <c r="B1870" s="83"/>
      <c r="C1870" s="222"/>
      <c r="D1870" s="222"/>
      <c r="E1870" s="223"/>
    </row>
    <row r="1871" spans="1:5" ht="15.75">
      <c r="A1871" s="224"/>
      <c r="B1871" s="83"/>
      <c r="C1871" s="222"/>
      <c r="D1871" s="222"/>
      <c r="E1871" s="223"/>
    </row>
    <row r="1872" spans="1:5" ht="15.75">
      <c r="A1872" s="224"/>
      <c r="B1872" s="83"/>
      <c r="C1872" s="222"/>
      <c r="D1872" s="222"/>
      <c r="E1872" s="223"/>
    </row>
    <row r="1873" spans="1:5" ht="15.75">
      <c r="A1873" s="224"/>
      <c r="B1873" s="83"/>
      <c r="C1873" s="222"/>
      <c r="D1873" s="222"/>
      <c r="E1873" s="223"/>
    </row>
    <row r="1874" spans="1:5" ht="15.75">
      <c r="A1874" s="224"/>
      <c r="B1874" s="83"/>
      <c r="C1874" s="222"/>
      <c r="D1874" s="222"/>
      <c r="E1874" s="223"/>
    </row>
    <row r="1875" spans="1:5" ht="15.75">
      <c r="A1875" s="224"/>
      <c r="B1875" s="83"/>
      <c r="C1875" s="222"/>
      <c r="D1875" s="222"/>
      <c r="E1875" s="223"/>
    </row>
    <row r="1876" spans="1:5" ht="15.75">
      <c r="A1876" s="224"/>
      <c r="B1876" s="83"/>
      <c r="C1876" s="222"/>
      <c r="D1876" s="222"/>
      <c r="E1876" s="223"/>
    </row>
    <row r="1877" spans="1:5" ht="15.75">
      <c r="A1877" s="224"/>
      <c r="B1877" s="83"/>
      <c r="C1877" s="222"/>
      <c r="D1877" s="222"/>
      <c r="E1877" s="223"/>
    </row>
    <row r="1878" spans="1:5" ht="15.75">
      <c r="A1878" s="224"/>
      <c r="B1878" s="83"/>
      <c r="C1878" s="222"/>
      <c r="D1878" s="222"/>
      <c r="E1878" s="223"/>
    </row>
    <row r="1879" spans="1:5" ht="15.75">
      <c r="A1879" s="224"/>
      <c r="B1879" s="83"/>
      <c r="C1879" s="222"/>
      <c r="D1879" s="222"/>
      <c r="E1879" s="223"/>
    </row>
    <row r="1880" spans="1:5" ht="15.75">
      <c r="A1880" s="224"/>
      <c r="B1880" s="83"/>
      <c r="C1880" s="222"/>
      <c r="D1880" s="222"/>
      <c r="E1880" s="223"/>
    </row>
    <row r="1881" spans="1:5" ht="15.75">
      <c r="A1881" s="224"/>
      <c r="B1881" s="83"/>
      <c r="C1881" s="222"/>
      <c r="D1881" s="222"/>
      <c r="E1881" s="223"/>
    </row>
    <row r="1882" spans="1:5" ht="15.75">
      <c r="A1882" s="224"/>
      <c r="B1882" s="83"/>
      <c r="C1882" s="222"/>
      <c r="D1882" s="222"/>
      <c r="E1882" s="223"/>
    </row>
    <row r="1883" spans="1:5" ht="15.75">
      <c r="A1883" s="224"/>
      <c r="B1883" s="83"/>
      <c r="C1883" s="222"/>
      <c r="D1883" s="222"/>
      <c r="E1883" s="223"/>
    </row>
    <row r="1884" spans="1:5" ht="15.75">
      <c r="A1884" s="224"/>
      <c r="B1884" s="83"/>
      <c r="C1884" s="222"/>
      <c r="D1884" s="222"/>
      <c r="E1884" s="223"/>
    </row>
    <row r="1885" spans="1:5" ht="15.75">
      <c r="A1885" s="224"/>
      <c r="B1885" s="83"/>
      <c r="C1885" s="222"/>
      <c r="D1885" s="222"/>
      <c r="E1885" s="223"/>
    </row>
    <row r="1886" spans="1:5" ht="15.75">
      <c r="A1886" s="224"/>
      <c r="B1886" s="83"/>
      <c r="C1886" s="222"/>
      <c r="D1886" s="222"/>
      <c r="E1886" s="223"/>
    </row>
    <row r="1887" spans="1:5" ht="15.75">
      <c r="A1887" s="224"/>
      <c r="B1887" s="83"/>
      <c r="C1887" s="222"/>
      <c r="D1887" s="222"/>
      <c r="E1887" s="223"/>
    </row>
    <row r="1888" spans="1:5" ht="15.75">
      <c r="A1888" s="224"/>
      <c r="B1888" s="83"/>
      <c r="C1888" s="222"/>
      <c r="D1888" s="222"/>
      <c r="E1888" s="223"/>
    </row>
    <row r="1889" spans="1:5" ht="15.75">
      <c r="A1889" s="224"/>
      <c r="B1889" s="83"/>
      <c r="C1889" s="222"/>
      <c r="D1889" s="222"/>
      <c r="E1889" s="223"/>
    </row>
    <row r="1890" spans="1:5" ht="15.75">
      <c r="A1890" s="224"/>
      <c r="B1890" s="83"/>
      <c r="C1890" s="222"/>
      <c r="D1890" s="222"/>
      <c r="E1890" s="223"/>
    </row>
    <row r="1891" spans="1:5" ht="15.75">
      <c r="A1891" s="224"/>
      <c r="B1891" s="83"/>
      <c r="C1891" s="222"/>
      <c r="D1891" s="222"/>
      <c r="E1891" s="223"/>
    </row>
    <row r="1892" spans="1:5" ht="15.75">
      <c r="A1892" s="224"/>
      <c r="B1892" s="83"/>
      <c r="C1892" s="222"/>
      <c r="D1892" s="222"/>
      <c r="E1892" s="223"/>
    </row>
    <row r="1893" spans="1:5" ht="15.75">
      <c r="A1893" s="224"/>
      <c r="B1893" s="83"/>
      <c r="C1893" s="222"/>
      <c r="D1893" s="222"/>
      <c r="E1893" s="223"/>
    </row>
    <row r="1894" spans="1:5" ht="15.75">
      <c r="A1894" s="224"/>
      <c r="B1894" s="83"/>
      <c r="C1894" s="222"/>
      <c r="D1894" s="222"/>
      <c r="E1894" s="223"/>
    </row>
    <row r="1895" spans="1:5" ht="15.75">
      <c r="A1895" s="224"/>
      <c r="B1895" s="83"/>
      <c r="C1895" s="222"/>
      <c r="D1895" s="222"/>
      <c r="E1895" s="223"/>
    </row>
    <row r="1896" spans="1:5" ht="15.75">
      <c r="A1896" s="224"/>
      <c r="B1896" s="83"/>
      <c r="C1896" s="222"/>
      <c r="D1896" s="222"/>
      <c r="E1896" s="223"/>
    </row>
    <row r="1897" spans="1:5" ht="15.75">
      <c r="A1897" s="224"/>
      <c r="B1897" s="83"/>
      <c r="C1897" s="222"/>
      <c r="D1897" s="222"/>
      <c r="E1897" s="223"/>
    </row>
    <row r="1898" spans="1:5" ht="15.75">
      <c r="A1898" s="224"/>
      <c r="B1898" s="83"/>
      <c r="C1898" s="222"/>
      <c r="D1898" s="222"/>
      <c r="E1898" s="223"/>
    </row>
    <row r="1899" spans="1:5" ht="15.75">
      <c r="A1899" s="224"/>
      <c r="B1899" s="83"/>
      <c r="C1899" s="222"/>
      <c r="D1899" s="222"/>
      <c r="E1899" s="223"/>
    </row>
    <row r="1900" spans="1:5" ht="15.75">
      <c r="A1900" s="224"/>
      <c r="B1900" s="83"/>
      <c r="C1900" s="222"/>
      <c r="D1900" s="222"/>
      <c r="E1900" s="223"/>
    </row>
    <row r="1901" spans="1:5" ht="15.75">
      <c r="A1901" s="224"/>
      <c r="B1901" s="83"/>
      <c r="C1901" s="222"/>
      <c r="D1901" s="222"/>
      <c r="E1901" s="223"/>
    </row>
    <row r="1902" spans="1:5" ht="15.75">
      <c r="A1902" s="224"/>
      <c r="B1902" s="83"/>
      <c r="C1902" s="222"/>
      <c r="D1902" s="222"/>
      <c r="E1902" s="223"/>
    </row>
    <row r="1903" spans="1:5" ht="15.75">
      <c r="A1903" s="224"/>
      <c r="B1903" s="83"/>
      <c r="C1903" s="222"/>
      <c r="D1903" s="222"/>
      <c r="E1903" s="223"/>
    </row>
    <row r="1904" spans="1:5" ht="15.75">
      <c r="A1904" s="224"/>
      <c r="B1904" s="83"/>
      <c r="C1904" s="222"/>
      <c r="D1904" s="222"/>
      <c r="E1904" s="223"/>
    </row>
    <row r="1905" spans="1:5" ht="15.75">
      <c r="A1905" s="224"/>
      <c r="B1905" s="83"/>
      <c r="C1905" s="222"/>
      <c r="D1905" s="222"/>
      <c r="E1905" s="223"/>
    </row>
    <row r="1906" spans="1:5" ht="15.75">
      <c r="A1906" s="224"/>
      <c r="B1906" s="83"/>
      <c r="C1906" s="222"/>
      <c r="D1906" s="222"/>
      <c r="E1906" s="223"/>
    </row>
    <row r="1907" spans="1:5" ht="15.75">
      <c r="A1907" s="224"/>
      <c r="B1907" s="83"/>
      <c r="C1907" s="222"/>
      <c r="D1907" s="222"/>
      <c r="E1907" s="223"/>
    </row>
    <row r="1908" spans="1:5" ht="15.75">
      <c r="A1908" s="224"/>
      <c r="B1908" s="83"/>
      <c r="C1908" s="222"/>
      <c r="D1908" s="222"/>
      <c r="E1908" s="223"/>
    </row>
    <row r="1909" spans="1:5" ht="15.75">
      <c r="A1909" s="224"/>
      <c r="B1909" s="83"/>
      <c r="C1909" s="222"/>
      <c r="D1909" s="222"/>
      <c r="E1909" s="223"/>
    </row>
    <row r="1910" spans="1:5" ht="15.75">
      <c r="A1910" s="224"/>
      <c r="B1910" s="83"/>
      <c r="C1910" s="222"/>
      <c r="D1910" s="222"/>
      <c r="E1910" s="223"/>
    </row>
    <row r="1911" spans="1:5" ht="15.75">
      <c r="A1911" s="224"/>
      <c r="B1911" s="83"/>
      <c r="C1911" s="222"/>
      <c r="D1911" s="222"/>
      <c r="E1911" s="223"/>
    </row>
    <row r="1912" spans="1:5" ht="15.75">
      <c r="A1912" s="224"/>
      <c r="B1912" s="83"/>
      <c r="C1912" s="222"/>
      <c r="D1912" s="222"/>
      <c r="E1912" s="223"/>
    </row>
    <row r="1913" spans="1:5" ht="15.75">
      <c r="A1913" s="224"/>
      <c r="B1913" s="83"/>
      <c r="C1913" s="222"/>
      <c r="D1913" s="222"/>
      <c r="E1913" s="223"/>
    </row>
    <row r="1914" spans="1:5" ht="15.75">
      <c r="A1914" s="224"/>
      <c r="B1914" s="83"/>
      <c r="C1914" s="222"/>
      <c r="D1914" s="222"/>
      <c r="E1914" s="223"/>
    </row>
    <row r="1915" spans="1:5" ht="15.75">
      <c r="A1915" s="224"/>
      <c r="B1915" s="83"/>
      <c r="C1915" s="222"/>
      <c r="D1915" s="222"/>
      <c r="E1915" s="223"/>
    </row>
    <row r="1916" spans="1:5" ht="15.75">
      <c r="A1916" s="224"/>
      <c r="B1916" s="83"/>
      <c r="C1916" s="222"/>
      <c r="D1916" s="222"/>
      <c r="E1916" s="223"/>
    </row>
    <row r="1917" spans="1:5" ht="15.75">
      <c r="A1917" s="224"/>
      <c r="B1917" s="83"/>
      <c r="C1917" s="222"/>
      <c r="D1917" s="222"/>
      <c r="E1917" s="223"/>
    </row>
    <row r="1918" spans="1:5" ht="15.75">
      <c r="A1918" s="224"/>
      <c r="B1918" s="83"/>
      <c r="C1918" s="222"/>
      <c r="D1918" s="222"/>
      <c r="E1918" s="223"/>
    </row>
    <row r="1919" spans="1:5" ht="15.75">
      <c r="A1919" s="224"/>
      <c r="B1919" s="83"/>
      <c r="C1919" s="222"/>
      <c r="D1919" s="222"/>
      <c r="E1919" s="223"/>
    </row>
    <row r="1920" spans="1:5" ht="15.75">
      <c r="A1920" s="224"/>
      <c r="B1920" s="83"/>
      <c r="C1920" s="222"/>
      <c r="D1920" s="222"/>
      <c r="E1920" s="223"/>
    </row>
    <row r="1921" spans="1:5" ht="15.75">
      <c r="A1921" s="224"/>
      <c r="B1921" s="83"/>
      <c r="C1921" s="222"/>
      <c r="D1921" s="222"/>
      <c r="E1921" s="223"/>
    </row>
    <row r="1922" spans="1:5" ht="15.75">
      <c r="A1922" s="224"/>
      <c r="B1922" s="83"/>
      <c r="C1922" s="222"/>
      <c r="D1922" s="222"/>
      <c r="E1922" s="223"/>
    </row>
    <row r="1923" spans="1:5" ht="15.75">
      <c r="A1923" s="224"/>
      <c r="B1923" s="83"/>
      <c r="C1923" s="222"/>
      <c r="D1923" s="222"/>
      <c r="E1923" s="223"/>
    </row>
    <row r="1924" spans="1:5" ht="15.75">
      <c r="A1924" s="224"/>
      <c r="B1924" s="83"/>
      <c r="C1924" s="222"/>
      <c r="D1924" s="222"/>
      <c r="E1924" s="223"/>
    </row>
    <row r="1925" spans="1:5" ht="15.75">
      <c r="A1925" s="224"/>
      <c r="B1925" s="83"/>
      <c r="C1925" s="222"/>
      <c r="D1925" s="222"/>
      <c r="E1925" s="223"/>
    </row>
    <row r="1926" spans="1:5" ht="15.75">
      <c r="A1926" s="224"/>
      <c r="B1926" s="83"/>
      <c r="C1926" s="222"/>
      <c r="D1926" s="222"/>
      <c r="E1926" s="223"/>
    </row>
    <row r="1927" spans="1:5" ht="15.75">
      <c r="A1927" s="224"/>
      <c r="B1927" s="83"/>
      <c r="C1927" s="222"/>
      <c r="D1927" s="222"/>
      <c r="E1927" s="223"/>
    </row>
    <row r="1928" spans="1:5" ht="15.75">
      <c r="A1928" s="224"/>
      <c r="B1928" s="83"/>
      <c r="C1928" s="222"/>
      <c r="D1928" s="222"/>
      <c r="E1928" s="223"/>
    </row>
    <row r="1929" spans="1:5" ht="15.75">
      <c r="A1929" s="224"/>
      <c r="B1929" s="83"/>
      <c r="C1929" s="222"/>
      <c r="D1929" s="222"/>
      <c r="E1929" s="223"/>
    </row>
    <row r="1930" spans="1:5" ht="15.75">
      <c r="A1930" s="224"/>
      <c r="B1930" s="83"/>
      <c r="C1930" s="222"/>
      <c r="D1930" s="222"/>
      <c r="E1930" s="223"/>
    </row>
    <row r="1931" spans="1:5" ht="15.75">
      <c r="A1931" s="224"/>
      <c r="B1931" s="83"/>
      <c r="C1931" s="222"/>
      <c r="D1931" s="222"/>
      <c r="E1931" s="223"/>
    </row>
    <row r="1932" spans="1:5" ht="15.75">
      <c r="A1932" s="224"/>
      <c r="B1932" s="83"/>
      <c r="C1932" s="222"/>
      <c r="D1932" s="222"/>
      <c r="E1932" s="223"/>
    </row>
    <row r="1933" spans="1:5" ht="15.75">
      <c r="A1933" s="224"/>
      <c r="B1933" s="83"/>
      <c r="C1933" s="222"/>
      <c r="D1933" s="222"/>
      <c r="E1933" s="223"/>
    </row>
    <row r="1934" spans="1:5" ht="15.75">
      <c r="A1934" s="224"/>
      <c r="B1934" s="83"/>
      <c r="C1934" s="222"/>
      <c r="D1934" s="222"/>
      <c r="E1934" s="223"/>
    </row>
    <row r="1935" spans="1:5" ht="15.75">
      <c r="A1935" s="224"/>
      <c r="B1935" s="83"/>
      <c r="C1935" s="222"/>
      <c r="D1935" s="222"/>
      <c r="E1935" s="223"/>
    </row>
    <row r="1936" spans="1:5" ht="15.75">
      <c r="A1936" s="224"/>
      <c r="B1936" s="83"/>
      <c r="C1936" s="222"/>
      <c r="D1936" s="222"/>
      <c r="E1936" s="223"/>
    </row>
    <row r="1937" spans="1:5" ht="15.75">
      <c r="A1937" s="224"/>
      <c r="B1937" s="83"/>
      <c r="C1937" s="222"/>
      <c r="D1937" s="222"/>
      <c r="E1937" s="223"/>
    </row>
    <row r="1938" spans="1:5" ht="15.75">
      <c r="A1938" s="224"/>
      <c r="B1938" s="83"/>
      <c r="C1938" s="222"/>
      <c r="D1938" s="222"/>
      <c r="E1938" s="223"/>
    </row>
    <row r="1939" spans="1:5" ht="15.75">
      <c r="A1939" s="224"/>
      <c r="B1939" s="83"/>
      <c r="C1939" s="222"/>
      <c r="D1939" s="222"/>
      <c r="E1939" s="223"/>
    </row>
    <row r="1940" spans="1:5" ht="15.75">
      <c r="A1940" s="224"/>
      <c r="B1940" s="83"/>
      <c r="C1940" s="222"/>
      <c r="D1940" s="222"/>
      <c r="E1940" s="223"/>
    </row>
    <row r="1941" spans="1:5" ht="15.75">
      <c r="A1941" s="224"/>
      <c r="B1941" s="83"/>
      <c r="C1941" s="222"/>
      <c r="D1941" s="222"/>
      <c r="E1941" s="223"/>
    </row>
    <row r="1942" spans="1:5" ht="15.75">
      <c r="A1942" s="224"/>
      <c r="B1942" s="83"/>
      <c r="C1942" s="222"/>
      <c r="D1942" s="222"/>
      <c r="E1942" s="223"/>
    </row>
    <row r="1943" spans="1:5" ht="15.75">
      <c r="A1943" s="224"/>
      <c r="B1943" s="83"/>
      <c r="C1943" s="222"/>
      <c r="D1943" s="222"/>
      <c r="E1943" s="223"/>
    </row>
    <row r="1944" spans="1:5" ht="15.75">
      <c r="A1944" s="224"/>
      <c r="B1944" s="83"/>
      <c r="C1944" s="222"/>
      <c r="D1944" s="222"/>
      <c r="E1944" s="223"/>
    </row>
    <row r="1945" spans="1:5" ht="15.75">
      <c r="A1945" s="224"/>
      <c r="B1945" s="83"/>
      <c r="C1945" s="222"/>
      <c r="D1945" s="222"/>
      <c r="E1945" s="223"/>
    </row>
    <row r="1946" spans="1:5" ht="15.75">
      <c r="A1946" s="224"/>
      <c r="B1946" s="83"/>
      <c r="C1946" s="222"/>
      <c r="D1946" s="222"/>
      <c r="E1946" s="223"/>
    </row>
    <row r="1947" spans="1:5" ht="15.75">
      <c r="A1947" s="224"/>
      <c r="B1947" s="83"/>
      <c r="C1947" s="222"/>
      <c r="D1947" s="222"/>
      <c r="E1947" s="223"/>
    </row>
    <row r="1948" spans="1:5" ht="15.75">
      <c r="A1948" s="224"/>
      <c r="B1948" s="83"/>
      <c r="C1948" s="222"/>
      <c r="D1948" s="222"/>
      <c r="E1948" s="223"/>
    </row>
    <row r="1949" spans="1:5" ht="15.75">
      <c r="A1949" s="224"/>
      <c r="B1949" s="83"/>
      <c r="C1949" s="222"/>
      <c r="D1949" s="222"/>
      <c r="E1949" s="223"/>
    </row>
    <row r="1950" spans="1:5" ht="15.75">
      <c r="A1950" s="224"/>
      <c r="B1950" s="83"/>
      <c r="C1950" s="222"/>
      <c r="D1950" s="222"/>
      <c r="E1950" s="223"/>
    </row>
    <row r="1951" spans="1:5" ht="15.75">
      <c r="A1951" s="224"/>
      <c r="B1951" s="83"/>
      <c r="C1951" s="222"/>
      <c r="D1951" s="222"/>
      <c r="E1951" s="223"/>
    </row>
    <row r="1952" spans="1:5" ht="15.75">
      <c r="A1952" s="224"/>
      <c r="B1952" s="83"/>
      <c r="C1952" s="222"/>
      <c r="D1952" s="222"/>
      <c r="E1952" s="223"/>
    </row>
    <row r="1953" spans="1:5" ht="15.75">
      <c r="A1953" s="224"/>
      <c r="B1953" s="83"/>
      <c r="C1953" s="222"/>
      <c r="D1953" s="222"/>
      <c r="E1953" s="223"/>
    </row>
    <row r="1954" spans="1:5" ht="15.75">
      <c r="A1954" s="224"/>
      <c r="B1954" s="83"/>
      <c r="C1954" s="222"/>
      <c r="D1954" s="222"/>
      <c r="E1954" s="223"/>
    </row>
    <row r="1955" spans="1:5" ht="15.75">
      <c r="A1955" s="224"/>
      <c r="B1955" s="83"/>
      <c r="C1955" s="222"/>
      <c r="D1955" s="222"/>
      <c r="E1955" s="223"/>
    </row>
    <row r="1956" spans="1:5" ht="15.75">
      <c r="A1956" s="224"/>
      <c r="B1956" s="83"/>
      <c r="C1956" s="222"/>
      <c r="D1956" s="222"/>
      <c r="E1956" s="223"/>
    </row>
    <row r="1957" spans="1:5" ht="15.75">
      <c r="A1957" s="224"/>
      <c r="B1957" s="83"/>
      <c r="C1957" s="222"/>
      <c r="D1957" s="222"/>
      <c r="E1957" s="223"/>
    </row>
    <row r="1958" spans="1:5" ht="15.75">
      <c r="A1958" s="224"/>
      <c r="B1958" s="83"/>
      <c r="C1958" s="222"/>
      <c r="D1958" s="222"/>
      <c r="E1958" s="223"/>
    </row>
    <row r="1959" spans="1:5" ht="15.75">
      <c r="A1959" s="224"/>
      <c r="B1959" s="83"/>
      <c r="C1959" s="222"/>
      <c r="D1959" s="222"/>
      <c r="E1959" s="223"/>
    </row>
    <row r="1960" spans="1:5" ht="15.75">
      <c r="A1960" s="224"/>
      <c r="B1960" s="83"/>
      <c r="C1960" s="222"/>
      <c r="D1960" s="222"/>
      <c r="E1960" s="223"/>
    </row>
    <row r="1961" spans="1:5" ht="15.75">
      <c r="A1961" s="224"/>
      <c r="B1961" s="83"/>
      <c r="C1961" s="222"/>
      <c r="D1961" s="222"/>
      <c r="E1961" s="223"/>
    </row>
    <row r="1962" spans="1:5" ht="15.75">
      <c r="A1962" s="224"/>
      <c r="B1962" s="83"/>
      <c r="C1962" s="222"/>
      <c r="D1962" s="222"/>
      <c r="E1962" s="223"/>
    </row>
    <row r="1963" spans="1:5" ht="15.75">
      <c r="A1963" s="224"/>
      <c r="B1963" s="83"/>
      <c r="C1963" s="222"/>
      <c r="D1963" s="222"/>
      <c r="E1963" s="223"/>
    </row>
    <row r="1964" spans="1:5" ht="15.75">
      <c r="A1964" s="224"/>
      <c r="B1964" s="83"/>
      <c r="C1964" s="222"/>
      <c r="D1964" s="222"/>
      <c r="E1964" s="223"/>
    </row>
    <row r="1965" spans="1:5" ht="15.75">
      <c r="A1965" s="224"/>
      <c r="B1965" s="83"/>
      <c r="C1965" s="222"/>
      <c r="D1965" s="222"/>
      <c r="E1965" s="223"/>
    </row>
    <row r="1966" spans="1:5" ht="15.75">
      <c r="A1966" s="224"/>
      <c r="B1966" s="83"/>
      <c r="C1966" s="222"/>
      <c r="D1966" s="222"/>
      <c r="E1966" s="223"/>
    </row>
    <row r="1967" spans="1:5" ht="15.75">
      <c r="A1967" s="224"/>
      <c r="B1967" s="83"/>
      <c r="C1967" s="222"/>
      <c r="D1967" s="222"/>
      <c r="E1967" s="223"/>
    </row>
    <row r="1968" spans="1:5" ht="15.75">
      <c r="A1968" s="224"/>
      <c r="B1968" s="83"/>
      <c r="C1968" s="222"/>
      <c r="D1968" s="222"/>
      <c r="E1968" s="223"/>
    </row>
    <row r="1969" spans="1:5" ht="15.75">
      <c r="A1969" s="224"/>
      <c r="B1969" s="83"/>
      <c r="C1969" s="222"/>
      <c r="D1969" s="222"/>
      <c r="E1969" s="223"/>
    </row>
    <row r="1970" spans="1:5" ht="15.75">
      <c r="A1970" s="224"/>
      <c r="B1970" s="83"/>
      <c r="C1970" s="222"/>
      <c r="D1970" s="222"/>
      <c r="E1970" s="223"/>
    </row>
    <row r="1971" spans="1:5" ht="15.75">
      <c r="A1971" s="224"/>
      <c r="B1971" s="83"/>
      <c r="C1971" s="222"/>
      <c r="D1971" s="222"/>
      <c r="E1971" s="223"/>
    </row>
    <row r="1972" spans="1:5" ht="15.75">
      <c r="A1972" s="224"/>
      <c r="B1972" s="83"/>
      <c r="C1972" s="222"/>
      <c r="D1972" s="222"/>
      <c r="E1972" s="223"/>
    </row>
    <row r="1973" spans="1:5" ht="15.75">
      <c r="A1973" s="224"/>
      <c r="B1973" s="83"/>
      <c r="C1973" s="222"/>
      <c r="D1973" s="222"/>
      <c r="E1973" s="223"/>
    </row>
    <row r="1974" spans="1:5" ht="15.75">
      <c r="A1974" s="224"/>
      <c r="B1974" s="83"/>
      <c r="C1974" s="222"/>
      <c r="D1974" s="222"/>
      <c r="E1974" s="223"/>
    </row>
    <row r="1975" spans="1:5" ht="15.75">
      <c r="A1975" s="224"/>
      <c r="B1975" s="83"/>
      <c r="C1975" s="222"/>
      <c r="D1975" s="222"/>
      <c r="E1975" s="223"/>
    </row>
    <row r="1976" spans="1:5" ht="15.75">
      <c r="A1976" s="224"/>
      <c r="B1976" s="83"/>
      <c r="C1976" s="222"/>
      <c r="D1976" s="222"/>
      <c r="E1976" s="223"/>
    </row>
    <row r="1977" spans="1:5" ht="15.75">
      <c r="A1977" s="224"/>
      <c r="B1977" s="83"/>
      <c r="C1977" s="222"/>
      <c r="D1977" s="222"/>
      <c r="E1977" s="223"/>
    </row>
    <row r="1978" spans="1:5" ht="15.75">
      <c r="A1978" s="224"/>
      <c r="B1978" s="83"/>
      <c r="C1978" s="222"/>
      <c r="D1978" s="222"/>
      <c r="E1978" s="223"/>
    </row>
    <row r="1979" spans="1:5" ht="15.75">
      <c r="A1979" s="224"/>
      <c r="B1979" s="83"/>
      <c r="C1979" s="222"/>
      <c r="D1979" s="222"/>
      <c r="E1979" s="223"/>
    </row>
    <row r="1980" spans="1:5" ht="15.75">
      <c r="A1980" s="224"/>
      <c r="B1980" s="83"/>
      <c r="C1980" s="222"/>
      <c r="D1980" s="222"/>
      <c r="E1980" s="223"/>
    </row>
    <row r="1981" spans="1:5" ht="15.75">
      <c r="A1981" s="224"/>
      <c r="B1981" s="83"/>
      <c r="C1981" s="222"/>
      <c r="D1981" s="222"/>
      <c r="E1981" s="223"/>
    </row>
    <row r="1982" spans="1:5" ht="15.75">
      <c r="A1982" s="224"/>
      <c r="B1982" s="83"/>
      <c r="C1982" s="222"/>
      <c r="D1982" s="222"/>
      <c r="E1982" s="223"/>
    </row>
    <row r="1983" spans="1:5" ht="15.75">
      <c r="A1983" s="224"/>
      <c r="B1983" s="83"/>
      <c r="C1983" s="222"/>
      <c r="D1983" s="222"/>
      <c r="E1983" s="223"/>
    </row>
    <row r="1984" spans="1:5" ht="15.75">
      <c r="A1984" s="224"/>
      <c r="B1984" s="83"/>
      <c r="C1984" s="222"/>
      <c r="D1984" s="222"/>
      <c r="E1984" s="223"/>
    </row>
    <row r="1985" spans="1:5" ht="15.75">
      <c r="A1985" s="224"/>
      <c r="B1985" s="83"/>
      <c r="C1985" s="222"/>
      <c r="D1985" s="222"/>
      <c r="E1985" s="223"/>
    </row>
    <row r="1986" spans="1:5" ht="15.75">
      <c r="A1986" s="224"/>
      <c r="B1986" s="83"/>
      <c r="C1986" s="222"/>
      <c r="D1986" s="222"/>
      <c r="E1986" s="223"/>
    </row>
    <row r="1987" spans="1:5" ht="15.75">
      <c r="A1987" s="224"/>
      <c r="B1987" s="83"/>
      <c r="C1987" s="222"/>
      <c r="D1987" s="222"/>
      <c r="E1987" s="223"/>
    </row>
    <row r="1988" spans="1:5" ht="15.75">
      <c r="A1988" s="224"/>
      <c r="B1988" s="83"/>
      <c r="C1988" s="222"/>
      <c r="D1988" s="222"/>
      <c r="E1988" s="223"/>
    </row>
    <row r="1989" spans="1:5" ht="15.75">
      <c r="A1989" s="224"/>
      <c r="B1989" s="83"/>
      <c r="C1989" s="222"/>
      <c r="D1989" s="222"/>
      <c r="E1989" s="223"/>
    </row>
    <row r="1990" spans="1:5" ht="15.75">
      <c r="A1990" s="224"/>
      <c r="B1990" s="83"/>
      <c r="C1990" s="222"/>
      <c r="D1990" s="222"/>
      <c r="E1990" s="223"/>
    </row>
    <row r="1991" spans="1:5" ht="15.75">
      <c r="A1991" s="224"/>
      <c r="B1991" s="83"/>
      <c r="C1991" s="222"/>
      <c r="D1991" s="222"/>
      <c r="E1991" s="223"/>
    </row>
    <row r="1992" spans="1:5" ht="15.75">
      <c r="A1992" s="224"/>
      <c r="B1992" s="83"/>
      <c r="C1992" s="222"/>
      <c r="D1992" s="222"/>
      <c r="E1992" s="223"/>
    </row>
    <row r="1993" spans="1:5" ht="15.75">
      <c r="A1993" s="224"/>
      <c r="B1993" s="83"/>
      <c r="C1993" s="222"/>
      <c r="D1993" s="222"/>
      <c r="E1993" s="223"/>
    </row>
    <row r="1994" spans="1:5" ht="15.75">
      <c r="A1994" s="224"/>
      <c r="B1994" s="83"/>
      <c r="C1994" s="222"/>
      <c r="D1994" s="222"/>
      <c r="E1994" s="223"/>
    </row>
    <row r="1995" spans="1:5" ht="15.75">
      <c r="A1995" s="224"/>
      <c r="B1995" s="83"/>
      <c r="C1995" s="222"/>
      <c r="D1995" s="222"/>
      <c r="E1995" s="223"/>
    </row>
    <row r="1996" spans="1:5" ht="15.75">
      <c r="A1996" s="224"/>
      <c r="B1996" s="83"/>
      <c r="C1996" s="222"/>
      <c r="D1996" s="222"/>
      <c r="E1996" s="223"/>
    </row>
    <row r="1997" spans="1:5" ht="15.75">
      <c r="A1997" s="224"/>
      <c r="B1997" s="83"/>
      <c r="C1997" s="222"/>
      <c r="D1997" s="222"/>
      <c r="E1997" s="223"/>
    </row>
    <row r="1998" spans="1:5" ht="15.75">
      <c r="A1998" s="224"/>
      <c r="B1998" s="83"/>
      <c r="C1998" s="222"/>
      <c r="D1998" s="222"/>
      <c r="E1998" s="223"/>
    </row>
    <row r="1999" spans="1:5" ht="15.75">
      <c r="A1999" s="224"/>
      <c r="B1999" s="83"/>
      <c r="C1999" s="222"/>
      <c r="D1999" s="222"/>
      <c r="E1999" s="223"/>
    </row>
    <row r="2000" spans="1:5" ht="15.75">
      <c r="A2000" s="224"/>
      <c r="B2000" s="83"/>
      <c r="C2000" s="222"/>
      <c r="D2000" s="222"/>
      <c r="E2000" s="223"/>
    </row>
    <row r="2001" spans="1:5" ht="15.75">
      <c r="A2001" s="224"/>
      <c r="B2001" s="83"/>
      <c r="C2001" s="222"/>
      <c r="D2001" s="222"/>
      <c r="E2001" s="223"/>
    </row>
    <row r="2002" spans="1:5" ht="15.75">
      <c r="A2002" s="224"/>
      <c r="B2002" s="83"/>
      <c r="C2002" s="222"/>
      <c r="D2002" s="222"/>
      <c r="E2002" s="223"/>
    </row>
    <row r="2003" spans="1:5" ht="15.75">
      <c r="A2003" s="224"/>
      <c r="B2003" s="83"/>
      <c r="C2003" s="222"/>
      <c r="D2003" s="222"/>
      <c r="E2003" s="223"/>
    </row>
    <row r="2004" spans="1:5" ht="15.75">
      <c r="A2004" s="224"/>
      <c r="B2004" s="83"/>
      <c r="C2004" s="222"/>
      <c r="D2004" s="222"/>
      <c r="E2004" s="223"/>
    </row>
    <row r="2005" spans="1:5" ht="15.75">
      <c r="A2005" s="224"/>
      <c r="B2005" s="83"/>
      <c r="C2005" s="222"/>
      <c r="D2005" s="222"/>
      <c r="E2005" s="223"/>
    </row>
    <row r="2006" spans="1:5" ht="13.35" customHeight="1">
      <c r="A2006" s="225"/>
      <c r="B2006" s="389" t="str">
        <f ca="1">OFFSET(L!$C$1,MATCH("General"&amp;"Cpy",L!$A:$A,0)-1,SL,,)</f>
        <v>© 2022 Responsible Minerals Initiative. All rights reserved.</v>
      </c>
      <c r="C2006" s="389"/>
      <c r="D2006" s="389"/>
      <c r="E2006" s="226"/>
    </row>
    <row r="2007" spans="1:5">
      <c r="D2007" s="227"/>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 xml:space="preserve">&amp;L_x000D_&amp;1#&amp;"Calibri"&amp;8&amp;K000000  Rockwell Automation Company 'Internal' </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workbookViewId="0">
      <pane ySplit="4" topLeftCell="A5" activePane="bottomLeft" state="frozen"/>
      <selection pane="bottomLeft" activeCell="A4" sqref="A4 A5"/>
    </sheetView>
  </sheetViews>
  <sheetFormatPr defaultColWidth="8.875" defaultRowHeight="12.75"/>
  <cols>
    <col min="1" max="1" width="9.125" style="228" customWidth="1"/>
    <col min="2" max="2" width="42.875" style="228" customWidth="1"/>
    <col min="3" max="3" width="63.875" style="228" customWidth="1"/>
    <col min="4" max="4" width="25.625" style="228" customWidth="1"/>
    <col min="5" max="5" width="12.625" style="228" customWidth="1"/>
    <col min="6" max="6" width="12.625" style="229" customWidth="1"/>
    <col min="7" max="7" width="15.375" style="228" customWidth="1"/>
    <col min="8" max="8" width="23.875" style="228" customWidth="1"/>
    <col min="9" max="9" width="28.125" style="228" customWidth="1"/>
    <col min="10" max="10" width="48.25" style="228" hidden="1" customWidth="1"/>
    <col min="11" max="11" width="49.75" style="228" hidden="1" customWidth="1"/>
    <col min="12" max="12" width="8.875" style="228" customWidth="1"/>
    <col min="13" max="16384" width="8.875" style="228"/>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230" customFormat="1" ht="51">
      <c r="A4" s="231" t="str">
        <f ca="1">OFFSET(L!$C$1,MATCH("Smelter Look-up"&amp;ADDRESS(ROW(),COLUMN(),4),L!$A:$A,0)-1,SL,,)</f>
        <v>Metal</v>
      </c>
      <c r="B4" s="231" t="str">
        <f ca="1">OFFSET(L!$C$1,MATCH("Smelter Look-up"&amp;ADDRESS(ROW(),COLUMN(),4),L!$A:$A,0)-1,SL,,)</f>
        <v>Smelter Look-up (*)</v>
      </c>
      <c r="C4" s="231" t="str">
        <f ca="1">OFFSET(L!$C$1,MATCH("Smelter Look-up"&amp;ADDRESS(ROW(),COLUMN(),4),L!$A:$A,0)-1,SL,,)</f>
        <v>Standard Smelter Names</v>
      </c>
      <c r="D4" s="231" t="str">
        <f ca="1">OFFSET(L!$C$1,MATCH("Smelter Look-up"&amp;ADDRESS(ROW(),COLUMN(),4),L!$A:$A,0)-1,SL,,)</f>
        <v>Smelter Facility Location: Country</v>
      </c>
      <c r="E4" s="231" t="str">
        <f ca="1">OFFSET(L!$C$1,MATCH("Smelter Look-up"&amp;ADDRESS(ROW(),COLUMN(),4),L!$A:$A,0)-1,SL,,)</f>
        <v>Smelter ID</v>
      </c>
      <c r="F4" s="231" t="str">
        <f ca="1">OFFSET(L!$C$1,MATCH("Smelter Look-up"&amp;ADDRESS(ROW(),COLUMN(),4),L!$A:$A,0)-1,SL,,)</f>
        <v>Source of Smelter Identification Number</v>
      </c>
      <c r="G4" s="231" t="str">
        <f ca="1">OFFSET(L!$C$1,MATCH("Smelter Look-up"&amp;ADDRESS(ROW(),COLUMN(),4),L!$A:$A,0)-1,SL,,)</f>
        <v xml:space="preserve">Smelter Street </v>
      </c>
      <c r="H4" s="231" t="str">
        <f ca="1">OFFSET(L!$C$1,MATCH("Smelter Look-up"&amp;ADDRESS(ROW(),COLUMN(),4),L!$A:$A,0)-1,SL,,)</f>
        <v>Smelter City</v>
      </c>
      <c r="I4" s="231" t="str">
        <f ca="1">OFFSET(L!$C$1,MATCH("Smelter Look-up"&amp;ADDRESS(ROW(),COLUMN(),4),L!$A:$A,0)-1,SL,,)</f>
        <v>Smelter Facility Location: State / Province</v>
      </c>
      <c r="J4" s="231" t="s">
        <v>3247</v>
      </c>
      <c r="K4" s="231" t="s">
        <v>3247</v>
      </c>
    </row>
    <row r="5" spans="1:11" ht="13.5" customHeight="1">
      <c r="A5" s="232" t="s">
        <v>133</v>
      </c>
      <c r="B5" s="232" t="s">
        <v>462</v>
      </c>
      <c r="C5" s="232" t="s">
        <v>462</v>
      </c>
      <c r="D5" s="232" t="s">
        <v>3248</v>
      </c>
      <c r="E5" s="232" t="s">
        <v>461</v>
      </c>
      <c r="F5" s="232" t="s">
        <v>142</v>
      </c>
      <c r="G5" s="232"/>
      <c r="H5" s="232" t="s">
        <v>464</v>
      </c>
      <c r="I5" s="232" t="s">
        <v>465</v>
      </c>
      <c r="J5" s="233" t="str">
        <f t="shared" ref="J5:J68" si="0">A5&amp;B5</f>
        <v>Gold8853 S.p.A.</v>
      </c>
      <c r="K5" s="233" t="str">
        <f t="shared" ref="K5:K68" si="1">A5&amp;B5</f>
        <v>Gold8853 S.p.A.</v>
      </c>
    </row>
    <row r="6" spans="1:11" ht="13.5" customHeight="1">
      <c r="A6" s="232" t="s">
        <v>133</v>
      </c>
      <c r="B6" s="232" t="s">
        <v>473</v>
      </c>
      <c r="C6" s="232" t="s">
        <v>473</v>
      </c>
      <c r="D6" s="232" t="s">
        <v>2123</v>
      </c>
      <c r="E6" s="232" t="s">
        <v>472</v>
      </c>
      <c r="F6" s="232" t="s">
        <v>142</v>
      </c>
      <c r="G6" s="232"/>
      <c r="H6" s="232" t="s">
        <v>3249</v>
      </c>
      <c r="I6" s="232" t="s">
        <v>3250</v>
      </c>
      <c r="J6" s="233" t="str">
        <f t="shared" si="0"/>
        <v>GoldABC Refinery Pty Ltd.</v>
      </c>
      <c r="K6" s="233" t="str">
        <f t="shared" si="1"/>
        <v>GoldABC Refinery Pty Ltd.</v>
      </c>
    </row>
    <row r="7" spans="1:11" ht="13.5" customHeight="1">
      <c r="A7" s="232" t="s">
        <v>133</v>
      </c>
      <c r="B7" s="232" t="s">
        <v>477</v>
      </c>
      <c r="C7" s="232" t="s">
        <v>477</v>
      </c>
      <c r="D7" s="232" t="s">
        <v>3251</v>
      </c>
      <c r="E7" s="232" t="s">
        <v>476</v>
      </c>
      <c r="F7" s="232" t="s">
        <v>142</v>
      </c>
      <c r="G7" s="232"/>
      <c r="H7" s="232" t="s">
        <v>479</v>
      </c>
      <c r="I7" s="232" t="s">
        <v>480</v>
      </c>
      <c r="J7" s="233" t="str">
        <f t="shared" si="0"/>
        <v>GoldAbington Reldan Metals, LLC</v>
      </c>
      <c r="K7" s="233" t="str">
        <f t="shared" si="1"/>
        <v>GoldAbington Reldan Metals, LLC</v>
      </c>
    </row>
    <row r="8" spans="1:11" ht="13.5" customHeight="1">
      <c r="A8" s="232" t="s">
        <v>133</v>
      </c>
      <c r="B8" s="232" t="s">
        <v>140</v>
      </c>
      <c r="C8" s="232" t="s">
        <v>140</v>
      </c>
      <c r="D8" s="232" t="s">
        <v>3251</v>
      </c>
      <c r="E8" s="232" t="s">
        <v>139</v>
      </c>
      <c r="F8" s="232" t="s">
        <v>142</v>
      </c>
      <c r="G8" s="232"/>
      <c r="H8" s="232" t="s">
        <v>144</v>
      </c>
      <c r="I8" s="232" t="s">
        <v>145</v>
      </c>
      <c r="J8" s="233" t="str">
        <f t="shared" si="0"/>
        <v>GoldAdvanced Chemical Company</v>
      </c>
      <c r="K8" s="233" t="str">
        <f t="shared" si="1"/>
        <v>GoldAdvanced Chemical Company</v>
      </c>
    </row>
    <row r="9" spans="1:11" ht="13.5" customHeight="1">
      <c r="A9" s="232" t="s">
        <v>133</v>
      </c>
      <c r="B9" s="232" t="s">
        <v>1532</v>
      </c>
      <c r="C9" s="232" t="s">
        <v>1532</v>
      </c>
      <c r="D9" s="232" t="s">
        <v>3252</v>
      </c>
      <c r="E9" s="232" t="s">
        <v>1531</v>
      </c>
      <c r="F9" s="232" t="s">
        <v>142</v>
      </c>
      <c r="G9" s="232"/>
      <c r="H9" s="232" t="s">
        <v>1534</v>
      </c>
      <c r="I9" s="232" t="s">
        <v>1535</v>
      </c>
      <c r="J9" s="233" t="str">
        <f t="shared" si="0"/>
        <v>GoldAfrican Gold Refinery</v>
      </c>
      <c r="K9" s="233" t="str">
        <f t="shared" si="1"/>
        <v>GoldAfrican Gold Refinery</v>
      </c>
    </row>
    <row r="10" spans="1:11" ht="13.5" customHeight="1">
      <c r="A10" s="232" t="s">
        <v>133</v>
      </c>
      <c r="B10" s="232" t="s">
        <v>3253</v>
      </c>
      <c r="C10" s="232" t="s">
        <v>3253</v>
      </c>
      <c r="D10" s="232" t="s">
        <v>3254</v>
      </c>
      <c r="E10" s="232" t="s">
        <v>1545</v>
      </c>
      <c r="F10" s="232" t="s">
        <v>142</v>
      </c>
      <c r="G10" s="232"/>
      <c r="H10" s="232" t="s">
        <v>181</v>
      </c>
      <c r="I10" s="232" t="s">
        <v>182</v>
      </c>
      <c r="J10" s="233" t="str">
        <f t="shared" si="0"/>
        <v>GoldAgosi AG</v>
      </c>
      <c r="K10" s="233" t="str">
        <f t="shared" si="1"/>
        <v>GoldAgosi AG</v>
      </c>
    </row>
    <row r="11" spans="1:11" ht="13.5" customHeight="1">
      <c r="A11" s="232" t="s">
        <v>133</v>
      </c>
      <c r="B11" s="232" t="s">
        <v>3255</v>
      </c>
      <c r="C11" s="232" t="s">
        <v>3256</v>
      </c>
      <c r="D11" s="232" t="s">
        <v>2123</v>
      </c>
      <c r="E11" s="232" t="s">
        <v>1541</v>
      </c>
      <c r="F11" s="232" t="s">
        <v>142</v>
      </c>
      <c r="G11" s="232"/>
      <c r="H11" s="232" t="s">
        <v>1543</v>
      </c>
      <c r="I11" s="232" t="s">
        <v>1544</v>
      </c>
      <c r="J11" s="233" t="str">
        <f t="shared" si="0"/>
        <v>GoldAGR (Perth Mint Australia)</v>
      </c>
      <c r="K11" s="233" t="str">
        <f t="shared" si="1"/>
        <v>GoldAGR (Perth Mint Australia)</v>
      </c>
    </row>
    <row r="12" spans="1:11">
      <c r="A12" s="232" t="s">
        <v>133</v>
      </c>
      <c r="B12" s="232" t="s">
        <v>1542</v>
      </c>
      <c r="C12" s="232" t="s">
        <v>3256</v>
      </c>
      <c r="D12" s="232" t="s">
        <v>2123</v>
      </c>
      <c r="E12" s="232" t="s">
        <v>1541</v>
      </c>
      <c r="F12" s="232" t="s">
        <v>142</v>
      </c>
      <c r="G12" s="232"/>
      <c r="H12" s="232" t="s">
        <v>1543</v>
      </c>
      <c r="I12" s="232" t="s">
        <v>1544</v>
      </c>
      <c r="J12" s="233" t="str">
        <f t="shared" si="0"/>
        <v>GoldAGR Mathey</v>
      </c>
      <c r="K12" s="233" t="str">
        <f t="shared" si="1"/>
        <v>GoldAGR Mathey</v>
      </c>
    </row>
    <row r="13" spans="1:11">
      <c r="A13" s="232" t="s">
        <v>133</v>
      </c>
      <c r="B13" s="232" t="s">
        <v>274</v>
      </c>
      <c r="C13" s="232" t="s">
        <v>274</v>
      </c>
      <c r="D13" s="232" t="s">
        <v>3257</v>
      </c>
      <c r="E13" s="232" t="s">
        <v>273</v>
      </c>
      <c r="F13" s="232" t="s">
        <v>142</v>
      </c>
      <c r="G13" s="232"/>
      <c r="H13" s="232" t="s">
        <v>276</v>
      </c>
      <c r="I13" s="232" t="s">
        <v>277</v>
      </c>
      <c r="J13" s="233" t="str">
        <f t="shared" si="0"/>
        <v>GoldAida Chemical Industries Co., Ltd.</v>
      </c>
      <c r="K13" s="233" t="str">
        <f t="shared" si="1"/>
        <v>GoldAida Chemical Industries Co., Ltd.</v>
      </c>
    </row>
    <row r="14" spans="1:11">
      <c r="A14" s="232" t="s">
        <v>133</v>
      </c>
      <c r="B14" s="232" t="s">
        <v>3258</v>
      </c>
      <c r="C14" s="232" t="s">
        <v>1346</v>
      </c>
      <c r="D14" s="232" t="s">
        <v>3257</v>
      </c>
      <c r="E14" s="232" t="s">
        <v>1344</v>
      </c>
      <c r="F14" s="232" t="s">
        <v>142</v>
      </c>
      <c r="G14" s="232"/>
      <c r="H14" s="232" t="s">
        <v>1348</v>
      </c>
      <c r="I14" s="232" t="s">
        <v>235</v>
      </c>
      <c r="J14" s="233" t="str">
        <f t="shared" si="0"/>
        <v>GoldAKITA Seiren</v>
      </c>
      <c r="K14" s="233" t="str">
        <f t="shared" si="1"/>
        <v>GoldAKITA Seiren</v>
      </c>
    </row>
    <row r="15" spans="1:11">
      <c r="A15" s="232" t="s">
        <v>133</v>
      </c>
      <c r="B15" s="232" t="s">
        <v>3259</v>
      </c>
      <c r="C15" s="232" t="s">
        <v>198</v>
      </c>
      <c r="D15" s="232" t="s">
        <v>3260</v>
      </c>
      <c r="E15" s="232" t="s">
        <v>197</v>
      </c>
      <c r="F15" s="232" t="s">
        <v>142</v>
      </c>
      <c r="G15" s="232"/>
      <c r="H15" s="232" t="s">
        <v>201</v>
      </c>
      <c r="I15" s="232" t="s">
        <v>202</v>
      </c>
      <c r="J15" s="233" t="str">
        <f t="shared" si="0"/>
        <v>GoldAl Etihad Gold LLC</v>
      </c>
      <c r="K15" s="233" t="str">
        <f t="shared" si="1"/>
        <v>GoldAl Etihad Gold LLC</v>
      </c>
    </row>
    <row r="16" spans="1:11">
      <c r="A16" s="232" t="s">
        <v>133</v>
      </c>
      <c r="B16" s="232" t="s">
        <v>198</v>
      </c>
      <c r="C16" s="232" t="s">
        <v>198</v>
      </c>
      <c r="D16" s="232" t="s">
        <v>3260</v>
      </c>
      <c r="E16" s="232" t="s">
        <v>197</v>
      </c>
      <c r="F16" s="232" t="s">
        <v>142</v>
      </c>
      <c r="G16" s="232"/>
      <c r="H16" s="232" t="s">
        <v>201</v>
      </c>
      <c r="I16" s="232" t="s">
        <v>202</v>
      </c>
      <c r="J16" s="233" t="str">
        <f t="shared" si="0"/>
        <v>GoldAl Etihad Gold Refinery DMCC</v>
      </c>
      <c r="K16" s="233" t="str">
        <f t="shared" si="1"/>
        <v>GoldAl Etihad Gold Refinery DMCC</v>
      </c>
    </row>
    <row r="17" spans="1:11">
      <c r="A17" s="232" t="s">
        <v>133</v>
      </c>
      <c r="B17" s="232" t="s">
        <v>212</v>
      </c>
      <c r="C17" s="232" t="s">
        <v>212</v>
      </c>
      <c r="D17" s="232" t="s">
        <v>3261</v>
      </c>
      <c r="E17" s="232" t="s">
        <v>211</v>
      </c>
      <c r="F17" s="232" t="s">
        <v>142</v>
      </c>
      <c r="G17" s="232"/>
      <c r="H17" s="232" t="s">
        <v>213</v>
      </c>
      <c r="I17" s="232" t="s">
        <v>214</v>
      </c>
      <c r="J17" s="233" t="str">
        <f t="shared" si="0"/>
        <v>GoldAlbino Mountinho Lda.</v>
      </c>
      <c r="K17" s="233" t="str">
        <f t="shared" si="1"/>
        <v>GoldAlbino Mountinho Lda.</v>
      </c>
    </row>
    <row r="18" spans="1:11">
      <c r="A18" s="232" t="s">
        <v>133</v>
      </c>
      <c r="B18" s="232" t="s">
        <v>216</v>
      </c>
      <c r="C18" s="232" t="s">
        <v>216</v>
      </c>
      <c r="D18" s="232" t="s">
        <v>3251</v>
      </c>
      <c r="E18" s="232" t="s">
        <v>215</v>
      </c>
      <c r="F18" s="232" t="s">
        <v>142</v>
      </c>
      <c r="G18" s="232"/>
      <c r="H18" s="232" t="s">
        <v>217</v>
      </c>
      <c r="I18" s="232" t="s">
        <v>218</v>
      </c>
      <c r="J18" s="233" t="str">
        <f t="shared" si="0"/>
        <v>GoldAlexy Metals</v>
      </c>
      <c r="K18" s="233" t="str">
        <f t="shared" si="1"/>
        <v>GoldAlexy Metals</v>
      </c>
    </row>
    <row r="19" spans="1:11">
      <c r="A19" s="232" t="s">
        <v>133</v>
      </c>
      <c r="B19" s="232" t="s">
        <v>1546</v>
      </c>
      <c r="C19" s="232" t="s">
        <v>3253</v>
      </c>
      <c r="D19" s="232" t="s">
        <v>3254</v>
      </c>
      <c r="E19" s="232" t="s">
        <v>1545</v>
      </c>
      <c r="F19" s="232" t="s">
        <v>142</v>
      </c>
      <c r="G19" s="232"/>
      <c r="H19" s="232" t="s">
        <v>181</v>
      </c>
      <c r="I19" s="232" t="s">
        <v>182</v>
      </c>
      <c r="J19" s="233" t="str">
        <f t="shared" si="0"/>
        <v>GoldAllgemeine Gold-und Silberscheideanstalt A.G.</v>
      </c>
      <c r="K19" s="233" t="str">
        <f t="shared" si="1"/>
        <v>GoldAllgemeine Gold-und Silberscheideanstalt A.G.</v>
      </c>
    </row>
    <row r="20" spans="1:11">
      <c r="A20" s="232" t="s">
        <v>133</v>
      </c>
      <c r="B20" s="232" t="s">
        <v>1554</v>
      </c>
      <c r="C20" s="232" t="s">
        <v>1554</v>
      </c>
      <c r="D20" s="232" t="s">
        <v>3262</v>
      </c>
      <c r="E20" s="232" t="s">
        <v>1810</v>
      </c>
      <c r="F20" s="232" t="s">
        <v>142</v>
      </c>
      <c r="G20" s="232"/>
      <c r="H20" s="232" t="s">
        <v>1555</v>
      </c>
      <c r="I20" s="232" t="s">
        <v>1811</v>
      </c>
      <c r="J20" s="233" t="str">
        <f t="shared" si="0"/>
        <v>GoldAlmalyk Mining and Metallurgical Complex (AMMC)</v>
      </c>
      <c r="K20" s="233" t="str">
        <f t="shared" si="1"/>
        <v>GoldAlmalyk Mining and Metallurgical Complex (AMMC)</v>
      </c>
    </row>
    <row r="21" spans="1:11">
      <c r="A21" s="232" t="s">
        <v>133</v>
      </c>
      <c r="B21" s="232" t="s">
        <v>3263</v>
      </c>
      <c r="C21" s="232" t="s">
        <v>340</v>
      </c>
      <c r="D21" s="232" t="s">
        <v>3257</v>
      </c>
      <c r="E21" s="232" t="s">
        <v>339</v>
      </c>
      <c r="F21" s="232" t="s">
        <v>142</v>
      </c>
      <c r="G21" s="232"/>
      <c r="H21" s="232" t="s">
        <v>284</v>
      </c>
      <c r="I21" s="232" t="s">
        <v>285</v>
      </c>
      <c r="J21" s="233" t="str">
        <f t="shared" si="0"/>
        <v>GoldAmagasaki Factory, Hyogo Prefecture, Japan</v>
      </c>
      <c r="K21" s="233" t="str">
        <f t="shared" si="1"/>
        <v>GoldAmagasaki Factory, Hyogo Prefecture, Japan</v>
      </c>
    </row>
    <row r="22" spans="1:11">
      <c r="A22" s="232" t="s">
        <v>133</v>
      </c>
      <c r="B22" s="232" t="s">
        <v>3264</v>
      </c>
      <c r="C22" s="232" t="s">
        <v>432</v>
      </c>
      <c r="D22" s="232" t="s">
        <v>3265</v>
      </c>
      <c r="E22" s="232" t="s">
        <v>431</v>
      </c>
      <c r="F22" s="232" t="s">
        <v>142</v>
      </c>
      <c r="G22" s="232"/>
      <c r="H22" s="232" t="s">
        <v>434</v>
      </c>
      <c r="I22" s="232" t="s">
        <v>435</v>
      </c>
      <c r="J22" s="233" t="str">
        <f t="shared" si="0"/>
        <v>GoldAngloGold Ashanti Brazil</v>
      </c>
      <c r="K22" s="233" t="str">
        <f t="shared" si="1"/>
        <v>GoldAngloGold Ashanti Brazil</v>
      </c>
    </row>
    <row r="23" spans="1:11">
      <c r="A23" s="232" t="s">
        <v>133</v>
      </c>
      <c r="B23" s="232" t="s">
        <v>432</v>
      </c>
      <c r="C23" s="232" t="s">
        <v>432</v>
      </c>
      <c r="D23" s="232" t="s">
        <v>3265</v>
      </c>
      <c r="E23" s="232" t="s">
        <v>431</v>
      </c>
      <c r="F23" s="232" t="s">
        <v>142</v>
      </c>
      <c r="G23" s="232"/>
      <c r="H23" s="232" t="s">
        <v>434</v>
      </c>
      <c r="I23" s="232" t="s">
        <v>435</v>
      </c>
      <c r="J23" s="233" t="str">
        <f t="shared" si="0"/>
        <v>GoldAngloGold Ashanti Corrego do Sitio Mineracao</v>
      </c>
      <c r="K23" s="233" t="str">
        <f t="shared" si="1"/>
        <v>GoldAngloGold Ashanti Corrego do Sitio Mineracao</v>
      </c>
    </row>
    <row r="24" spans="1:11">
      <c r="A24" s="232" t="s">
        <v>133</v>
      </c>
      <c r="B24" s="232" t="s">
        <v>3266</v>
      </c>
      <c r="C24" s="232" t="s">
        <v>432</v>
      </c>
      <c r="D24" s="232" t="s">
        <v>3265</v>
      </c>
      <c r="E24" s="232" t="s">
        <v>431</v>
      </c>
      <c r="F24" s="232" t="s">
        <v>142</v>
      </c>
      <c r="G24" s="232"/>
      <c r="H24" s="232" t="s">
        <v>434</v>
      </c>
      <c r="I24" s="232" t="s">
        <v>435</v>
      </c>
      <c r="J24" s="233" t="str">
        <f t="shared" si="0"/>
        <v>GoldAngloGold Ashanti Córrego do Sítio Mineração</v>
      </c>
      <c r="K24" s="233" t="str">
        <f t="shared" si="1"/>
        <v>GoldAngloGold Ashanti Córrego do Sítio Mineração</v>
      </c>
    </row>
    <row r="25" spans="1:11">
      <c r="A25" s="232" t="s">
        <v>133</v>
      </c>
      <c r="B25" s="232" t="s">
        <v>3267</v>
      </c>
      <c r="C25" s="232" t="s">
        <v>2091</v>
      </c>
      <c r="D25" s="232" t="s">
        <v>2818</v>
      </c>
      <c r="E25" s="232" t="s">
        <v>2090</v>
      </c>
      <c r="F25" s="232" t="s">
        <v>142</v>
      </c>
      <c r="G25" s="232"/>
      <c r="H25" s="232" t="s">
        <v>2093</v>
      </c>
      <c r="I25" s="232" t="s">
        <v>2094</v>
      </c>
      <c r="J25" s="233" t="str">
        <f t="shared" si="0"/>
        <v>GoldAnhui Tongling Nonferrous Metal Mining Co., Ltd.</v>
      </c>
      <c r="K25" s="233" t="str">
        <f t="shared" si="1"/>
        <v>GoldAnhui Tongling Nonferrous Metal Mining Co., Ltd.</v>
      </c>
    </row>
    <row r="26" spans="1:11">
      <c r="A26" s="232" t="s">
        <v>133</v>
      </c>
      <c r="B26" s="232" t="s">
        <v>3268</v>
      </c>
      <c r="C26" s="232" t="s">
        <v>3256</v>
      </c>
      <c r="D26" s="232" t="s">
        <v>2123</v>
      </c>
      <c r="E26" s="232" t="s">
        <v>1541</v>
      </c>
      <c r="F26" s="232" t="s">
        <v>142</v>
      </c>
      <c r="G26" s="232"/>
      <c r="H26" s="232" t="s">
        <v>1543</v>
      </c>
      <c r="I26" s="232" t="s">
        <v>1544</v>
      </c>
      <c r="J26" s="233" t="str">
        <f t="shared" si="0"/>
        <v>GoldANZ (Perth Mint 4N)</v>
      </c>
      <c r="K26" s="233" t="str">
        <f t="shared" si="1"/>
        <v>GoldANZ (Perth Mint 4N)</v>
      </c>
    </row>
    <row r="27" spans="1:11">
      <c r="A27" s="232" t="s">
        <v>133</v>
      </c>
      <c r="B27" s="232" t="s">
        <v>3269</v>
      </c>
      <c r="C27" s="232" t="s">
        <v>3256</v>
      </c>
      <c r="D27" s="232" t="s">
        <v>2123</v>
      </c>
      <c r="E27" s="232" t="s">
        <v>1541</v>
      </c>
      <c r="F27" s="232" t="s">
        <v>142</v>
      </c>
      <c r="G27" s="232"/>
      <c r="H27" s="232" t="s">
        <v>1543</v>
      </c>
      <c r="I27" s="232" t="s">
        <v>1544</v>
      </c>
      <c r="J27" s="233" t="str">
        <f t="shared" si="0"/>
        <v>GoldANZ Bank</v>
      </c>
      <c r="K27" s="233" t="str">
        <f t="shared" si="1"/>
        <v>GoldANZ Bank</v>
      </c>
    </row>
    <row r="28" spans="1:11">
      <c r="A28" s="232" t="s">
        <v>133</v>
      </c>
      <c r="B28" s="232" t="s">
        <v>971</v>
      </c>
      <c r="C28" s="232" t="s">
        <v>971</v>
      </c>
      <c r="D28" s="232" t="s">
        <v>3270</v>
      </c>
      <c r="E28" s="232" t="s">
        <v>1813</v>
      </c>
      <c r="F28" s="232" t="s">
        <v>142</v>
      </c>
      <c r="G28" s="232"/>
      <c r="H28" s="232" t="s">
        <v>444</v>
      </c>
      <c r="I28" s="232" t="s">
        <v>445</v>
      </c>
      <c r="J28" s="233" t="str">
        <f t="shared" si="0"/>
        <v>GoldArgor-Heraeus S.A.</v>
      </c>
      <c r="K28" s="233" t="str">
        <f t="shared" si="1"/>
        <v>GoldArgor-Heraeus S.A.</v>
      </c>
    </row>
    <row r="29" spans="1:11">
      <c r="A29" s="232" t="s">
        <v>133</v>
      </c>
      <c r="B29" s="232" t="s">
        <v>340</v>
      </c>
      <c r="C29" s="232" t="s">
        <v>340</v>
      </c>
      <c r="D29" s="232" t="s">
        <v>3257</v>
      </c>
      <c r="E29" s="232" t="s">
        <v>339</v>
      </c>
      <c r="F29" s="232" t="s">
        <v>142</v>
      </c>
      <c r="G29" s="232"/>
      <c r="H29" s="232" t="s">
        <v>284</v>
      </c>
      <c r="I29" s="232" t="s">
        <v>285</v>
      </c>
      <c r="J29" s="233" t="str">
        <f t="shared" si="0"/>
        <v>GoldAsahi Pretec Corp.</v>
      </c>
      <c r="K29" s="233" t="str">
        <f t="shared" si="1"/>
        <v>GoldAsahi Pretec Corp.</v>
      </c>
    </row>
    <row r="30" spans="1:11">
      <c r="A30" s="232" t="s">
        <v>133</v>
      </c>
      <c r="B30" s="232" t="s">
        <v>1823</v>
      </c>
      <c r="C30" s="232" t="s">
        <v>1823</v>
      </c>
      <c r="D30" s="232" t="s">
        <v>3271</v>
      </c>
      <c r="E30" s="232" t="s">
        <v>1821</v>
      </c>
      <c r="F30" s="232" t="s">
        <v>142</v>
      </c>
      <c r="G30" s="232"/>
      <c r="H30" s="232" t="s">
        <v>1824</v>
      </c>
      <c r="I30" s="232" t="s">
        <v>861</v>
      </c>
      <c r="J30" s="233" t="str">
        <f t="shared" si="0"/>
        <v>GoldAsahi Refining Canada Ltd.</v>
      </c>
      <c r="K30" s="233" t="str">
        <f t="shared" si="1"/>
        <v>GoldAsahi Refining Canada Ltd.</v>
      </c>
    </row>
    <row r="31" spans="1:11">
      <c r="A31" s="232" t="s">
        <v>133</v>
      </c>
      <c r="B31" s="232" t="s">
        <v>3272</v>
      </c>
      <c r="C31" s="232" t="s">
        <v>3272</v>
      </c>
      <c r="D31" s="232" t="s">
        <v>3251</v>
      </c>
      <c r="E31" s="232" t="s">
        <v>1952</v>
      </c>
      <c r="F31" s="232" t="s">
        <v>142</v>
      </c>
      <c r="G31" s="232"/>
      <c r="H31" s="232" t="s">
        <v>1954</v>
      </c>
      <c r="I31" s="232" t="s">
        <v>1359</v>
      </c>
      <c r="J31" s="233" t="str">
        <f t="shared" si="0"/>
        <v>GoldAsahi Refining USA Inc.</v>
      </c>
      <c r="K31" s="233" t="str">
        <f t="shared" si="1"/>
        <v>GoldAsahi Refining USA Inc.</v>
      </c>
    </row>
    <row r="32" spans="1:11">
      <c r="A32" s="232" t="s">
        <v>133</v>
      </c>
      <c r="B32" s="232" t="s">
        <v>154</v>
      </c>
      <c r="C32" s="232" t="s">
        <v>154</v>
      </c>
      <c r="D32" s="232" t="s">
        <v>3257</v>
      </c>
      <c r="E32" s="232" t="s">
        <v>153</v>
      </c>
      <c r="F32" s="232" t="s">
        <v>142</v>
      </c>
      <c r="G32" s="232"/>
      <c r="H32" s="232" t="s">
        <v>157</v>
      </c>
      <c r="I32" s="232" t="s">
        <v>158</v>
      </c>
      <c r="J32" s="233" t="str">
        <f t="shared" si="0"/>
        <v>GoldAsaka Riken Co., Ltd.</v>
      </c>
      <c r="K32" s="233" t="str">
        <f t="shared" si="1"/>
        <v>GoldAsaka Riken Co., Ltd.</v>
      </c>
    </row>
    <row r="33" spans="1:11">
      <c r="A33" s="232" t="s">
        <v>133</v>
      </c>
      <c r="B33" s="232" t="s">
        <v>167</v>
      </c>
      <c r="C33" s="232" t="s">
        <v>166</v>
      </c>
      <c r="D33" s="232" t="s">
        <v>3273</v>
      </c>
      <c r="E33" s="232" t="s">
        <v>171</v>
      </c>
      <c r="F33" s="232" t="s">
        <v>142</v>
      </c>
      <c r="G33" s="232"/>
      <c r="H33" s="232" t="s">
        <v>170</v>
      </c>
      <c r="I33" s="232" t="s">
        <v>172</v>
      </c>
      <c r="J33" s="233" t="str">
        <f t="shared" si="0"/>
        <v>GoldATAkulche</v>
      </c>
      <c r="K33" s="233" t="str">
        <f t="shared" si="1"/>
        <v>GoldATAkulche</v>
      </c>
    </row>
    <row r="34" spans="1:11">
      <c r="A34" s="232" t="s">
        <v>133</v>
      </c>
      <c r="B34" s="232" t="s">
        <v>166</v>
      </c>
      <c r="C34" s="232" t="s">
        <v>166</v>
      </c>
      <c r="D34" s="232" t="s">
        <v>3273</v>
      </c>
      <c r="E34" s="232" t="s">
        <v>171</v>
      </c>
      <c r="F34" s="232" t="s">
        <v>142</v>
      </c>
      <c r="G34" s="232"/>
      <c r="H34" s="232" t="s">
        <v>170</v>
      </c>
      <c r="I34" s="232" t="s">
        <v>172</v>
      </c>
      <c r="J34" s="233" t="str">
        <f t="shared" si="0"/>
        <v>GoldAtasay Kuyumculuk Sanayi Ve Ticaret A.S.</v>
      </c>
      <c r="K34" s="233" t="str">
        <f t="shared" si="1"/>
        <v>GoldAtasay Kuyumculuk Sanayi Ve Ticaret A.S.</v>
      </c>
    </row>
    <row r="35" spans="1:11">
      <c r="A35" s="232" t="s">
        <v>133</v>
      </c>
      <c r="B35" s="232" t="s">
        <v>1826</v>
      </c>
      <c r="C35" s="232" t="s">
        <v>1826</v>
      </c>
      <c r="D35" s="232" t="s">
        <v>3274</v>
      </c>
      <c r="E35" s="232" t="s">
        <v>1825</v>
      </c>
      <c r="F35" s="232" t="s">
        <v>142</v>
      </c>
      <c r="G35" s="232"/>
      <c r="H35" s="232" t="s">
        <v>1828</v>
      </c>
      <c r="I35" s="232" t="s">
        <v>646</v>
      </c>
      <c r="J35" s="233" t="str">
        <f t="shared" si="0"/>
        <v>GoldAU Traders and Refiners</v>
      </c>
      <c r="K35" s="233" t="str">
        <f t="shared" si="1"/>
        <v>GoldAU Traders and Refiners</v>
      </c>
    </row>
    <row r="36" spans="1:11">
      <c r="A36" s="232" t="s">
        <v>133</v>
      </c>
      <c r="B36" s="232" t="s">
        <v>1836</v>
      </c>
      <c r="C36" s="232" t="s">
        <v>1836</v>
      </c>
      <c r="D36" s="232" t="s">
        <v>3275</v>
      </c>
      <c r="E36" s="232" t="s">
        <v>1835</v>
      </c>
      <c r="F36" s="232" t="s">
        <v>142</v>
      </c>
      <c r="G36" s="232"/>
      <c r="H36" s="232" t="s">
        <v>452</v>
      </c>
      <c r="I36" s="232" t="s">
        <v>3276</v>
      </c>
      <c r="J36" s="233" t="str">
        <f t="shared" si="0"/>
        <v>GoldAugmont Enterprises Private Limited</v>
      </c>
      <c r="K36" s="233" t="str">
        <f t="shared" si="1"/>
        <v>GoldAugmont Enterprises Private Limited</v>
      </c>
    </row>
    <row r="37" spans="1:11">
      <c r="A37" s="232" t="s">
        <v>133</v>
      </c>
      <c r="B37" s="232" t="s">
        <v>489</v>
      </c>
      <c r="C37" s="232" t="s">
        <v>489</v>
      </c>
      <c r="D37" s="232" t="s">
        <v>3254</v>
      </c>
      <c r="E37" s="232" t="s">
        <v>487</v>
      </c>
      <c r="F37" s="232" t="s">
        <v>142</v>
      </c>
      <c r="G37" s="232"/>
      <c r="H37" s="232" t="s">
        <v>491</v>
      </c>
      <c r="I37" s="232" t="s">
        <v>491</v>
      </c>
      <c r="J37" s="233" t="str">
        <f t="shared" si="0"/>
        <v>GoldAurubis AG</v>
      </c>
      <c r="K37" s="233" t="str">
        <f t="shared" si="1"/>
        <v>GoldAurubis AG</v>
      </c>
    </row>
    <row r="38" spans="1:11">
      <c r="A38" s="232" t="s">
        <v>133</v>
      </c>
      <c r="B38" s="232" t="s">
        <v>3277</v>
      </c>
      <c r="C38" s="232" t="s">
        <v>1843</v>
      </c>
      <c r="D38" s="232" t="s">
        <v>3275</v>
      </c>
      <c r="E38" s="232" t="s">
        <v>1841</v>
      </c>
      <c r="F38" s="232" t="s">
        <v>142</v>
      </c>
      <c r="G38" s="232"/>
      <c r="H38" s="232" t="s">
        <v>1845</v>
      </c>
      <c r="I38" s="232" t="s">
        <v>1846</v>
      </c>
      <c r="J38" s="233" t="str">
        <f t="shared" si="0"/>
        <v>GoldBALORE REFINERSGA</v>
      </c>
      <c r="K38" s="233" t="str">
        <f t="shared" si="1"/>
        <v>GoldBALORE REFINERSGA</v>
      </c>
    </row>
    <row r="39" spans="1:11">
      <c r="A39" s="232" t="s">
        <v>133</v>
      </c>
      <c r="B39" s="232" t="s">
        <v>1843</v>
      </c>
      <c r="C39" s="232" t="s">
        <v>1843</v>
      </c>
      <c r="D39" s="232" t="s">
        <v>3275</v>
      </c>
      <c r="E39" s="232" t="s">
        <v>1841</v>
      </c>
      <c r="F39" s="232" t="s">
        <v>142</v>
      </c>
      <c r="G39" s="232"/>
      <c r="H39" s="232" t="s">
        <v>1845</v>
      </c>
      <c r="I39" s="232" t="s">
        <v>1846</v>
      </c>
      <c r="J39" s="233" t="str">
        <f t="shared" si="0"/>
        <v>GoldBangalore Refinery</v>
      </c>
      <c r="K39" s="233" t="str">
        <f t="shared" si="1"/>
        <v>GoldBangalore Refinery</v>
      </c>
    </row>
    <row r="40" spans="1:11">
      <c r="A40" s="232" t="s">
        <v>133</v>
      </c>
      <c r="B40" s="232" t="s">
        <v>1842</v>
      </c>
      <c r="C40" s="232" t="s">
        <v>1843</v>
      </c>
      <c r="D40" s="232" t="s">
        <v>3275</v>
      </c>
      <c r="E40" s="232" t="s">
        <v>1841</v>
      </c>
      <c r="F40" s="232" t="s">
        <v>142</v>
      </c>
      <c r="G40" s="232"/>
      <c r="H40" s="232" t="s">
        <v>1845</v>
      </c>
      <c r="I40" s="232" t="s">
        <v>1846</v>
      </c>
      <c r="J40" s="233" t="str">
        <f t="shared" si="0"/>
        <v>GoldBangalore Refinery Pvt Ltd</v>
      </c>
      <c r="K40" s="233" t="str">
        <f t="shared" si="1"/>
        <v>GoldBangalore Refinery Pvt Ltd</v>
      </c>
    </row>
    <row r="41" spans="1:11">
      <c r="A41" s="232" t="s">
        <v>133</v>
      </c>
      <c r="B41" s="232" t="s">
        <v>1313</v>
      </c>
      <c r="C41" s="232" t="s">
        <v>1313</v>
      </c>
      <c r="D41" s="232" t="s">
        <v>3278</v>
      </c>
      <c r="E41" s="232" t="s">
        <v>1311</v>
      </c>
      <c r="F41" s="232" t="s">
        <v>142</v>
      </c>
      <c r="G41" s="232"/>
      <c r="H41" s="232" t="s">
        <v>1316</v>
      </c>
      <c r="I41" s="232" t="s">
        <v>1317</v>
      </c>
      <c r="J41" s="233" t="str">
        <f t="shared" si="0"/>
        <v>GoldBangko Sentral ng Pilipinas (Central Bank of the Philippines)</v>
      </c>
      <c r="K41" s="233" t="str">
        <f t="shared" si="1"/>
        <v>GoldBangko Sentral ng Pilipinas (Central Bank of the Philippines)</v>
      </c>
    </row>
    <row r="42" spans="1:11">
      <c r="A42" s="232" t="s">
        <v>133</v>
      </c>
      <c r="B42" s="232" t="s">
        <v>348</v>
      </c>
      <c r="C42" s="232" t="s">
        <v>348</v>
      </c>
      <c r="D42" s="232" t="s">
        <v>3279</v>
      </c>
      <c r="E42" s="232" t="s">
        <v>347</v>
      </c>
      <c r="F42" s="232" t="s">
        <v>142</v>
      </c>
      <c r="G42" s="232"/>
      <c r="H42" s="232" t="s">
        <v>351</v>
      </c>
      <c r="I42" s="232" t="s">
        <v>352</v>
      </c>
      <c r="J42" s="233" t="str">
        <f t="shared" si="0"/>
        <v>GoldBoliden AB</v>
      </c>
      <c r="K42" s="233" t="str">
        <f t="shared" si="1"/>
        <v>GoldBoliden AB</v>
      </c>
    </row>
    <row r="43" spans="1:11">
      <c r="A43" s="232" t="s">
        <v>133</v>
      </c>
      <c r="B43" s="232" t="s">
        <v>298</v>
      </c>
      <c r="C43" s="232" t="s">
        <v>298</v>
      </c>
      <c r="D43" s="232" t="s">
        <v>3254</v>
      </c>
      <c r="E43" s="232" t="s">
        <v>297</v>
      </c>
      <c r="F43" s="232" t="s">
        <v>142</v>
      </c>
      <c r="G43" s="232"/>
      <c r="H43" s="232" t="s">
        <v>181</v>
      </c>
      <c r="I43" s="232" t="s">
        <v>182</v>
      </c>
      <c r="J43" s="233" t="str">
        <f t="shared" si="0"/>
        <v>GoldC. Hafner GmbH + Co. KG</v>
      </c>
      <c r="K43" s="233" t="str">
        <f t="shared" si="1"/>
        <v>GoldC. Hafner GmbH + Co. KG</v>
      </c>
    </row>
    <row r="44" spans="1:11">
      <c r="A44" s="232" t="s">
        <v>133</v>
      </c>
      <c r="B44" s="232" t="s">
        <v>306</v>
      </c>
      <c r="C44" s="232" t="s">
        <v>306</v>
      </c>
      <c r="D44" s="232" t="s">
        <v>3280</v>
      </c>
      <c r="E44" s="232" t="s">
        <v>309</v>
      </c>
      <c r="F44" s="232" t="s">
        <v>142</v>
      </c>
      <c r="G44" s="232"/>
      <c r="H44" s="232" t="s">
        <v>307</v>
      </c>
      <c r="I44" s="232" t="s">
        <v>308</v>
      </c>
      <c r="J44" s="233" t="str">
        <f t="shared" si="0"/>
        <v>GoldC.I Metales Procesados Industriales SAS</v>
      </c>
      <c r="K44" s="233" t="str">
        <f t="shared" si="1"/>
        <v>GoldC.I Metales Procesados Industriales SAS</v>
      </c>
    </row>
    <row r="45" spans="1:11">
      <c r="A45" s="232" t="s">
        <v>133</v>
      </c>
      <c r="B45" s="232" t="s">
        <v>310</v>
      </c>
      <c r="C45" s="232" t="s">
        <v>310</v>
      </c>
      <c r="D45" s="232" t="s">
        <v>3281</v>
      </c>
      <c r="E45" s="232" t="s">
        <v>1812</v>
      </c>
      <c r="F45" s="232" t="s">
        <v>142</v>
      </c>
      <c r="G45" s="232"/>
      <c r="H45" s="232" t="s">
        <v>312</v>
      </c>
      <c r="I45" s="232" t="s">
        <v>313</v>
      </c>
      <c r="J45" s="233" t="str">
        <f t="shared" si="0"/>
        <v>GoldCaridad</v>
      </c>
      <c r="K45" s="233" t="str">
        <f t="shared" si="1"/>
        <v>GoldCaridad</v>
      </c>
    </row>
    <row r="46" spans="1:11">
      <c r="A46" s="232" t="s">
        <v>133</v>
      </c>
      <c r="B46" s="232" t="s">
        <v>3282</v>
      </c>
      <c r="C46" s="232" t="s">
        <v>1855</v>
      </c>
      <c r="D46" s="232" t="s">
        <v>3271</v>
      </c>
      <c r="E46" s="232" t="s">
        <v>1853</v>
      </c>
      <c r="F46" s="232" t="s">
        <v>142</v>
      </c>
      <c r="G46" s="232"/>
      <c r="H46" s="232" t="s">
        <v>1856</v>
      </c>
      <c r="I46" s="232" t="s">
        <v>1857</v>
      </c>
      <c r="J46" s="233" t="str">
        <f t="shared" si="0"/>
        <v>GoldCCR</v>
      </c>
      <c r="K46" s="233" t="str">
        <f t="shared" si="1"/>
        <v>GoldCCR</v>
      </c>
    </row>
    <row r="47" spans="1:11">
      <c r="A47" s="232" t="s">
        <v>133</v>
      </c>
      <c r="B47" s="232" t="s">
        <v>1855</v>
      </c>
      <c r="C47" s="232" t="s">
        <v>1855</v>
      </c>
      <c r="D47" s="232" t="s">
        <v>3271</v>
      </c>
      <c r="E47" s="232" t="s">
        <v>1853</v>
      </c>
      <c r="F47" s="232" t="s">
        <v>142</v>
      </c>
      <c r="G47" s="232"/>
      <c r="H47" s="232" t="s">
        <v>1856</v>
      </c>
      <c r="I47" s="232" t="s">
        <v>1857</v>
      </c>
      <c r="J47" s="233" t="str">
        <f t="shared" si="0"/>
        <v>GoldCCR Refinery - Glencore Canada Corporation</v>
      </c>
      <c r="K47" s="233" t="str">
        <f t="shared" si="1"/>
        <v>GoldCCR Refinery - Glencore Canada Corporation</v>
      </c>
    </row>
    <row r="48" spans="1:11">
      <c r="A48" s="232" t="s">
        <v>133</v>
      </c>
      <c r="B48" s="232" t="s">
        <v>3283</v>
      </c>
      <c r="C48" s="232" t="s">
        <v>1326</v>
      </c>
      <c r="D48" s="232" t="s">
        <v>3270</v>
      </c>
      <c r="E48" s="232" t="s">
        <v>1324</v>
      </c>
      <c r="F48" s="232" t="s">
        <v>142</v>
      </c>
      <c r="G48" s="232"/>
      <c r="H48" s="232" t="s">
        <v>1328</v>
      </c>
      <c r="I48" s="232" t="s">
        <v>1329</v>
      </c>
      <c r="J48" s="233" t="str">
        <f t="shared" si="0"/>
        <v>GoldCendres + M?taux SA</v>
      </c>
      <c r="K48" s="233" t="str">
        <f t="shared" si="1"/>
        <v>GoldCendres + M?taux SA</v>
      </c>
    </row>
    <row r="49" spans="1:11">
      <c r="A49" s="232" t="s">
        <v>133</v>
      </c>
      <c r="B49" s="232" t="s">
        <v>1326</v>
      </c>
      <c r="C49" s="232" t="s">
        <v>1326</v>
      </c>
      <c r="D49" s="232" t="s">
        <v>3270</v>
      </c>
      <c r="E49" s="232" t="s">
        <v>1324</v>
      </c>
      <c r="F49" s="232" t="s">
        <v>142</v>
      </c>
      <c r="G49" s="232"/>
      <c r="H49" s="232" t="s">
        <v>1328</v>
      </c>
      <c r="I49" s="232" t="s">
        <v>1329</v>
      </c>
      <c r="J49" s="233" t="str">
        <f t="shared" si="0"/>
        <v>GoldCendres + Metaux S.A.</v>
      </c>
      <c r="K49" s="233" t="str">
        <f t="shared" si="1"/>
        <v>GoldCendres + Metaux S.A.</v>
      </c>
    </row>
    <row r="50" spans="1:11">
      <c r="A50" s="232" t="s">
        <v>133</v>
      </c>
      <c r="B50" s="232" t="s">
        <v>3284</v>
      </c>
      <c r="C50" s="232" t="s">
        <v>1326</v>
      </c>
      <c r="D50" s="232" t="s">
        <v>3270</v>
      </c>
      <c r="E50" s="232" t="s">
        <v>1324</v>
      </c>
      <c r="F50" s="232" t="s">
        <v>142</v>
      </c>
      <c r="G50" s="232"/>
      <c r="H50" s="232" t="s">
        <v>1328</v>
      </c>
      <c r="I50" s="232" t="s">
        <v>1329</v>
      </c>
      <c r="J50" s="233" t="str">
        <f t="shared" si="0"/>
        <v>GoldCendres + Métaux S.A.</v>
      </c>
      <c r="K50" s="233" t="str">
        <f t="shared" si="1"/>
        <v>GoldCendres + Métaux S.A.</v>
      </c>
    </row>
    <row r="51" spans="1:11">
      <c r="A51" s="232" t="s">
        <v>133</v>
      </c>
      <c r="B51" s="232" t="s">
        <v>1312</v>
      </c>
      <c r="C51" s="232" t="s">
        <v>1313</v>
      </c>
      <c r="D51" s="232" t="s">
        <v>3278</v>
      </c>
      <c r="E51" s="232" t="s">
        <v>1311</v>
      </c>
      <c r="F51" s="232" t="s">
        <v>142</v>
      </c>
      <c r="G51" s="232"/>
      <c r="H51" s="232" t="s">
        <v>1316</v>
      </c>
      <c r="I51" s="232" t="s">
        <v>1317</v>
      </c>
      <c r="J51" s="233" t="str">
        <f t="shared" si="0"/>
        <v>GoldCentral Bank of the Philippines Gold Refinery &amp; Mint</v>
      </c>
      <c r="K51" s="233" t="str">
        <f t="shared" si="1"/>
        <v>GoldCentral Bank of the Philippines Gold Refinery &amp; Mint</v>
      </c>
    </row>
    <row r="52" spans="1:11">
      <c r="A52" s="232" t="s">
        <v>133</v>
      </c>
      <c r="B52" s="232" t="s">
        <v>1337</v>
      </c>
      <c r="C52" s="232" t="s">
        <v>1337</v>
      </c>
      <c r="D52" s="232" t="s">
        <v>3275</v>
      </c>
      <c r="E52" s="232" t="s">
        <v>1336</v>
      </c>
      <c r="F52" s="232" t="s">
        <v>142</v>
      </c>
      <c r="G52" s="232"/>
      <c r="H52" s="232" t="s">
        <v>1338</v>
      </c>
      <c r="I52" s="232" t="s">
        <v>1339</v>
      </c>
      <c r="J52" s="233" t="str">
        <f t="shared" si="0"/>
        <v>GoldCGR Metalloys Pvt Ltd.</v>
      </c>
      <c r="K52" s="233" t="str">
        <f t="shared" si="1"/>
        <v>GoldCGR Metalloys Pvt Ltd.</v>
      </c>
    </row>
    <row r="53" spans="1:11">
      <c r="A53" s="232" t="s">
        <v>133</v>
      </c>
      <c r="B53" s="232" t="s">
        <v>3285</v>
      </c>
      <c r="C53" s="232" t="s">
        <v>2655</v>
      </c>
      <c r="D53" s="232" t="s">
        <v>2818</v>
      </c>
      <c r="E53" s="232" t="s">
        <v>2654</v>
      </c>
      <c r="F53" s="232" t="s">
        <v>142</v>
      </c>
      <c r="G53" s="232"/>
      <c r="H53" s="232" t="s">
        <v>2657</v>
      </c>
      <c r="I53" s="232" t="s">
        <v>1148</v>
      </c>
      <c r="J53" s="233" t="str">
        <f t="shared" si="0"/>
        <v>GoldCHALCO Yunnan Copper Co. Ltd.</v>
      </c>
      <c r="K53" s="233" t="str">
        <f t="shared" si="1"/>
        <v>GoldCHALCO Yunnan Copper Co. Ltd.</v>
      </c>
    </row>
    <row r="54" spans="1:11">
      <c r="A54" s="232" t="s">
        <v>133</v>
      </c>
      <c r="B54" s="232" t="s">
        <v>3286</v>
      </c>
      <c r="C54" s="232" t="s">
        <v>1337</v>
      </c>
      <c r="D54" s="232" t="s">
        <v>3275</v>
      </c>
      <c r="E54" s="232" t="s">
        <v>1336</v>
      </c>
      <c r="F54" s="232" t="s">
        <v>142</v>
      </c>
      <c r="G54" s="232"/>
      <c r="H54" s="232" t="s">
        <v>1338</v>
      </c>
      <c r="I54" s="232" t="s">
        <v>1339</v>
      </c>
      <c r="J54" s="233" t="str">
        <f t="shared" si="0"/>
        <v>GoldChemmanur Gold Refinery</v>
      </c>
      <c r="K54" s="233" t="str">
        <f t="shared" si="1"/>
        <v>GoldChemmanur Gold Refinery</v>
      </c>
    </row>
    <row r="55" spans="1:11">
      <c r="A55" s="232" t="s">
        <v>133</v>
      </c>
      <c r="B55" s="232" t="s">
        <v>499</v>
      </c>
      <c r="C55" s="232" t="s">
        <v>499</v>
      </c>
      <c r="D55" s="232" t="s">
        <v>3248</v>
      </c>
      <c r="E55" s="232" t="s">
        <v>498</v>
      </c>
      <c r="F55" s="232" t="s">
        <v>142</v>
      </c>
      <c r="G55" s="232"/>
      <c r="H55" s="232" t="s">
        <v>501</v>
      </c>
      <c r="I55" s="232" t="s">
        <v>502</v>
      </c>
      <c r="J55" s="233" t="str">
        <f t="shared" si="0"/>
        <v>GoldChimet S.p.A.</v>
      </c>
      <c r="K55" s="233" t="str">
        <f t="shared" si="1"/>
        <v>GoldChimet S.p.A.</v>
      </c>
    </row>
    <row r="56" spans="1:11">
      <c r="A56" s="232" t="s">
        <v>133</v>
      </c>
      <c r="B56" s="232" t="s">
        <v>3287</v>
      </c>
      <c r="C56" s="232" t="s">
        <v>2668</v>
      </c>
      <c r="D56" s="232" t="s">
        <v>2818</v>
      </c>
      <c r="E56" s="232" t="s">
        <v>2676</v>
      </c>
      <c r="F56" s="232" t="s">
        <v>142</v>
      </c>
      <c r="G56" s="232"/>
      <c r="H56" s="232" t="s">
        <v>2669</v>
      </c>
      <c r="I56" s="232" t="s">
        <v>554</v>
      </c>
      <c r="J56" s="233" t="str">
        <f t="shared" si="0"/>
        <v>GoldChina Henan Zhongyuan Gold Smelter</v>
      </c>
      <c r="K56" s="233" t="str">
        <f t="shared" si="1"/>
        <v>GoldChina Henan Zhongyuan Gold Smelter</v>
      </c>
    </row>
    <row r="57" spans="1:11">
      <c r="A57" s="232" t="s">
        <v>133</v>
      </c>
      <c r="B57" s="232" t="s">
        <v>3288</v>
      </c>
      <c r="C57" s="232" t="s">
        <v>2551</v>
      </c>
      <c r="D57" s="232" t="s">
        <v>2818</v>
      </c>
      <c r="E57" s="232" t="s">
        <v>812</v>
      </c>
      <c r="F57" s="232" t="s">
        <v>142</v>
      </c>
      <c r="G57" s="232"/>
      <c r="H57" s="232" t="s">
        <v>448</v>
      </c>
      <c r="I57" s="232" t="s">
        <v>419</v>
      </c>
      <c r="J57" s="233" t="str">
        <f t="shared" si="0"/>
        <v>GoldChina's Shandong Gold Mining Co., Ltd</v>
      </c>
      <c r="K57" s="233" t="str">
        <f t="shared" si="1"/>
        <v>GoldChina's Shandong Gold Mining Co., Ltd</v>
      </c>
    </row>
    <row r="58" spans="1:11">
      <c r="A58" s="232" t="s">
        <v>133</v>
      </c>
      <c r="B58" s="232" t="s">
        <v>315</v>
      </c>
      <c r="C58" s="232" t="s">
        <v>315</v>
      </c>
      <c r="D58" s="232" t="s">
        <v>3257</v>
      </c>
      <c r="E58" s="232" t="s">
        <v>314</v>
      </c>
      <c r="F58" s="232" t="s">
        <v>142</v>
      </c>
      <c r="G58" s="232"/>
      <c r="H58" s="232" t="s">
        <v>316</v>
      </c>
      <c r="I58" s="232" t="s">
        <v>277</v>
      </c>
      <c r="J58" s="233" t="str">
        <f t="shared" si="0"/>
        <v>GoldChugai Mining</v>
      </c>
      <c r="K58" s="233" t="str">
        <f t="shared" si="1"/>
        <v>GoldChugai Mining</v>
      </c>
    </row>
    <row r="59" spans="1:11">
      <c r="A59" s="232" t="s">
        <v>133</v>
      </c>
      <c r="B59" s="232" t="s">
        <v>318</v>
      </c>
      <c r="C59" s="232" t="s">
        <v>318</v>
      </c>
      <c r="D59" s="232" t="s">
        <v>2818</v>
      </c>
      <c r="E59" s="232" t="s">
        <v>317</v>
      </c>
      <c r="F59" s="232" t="s">
        <v>142</v>
      </c>
      <c r="G59" s="232"/>
      <c r="H59" s="232" t="s">
        <v>320</v>
      </c>
      <c r="I59" s="232" t="s">
        <v>321</v>
      </c>
      <c r="J59" s="233" t="str">
        <f t="shared" si="0"/>
        <v>GoldDaye Non-Ferrous Metals Mining Ltd.</v>
      </c>
      <c r="K59" s="233" t="str">
        <f t="shared" si="1"/>
        <v>GoldDaye Non-Ferrous Metals Mining Ltd.</v>
      </c>
    </row>
    <row r="60" spans="1:11">
      <c r="A60" s="232" t="s">
        <v>133</v>
      </c>
      <c r="B60" s="232" t="s">
        <v>3289</v>
      </c>
      <c r="C60" s="232" t="s">
        <v>327</v>
      </c>
      <c r="D60" s="232" t="s">
        <v>3254</v>
      </c>
      <c r="E60" s="232" t="s">
        <v>326</v>
      </c>
      <c r="F60" s="232" t="s">
        <v>142</v>
      </c>
      <c r="G60" s="232"/>
      <c r="H60" s="232" t="s">
        <v>181</v>
      </c>
      <c r="I60" s="232" t="s">
        <v>182</v>
      </c>
      <c r="J60" s="233" t="str">
        <f t="shared" si="0"/>
        <v>GoldDEGUSSA</v>
      </c>
      <c r="K60" s="233" t="str">
        <f t="shared" si="1"/>
        <v>GoldDEGUSSA</v>
      </c>
    </row>
    <row r="61" spans="1:11">
      <c r="A61" s="232" t="s">
        <v>133</v>
      </c>
      <c r="B61" s="232" t="s">
        <v>327</v>
      </c>
      <c r="C61" s="232" t="s">
        <v>327</v>
      </c>
      <c r="D61" s="232" t="s">
        <v>3254</v>
      </c>
      <c r="E61" s="232" t="s">
        <v>326</v>
      </c>
      <c r="F61" s="232" t="s">
        <v>142</v>
      </c>
      <c r="G61" s="232"/>
      <c r="H61" s="232" t="s">
        <v>181</v>
      </c>
      <c r="I61" s="232" t="s">
        <v>182</v>
      </c>
      <c r="J61" s="233" t="str">
        <f t="shared" si="0"/>
        <v>GoldDegussa Sonne / Mond Goldhandel GmbH</v>
      </c>
      <c r="K61" s="233" t="str">
        <f t="shared" si="1"/>
        <v>GoldDegussa Sonne / Mond Goldhandel GmbH</v>
      </c>
    </row>
    <row r="62" spans="1:11">
      <c r="A62" s="232" t="s">
        <v>133</v>
      </c>
      <c r="B62" s="232" t="s">
        <v>333</v>
      </c>
      <c r="C62" s="232" t="s">
        <v>333</v>
      </c>
      <c r="D62" s="232" t="s">
        <v>3260</v>
      </c>
      <c r="E62" s="232" t="s">
        <v>332</v>
      </c>
      <c r="F62" s="232" t="s">
        <v>142</v>
      </c>
      <c r="G62" s="232"/>
      <c r="H62" s="232" t="s">
        <v>335</v>
      </c>
      <c r="I62" s="232" t="s">
        <v>336</v>
      </c>
      <c r="J62" s="233" t="str">
        <f t="shared" si="0"/>
        <v>GoldDijllah Gold Refinery FZC</v>
      </c>
      <c r="K62" s="233" t="str">
        <f t="shared" si="1"/>
        <v>GoldDijllah Gold Refinery FZC</v>
      </c>
    </row>
    <row r="63" spans="1:11">
      <c r="A63" s="232" t="s">
        <v>133</v>
      </c>
      <c r="B63" s="232" t="s">
        <v>338</v>
      </c>
      <c r="C63" s="232" t="s">
        <v>255</v>
      </c>
      <c r="D63" s="232" t="s">
        <v>3290</v>
      </c>
      <c r="E63" s="232" t="s">
        <v>254</v>
      </c>
      <c r="F63" s="232" t="s">
        <v>142</v>
      </c>
      <c r="G63" s="232"/>
      <c r="H63" s="232" t="s">
        <v>257</v>
      </c>
      <c r="I63" s="232" t="s">
        <v>258</v>
      </c>
      <c r="J63" s="233" t="str">
        <f t="shared" si="0"/>
        <v>GoldDo Sung Corporation</v>
      </c>
      <c r="K63" s="233" t="str">
        <f t="shared" si="1"/>
        <v>GoldDo Sung Corporation</v>
      </c>
    </row>
    <row r="64" spans="1:11">
      <c r="A64" s="232" t="s">
        <v>133</v>
      </c>
      <c r="B64" s="232" t="s">
        <v>3291</v>
      </c>
      <c r="C64" s="232" t="s">
        <v>178</v>
      </c>
      <c r="D64" s="232" t="s">
        <v>3254</v>
      </c>
      <c r="E64" s="232" t="s">
        <v>176</v>
      </c>
      <c r="F64" s="232" t="s">
        <v>142</v>
      </c>
      <c r="G64" s="232"/>
      <c r="H64" s="232" t="s">
        <v>181</v>
      </c>
      <c r="I64" s="232" t="s">
        <v>182</v>
      </c>
      <c r="J64" s="233" t="str">
        <f t="shared" si="0"/>
        <v>GoldDoduco</v>
      </c>
      <c r="K64" s="233" t="str">
        <f t="shared" si="1"/>
        <v>GoldDoduco</v>
      </c>
    </row>
    <row r="65" spans="1:11">
      <c r="A65" s="232" t="s">
        <v>133</v>
      </c>
      <c r="B65" s="232" t="s">
        <v>178</v>
      </c>
      <c r="C65" s="232" t="s">
        <v>178</v>
      </c>
      <c r="D65" s="232" t="s">
        <v>3254</v>
      </c>
      <c r="E65" s="232" t="s">
        <v>176</v>
      </c>
      <c r="F65" s="232" t="s">
        <v>142</v>
      </c>
      <c r="G65" s="232"/>
      <c r="H65" s="232" t="s">
        <v>181</v>
      </c>
      <c r="I65" s="232" t="s">
        <v>182</v>
      </c>
      <c r="J65" s="233" t="str">
        <f t="shared" si="0"/>
        <v>GoldDODUCO Contacts and Refining GmbH</v>
      </c>
      <c r="K65" s="233" t="str">
        <f t="shared" si="1"/>
        <v>GoldDODUCO Contacts and Refining GmbH</v>
      </c>
    </row>
    <row r="66" spans="1:11">
      <c r="A66" s="232" t="s">
        <v>133</v>
      </c>
      <c r="B66" s="232" t="s">
        <v>191</v>
      </c>
      <c r="C66" s="232" t="s">
        <v>191</v>
      </c>
      <c r="D66" s="232" t="s">
        <v>2818</v>
      </c>
      <c r="E66" s="232" t="s">
        <v>190</v>
      </c>
      <c r="F66" s="232" t="s">
        <v>142</v>
      </c>
      <c r="G66" s="232"/>
      <c r="H66" s="232" t="s">
        <v>193</v>
      </c>
      <c r="I66" s="232" t="s">
        <v>194</v>
      </c>
      <c r="J66" s="233" t="str">
        <f t="shared" si="0"/>
        <v>GoldDongwu Gold Group</v>
      </c>
      <c r="K66" s="233" t="str">
        <f t="shared" si="1"/>
        <v>GoldDongwu Gold Group</v>
      </c>
    </row>
    <row r="67" spans="1:11">
      <c r="A67" s="232" t="s">
        <v>133</v>
      </c>
      <c r="B67" s="232" t="s">
        <v>3292</v>
      </c>
      <c r="C67" s="232" t="s">
        <v>255</v>
      </c>
      <c r="D67" s="232" t="s">
        <v>3290</v>
      </c>
      <c r="E67" s="232" t="s">
        <v>254</v>
      </c>
      <c r="F67" s="232" t="s">
        <v>142</v>
      </c>
      <c r="G67" s="232"/>
      <c r="H67" s="232" t="s">
        <v>257</v>
      </c>
      <c r="I67" s="232" t="s">
        <v>258</v>
      </c>
      <c r="J67" s="233" t="str">
        <f t="shared" si="0"/>
        <v>GoldDosung metal</v>
      </c>
      <c r="K67" s="233" t="str">
        <f t="shared" si="1"/>
        <v>GoldDosung metal</v>
      </c>
    </row>
    <row r="68" spans="1:11">
      <c r="A68" s="232" t="s">
        <v>133</v>
      </c>
      <c r="B68" s="232" t="s">
        <v>1346</v>
      </c>
      <c r="C68" s="232" t="s">
        <v>1346</v>
      </c>
      <c r="D68" s="232" t="s">
        <v>3257</v>
      </c>
      <c r="E68" s="232" t="s">
        <v>1344</v>
      </c>
      <c r="F68" s="232" t="s">
        <v>142</v>
      </c>
      <c r="G68" s="232"/>
      <c r="H68" s="232" t="s">
        <v>1348</v>
      </c>
      <c r="I68" s="232" t="s">
        <v>235</v>
      </c>
      <c r="J68" s="233" t="str">
        <f t="shared" si="0"/>
        <v>GoldDowa</v>
      </c>
      <c r="K68" s="233" t="str">
        <f t="shared" si="1"/>
        <v>GoldDowa</v>
      </c>
    </row>
    <row r="69" spans="1:11">
      <c r="A69" s="232" t="s">
        <v>133</v>
      </c>
      <c r="B69" s="232" t="s">
        <v>3293</v>
      </c>
      <c r="C69" s="232" t="s">
        <v>1346</v>
      </c>
      <c r="D69" s="232" t="s">
        <v>3257</v>
      </c>
      <c r="E69" s="232" t="s">
        <v>1344</v>
      </c>
      <c r="F69" s="232" t="s">
        <v>142</v>
      </c>
      <c r="G69" s="232"/>
      <c r="H69" s="232" t="s">
        <v>1348</v>
      </c>
      <c r="I69" s="232" t="s">
        <v>235</v>
      </c>
      <c r="J69" s="233" t="str">
        <f t="shared" ref="J69:J132" si="2">A69&amp;B69</f>
        <v>GoldDowa Kogyo k.k.</v>
      </c>
      <c r="K69" s="233" t="str">
        <f t="shared" ref="K69:K132" si="3">A69&amp;B69</f>
        <v>GoldDowa Kogyo k.k.</v>
      </c>
    </row>
    <row r="70" spans="1:11">
      <c r="A70" s="232" t="s">
        <v>133</v>
      </c>
      <c r="B70" s="232" t="s">
        <v>3294</v>
      </c>
      <c r="C70" s="232" t="s">
        <v>1346</v>
      </c>
      <c r="D70" s="232" t="s">
        <v>3257</v>
      </c>
      <c r="E70" s="232" t="s">
        <v>1344</v>
      </c>
      <c r="F70" s="232" t="s">
        <v>142</v>
      </c>
      <c r="G70" s="232"/>
      <c r="H70" s="232" t="s">
        <v>1348</v>
      </c>
      <c r="I70" s="232" t="s">
        <v>235</v>
      </c>
      <c r="J70" s="233" t="str">
        <f t="shared" si="2"/>
        <v>GoldDowa Metalmine Co. Ltd</v>
      </c>
      <c r="K70" s="233" t="str">
        <f t="shared" si="3"/>
        <v>GoldDowa Metalmine Co. Ltd</v>
      </c>
    </row>
    <row r="71" spans="1:11">
      <c r="A71" s="232" t="s">
        <v>133</v>
      </c>
      <c r="B71" s="232" t="s">
        <v>1345</v>
      </c>
      <c r="C71" s="232" t="s">
        <v>1346</v>
      </c>
      <c r="D71" s="232" t="s">
        <v>3257</v>
      </c>
      <c r="E71" s="232" t="s">
        <v>1344</v>
      </c>
      <c r="F71" s="232" t="s">
        <v>142</v>
      </c>
      <c r="G71" s="232"/>
      <c r="H71" s="232" t="s">
        <v>1348</v>
      </c>
      <c r="I71" s="232" t="s">
        <v>235</v>
      </c>
      <c r="J71" s="233" t="str">
        <f t="shared" si="2"/>
        <v>GoldDowa Metals &amp; Mining Co. Ltd</v>
      </c>
      <c r="K71" s="233" t="str">
        <f t="shared" si="3"/>
        <v>GoldDowa Metals &amp; Mining Co. Ltd</v>
      </c>
    </row>
    <row r="72" spans="1:11">
      <c r="A72" s="232" t="s">
        <v>133</v>
      </c>
      <c r="B72" s="232" t="s">
        <v>255</v>
      </c>
      <c r="C72" s="232" t="s">
        <v>255</v>
      </c>
      <c r="D72" s="232" t="s">
        <v>3290</v>
      </c>
      <c r="E72" s="232" t="s">
        <v>254</v>
      </c>
      <c r="F72" s="232" t="s">
        <v>142</v>
      </c>
      <c r="G72" s="232"/>
      <c r="H72" s="232" t="s">
        <v>257</v>
      </c>
      <c r="I72" s="232" t="s">
        <v>258</v>
      </c>
      <c r="J72" s="233" t="str">
        <f t="shared" si="2"/>
        <v>GoldDSC (Do Sung Corporation)</v>
      </c>
      <c r="K72" s="233" t="str">
        <f t="shared" si="3"/>
        <v>GoldDSC (Do Sung Corporation)</v>
      </c>
    </row>
    <row r="73" spans="1:11">
      <c r="A73" s="232" t="s">
        <v>133</v>
      </c>
      <c r="B73" s="232" t="s">
        <v>263</v>
      </c>
      <c r="C73" s="232" t="s">
        <v>263</v>
      </c>
      <c r="D73" s="232" t="s">
        <v>3257</v>
      </c>
      <c r="E73" s="232" t="s">
        <v>262</v>
      </c>
      <c r="F73" s="232" t="s">
        <v>142</v>
      </c>
      <c r="G73" s="232"/>
      <c r="H73" s="232" t="s">
        <v>264</v>
      </c>
      <c r="I73" s="232" t="s">
        <v>265</v>
      </c>
      <c r="J73" s="233" t="str">
        <f t="shared" si="2"/>
        <v>GoldEco-System Recycling Co., Ltd. East Plant</v>
      </c>
      <c r="K73" s="233" t="str">
        <f t="shared" si="3"/>
        <v>GoldEco-System Recycling Co., Ltd. East Plant</v>
      </c>
    </row>
    <row r="74" spans="1:11">
      <c r="A74" s="232" t="s">
        <v>133</v>
      </c>
      <c r="B74" s="232" t="s">
        <v>232</v>
      </c>
      <c r="C74" s="232" t="s">
        <v>232</v>
      </c>
      <c r="D74" s="232" t="s">
        <v>3257</v>
      </c>
      <c r="E74" s="232" t="s">
        <v>231</v>
      </c>
      <c r="F74" s="232" t="s">
        <v>142</v>
      </c>
      <c r="G74" s="232"/>
      <c r="H74" s="232" t="s">
        <v>234</v>
      </c>
      <c r="I74" s="232" t="s">
        <v>235</v>
      </c>
      <c r="J74" s="233" t="str">
        <f t="shared" si="2"/>
        <v>GoldEco-System Recycling Co., Ltd. North Plant</v>
      </c>
      <c r="K74" s="233" t="str">
        <f t="shared" si="3"/>
        <v>GoldEco-System Recycling Co., Ltd. North Plant</v>
      </c>
    </row>
    <row r="75" spans="1:11">
      <c r="A75" s="232" t="s">
        <v>133</v>
      </c>
      <c r="B75" s="232" t="s">
        <v>244</v>
      </c>
      <c r="C75" s="232" t="s">
        <v>244</v>
      </c>
      <c r="D75" s="232" t="s">
        <v>3257</v>
      </c>
      <c r="E75" s="232" t="s">
        <v>243</v>
      </c>
      <c r="F75" s="232" t="s">
        <v>142</v>
      </c>
      <c r="G75" s="232"/>
      <c r="H75" s="232" t="s">
        <v>246</v>
      </c>
      <c r="I75" s="232" t="s">
        <v>246</v>
      </c>
      <c r="J75" s="233" t="str">
        <f t="shared" si="2"/>
        <v>GoldEco-System Recycling Co., Ltd. West Plant</v>
      </c>
      <c r="K75" s="233" t="str">
        <f t="shared" si="3"/>
        <v>GoldEco-System Recycling Co., Ltd. West Plant</v>
      </c>
    </row>
    <row r="76" spans="1:11">
      <c r="A76" s="232" t="s">
        <v>133</v>
      </c>
      <c r="B76" s="232" t="s">
        <v>3295</v>
      </c>
      <c r="C76" s="232" t="s">
        <v>1957</v>
      </c>
      <c r="D76" s="232" t="s">
        <v>3296</v>
      </c>
      <c r="E76" s="232" t="s">
        <v>1956</v>
      </c>
      <c r="F76" s="232" t="s">
        <v>142</v>
      </c>
      <c r="G76" s="232"/>
      <c r="H76" s="232" t="s">
        <v>1959</v>
      </c>
      <c r="I76" s="232" t="s">
        <v>1404</v>
      </c>
      <c r="J76" s="233" t="str">
        <f t="shared" si="2"/>
        <v>GoldEkaterinburg</v>
      </c>
      <c r="K76" s="233" t="str">
        <f t="shared" si="3"/>
        <v>GoldEkaterinburg</v>
      </c>
    </row>
    <row r="77" spans="1:11">
      <c r="A77" s="232" t="s">
        <v>133</v>
      </c>
      <c r="B77" s="232" t="s">
        <v>292</v>
      </c>
      <c r="C77" s="232" t="s">
        <v>292</v>
      </c>
      <c r="D77" s="232" t="s">
        <v>3275</v>
      </c>
      <c r="E77" s="232" t="s">
        <v>291</v>
      </c>
      <c r="F77" s="232" t="s">
        <v>142</v>
      </c>
      <c r="G77" s="232"/>
      <c r="H77" s="232" t="s">
        <v>227</v>
      </c>
      <c r="I77" s="232" t="s">
        <v>228</v>
      </c>
      <c r="J77" s="233" t="str">
        <f t="shared" si="2"/>
        <v>GoldEmerald Jewel Industry India Limited (Unit 1)</v>
      </c>
      <c r="K77" s="233" t="str">
        <f t="shared" si="3"/>
        <v>GoldEmerald Jewel Industry India Limited (Unit 1)</v>
      </c>
    </row>
    <row r="78" spans="1:11">
      <c r="A78" s="232" t="s">
        <v>133</v>
      </c>
      <c r="B78" s="232" t="s">
        <v>294</v>
      </c>
      <c r="C78" s="232" t="s">
        <v>294</v>
      </c>
      <c r="D78" s="232" t="s">
        <v>3275</v>
      </c>
      <c r="E78" s="232" t="s">
        <v>293</v>
      </c>
      <c r="F78" s="232" t="s">
        <v>142</v>
      </c>
      <c r="G78" s="232"/>
      <c r="H78" s="232" t="s">
        <v>227</v>
      </c>
      <c r="I78" s="232" t="s">
        <v>228</v>
      </c>
      <c r="J78" s="233" t="str">
        <f t="shared" si="2"/>
        <v>GoldEmerald Jewel Industry India Limited (Unit 2)</v>
      </c>
      <c r="K78" s="233" t="str">
        <f t="shared" si="3"/>
        <v>GoldEmerald Jewel Industry India Limited (Unit 2)</v>
      </c>
    </row>
    <row r="79" spans="1:11">
      <c r="A79" s="232" t="s">
        <v>133</v>
      </c>
      <c r="B79" s="232" t="s">
        <v>296</v>
      </c>
      <c r="C79" s="232" t="s">
        <v>296</v>
      </c>
      <c r="D79" s="232" t="s">
        <v>3275</v>
      </c>
      <c r="E79" s="232" t="s">
        <v>295</v>
      </c>
      <c r="F79" s="232" t="s">
        <v>142</v>
      </c>
      <c r="G79" s="232"/>
      <c r="H79" s="232" t="s">
        <v>227</v>
      </c>
      <c r="I79" s="232" t="s">
        <v>228</v>
      </c>
      <c r="J79" s="233" t="str">
        <f t="shared" si="2"/>
        <v>GoldEmerald Jewel Industry India Limited (Unit 3)</v>
      </c>
      <c r="K79" s="233" t="str">
        <f t="shared" si="3"/>
        <v>GoldEmerald Jewel Industry India Limited (Unit 3)</v>
      </c>
    </row>
    <row r="80" spans="1:11">
      <c r="A80" s="232" t="s">
        <v>133</v>
      </c>
      <c r="B80" s="232" t="s">
        <v>225</v>
      </c>
      <c r="C80" s="232" t="s">
        <v>225</v>
      </c>
      <c r="D80" s="232" t="s">
        <v>3275</v>
      </c>
      <c r="E80" s="232" t="s">
        <v>224</v>
      </c>
      <c r="F80" s="232" t="s">
        <v>142</v>
      </c>
      <c r="G80" s="232"/>
      <c r="H80" s="232" t="s">
        <v>227</v>
      </c>
      <c r="I80" s="232" t="s">
        <v>228</v>
      </c>
      <c r="J80" s="233" t="str">
        <f t="shared" si="2"/>
        <v>GoldEmerald Jewel Industry India Limited (Unit 4)</v>
      </c>
      <c r="K80" s="233" t="str">
        <f t="shared" si="3"/>
        <v>GoldEmerald Jewel Industry India Limited (Unit 4)</v>
      </c>
    </row>
    <row r="81" spans="1:11">
      <c r="A81" s="232" t="s">
        <v>133</v>
      </c>
      <c r="B81" s="232" t="s">
        <v>384</v>
      </c>
      <c r="C81" s="232" t="s">
        <v>384</v>
      </c>
      <c r="D81" s="232" t="s">
        <v>3260</v>
      </c>
      <c r="E81" s="232" t="s">
        <v>383</v>
      </c>
      <c r="F81" s="232" t="s">
        <v>142</v>
      </c>
      <c r="G81" s="232"/>
      <c r="H81" s="232" t="s">
        <v>201</v>
      </c>
      <c r="I81" s="232" t="s">
        <v>202</v>
      </c>
      <c r="J81" s="233" t="str">
        <f t="shared" si="2"/>
        <v>GoldEmirates Gold DMCC</v>
      </c>
      <c r="K81" s="233" t="str">
        <f t="shared" si="3"/>
        <v>GoldEmirates Gold DMCC</v>
      </c>
    </row>
    <row r="82" spans="1:11">
      <c r="A82" s="232" t="s">
        <v>133</v>
      </c>
      <c r="B82" s="232" t="s">
        <v>3297</v>
      </c>
      <c r="C82" s="232" t="s">
        <v>2203</v>
      </c>
      <c r="D82" s="232" t="s">
        <v>3296</v>
      </c>
      <c r="E82" s="232" t="s">
        <v>2205</v>
      </c>
      <c r="F82" s="232" t="s">
        <v>142</v>
      </c>
      <c r="G82" s="232"/>
      <c r="H82" s="232" t="s">
        <v>2204</v>
      </c>
      <c r="I82" s="232" t="s">
        <v>953</v>
      </c>
      <c r="J82" s="233" t="str">
        <f t="shared" si="2"/>
        <v>GoldFederal State Unitary Enterprise Moscow Special Processing Plant (FSUE MZSS)</v>
      </c>
      <c r="K82" s="233" t="str">
        <f t="shared" si="3"/>
        <v>GoldFederal State Unitary Enterprise Moscow Special Processing Plant (FSUE MZSS)</v>
      </c>
    </row>
    <row r="83" spans="1:11">
      <c r="A83" s="232" t="s">
        <v>133</v>
      </c>
      <c r="B83" s="232" t="s">
        <v>399</v>
      </c>
      <c r="C83" s="232" t="s">
        <v>399</v>
      </c>
      <c r="D83" s="232" t="s">
        <v>3298</v>
      </c>
      <c r="E83" s="232" t="s">
        <v>398</v>
      </c>
      <c r="F83" s="232" t="s">
        <v>142</v>
      </c>
      <c r="G83" s="232"/>
      <c r="H83" s="232" t="s">
        <v>402</v>
      </c>
      <c r="I83" s="232" t="s">
        <v>403</v>
      </c>
      <c r="J83" s="233" t="str">
        <f t="shared" si="2"/>
        <v>GoldFidelity Printers and Refiners Ltd.</v>
      </c>
      <c r="K83" s="233" t="str">
        <f t="shared" si="3"/>
        <v>GoldFidelity Printers and Refiners Ltd.</v>
      </c>
    </row>
    <row r="84" spans="1:11">
      <c r="A84" s="232" t="s">
        <v>133</v>
      </c>
      <c r="B84" s="232" t="s">
        <v>683</v>
      </c>
      <c r="C84" s="232" t="s">
        <v>2540</v>
      </c>
      <c r="D84" s="232" t="s">
        <v>3296</v>
      </c>
      <c r="E84" s="232" t="s">
        <v>1728</v>
      </c>
      <c r="F84" s="232" t="s">
        <v>142</v>
      </c>
      <c r="G84" s="232"/>
      <c r="H84" s="232" t="s">
        <v>684</v>
      </c>
      <c r="I84" s="232" t="s">
        <v>1730</v>
      </c>
      <c r="J84" s="233" t="str">
        <f t="shared" si="2"/>
        <v>GoldFSE Novosibirsk Refinery</v>
      </c>
      <c r="K84" s="233" t="str">
        <f t="shared" si="3"/>
        <v>GoldFSE Novosibirsk Refinery</v>
      </c>
    </row>
    <row r="85" spans="1:11">
      <c r="A85" s="232" t="s">
        <v>133</v>
      </c>
      <c r="B85" s="232" t="s">
        <v>514</v>
      </c>
      <c r="C85" s="232" t="s">
        <v>514</v>
      </c>
      <c r="D85" s="232" t="s">
        <v>3260</v>
      </c>
      <c r="E85" s="232" t="s">
        <v>513</v>
      </c>
      <c r="F85" s="232" t="s">
        <v>142</v>
      </c>
      <c r="G85" s="232"/>
      <c r="H85" s="232" t="s">
        <v>516</v>
      </c>
      <c r="I85" s="232" t="s">
        <v>517</v>
      </c>
      <c r="J85" s="233" t="str">
        <f t="shared" si="2"/>
        <v>GoldFujairah Gold FZC</v>
      </c>
      <c r="K85" s="233" t="str">
        <f t="shared" si="3"/>
        <v>GoldFujairah Gold FZC</v>
      </c>
    </row>
    <row r="86" spans="1:11">
      <c r="A86" s="232" t="s">
        <v>133</v>
      </c>
      <c r="B86" s="232" t="s">
        <v>3299</v>
      </c>
      <c r="C86" s="232" t="s">
        <v>514</v>
      </c>
      <c r="D86" s="232" t="s">
        <v>3260</v>
      </c>
      <c r="E86" s="232" t="s">
        <v>513</v>
      </c>
      <c r="F86" s="232" t="s">
        <v>142</v>
      </c>
      <c r="G86" s="232"/>
      <c r="H86" s="232" t="s">
        <v>516</v>
      </c>
      <c r="I86" s="232" t="s">
        <v>517</v>
      </c>
      <c r="J86" s="233" t="str">
        <f t="shared" si="2"/>
        <v>GoldFujhara Refinery</v>
      </c>
      <c r="K86" s="233" t="str">
        <f t="shared" si="3"/>
        <v>GoldFujhara Refinery</v>
      </c>
    </row>
    <row r="87" spans="1:11">
      <c r="A87" s="232" t="s">
        <v>133</v>
      </c>
      <c r="B87" s="232" t="s">
        <v>3300</v>
      </c>
      <c r="C87" s="232" t="s">
        <v>2981</v>
      </c>
      <c r="D87" s="232" t="s">
        <v>2818</v>
      </c>
      <c r="E87" s="232" t="s">
        <v>2980</v>
      </c>
      <c r="F87" s="232" t="s">
        <v>142</v>
      </c>
      <c r="G87" s="232"/>
      <c r="H87" s="232" t="s">
        <v>2982</v>
      </c>
      <c r="I87" s="232" t="s">
        <v>958</v>
      </c>
      <c r="J87" s="233" t="str">
        <f t="shared" si="2"/>
        <v>GoldFujian Zijin mining stock company gold smelter</v>
      </c>
      <c r="K87" s="233" t="str">
        <f t="shared" si="3"/>
        <v>GoldFujian Zijin mining stock company gold smelter</v>
      </c>
    </row>
    <row r="88" spans="1:11">
      <c r="A88" s="232" t="s">
        <v>133</v>
      </c>
      <c r="B88" s="232" t="s">
        <v>522</v>
      </c>
      <c r="C88" s="232" t="s">
        <v>522</v>
      </c>
      <c r="D88" s="232" t="s">
        <v>3251</v>
      </c>
      <c r="E88" s="232" t="s">
        <v>521</v>
      </c>
      <c r="F88" s="232" t="s">
        <v>142</v>
      </c>
      <c r="G88" s="232"/>
      <c r="H88" s="232" t="s">
        <v>144</v>
      </c>
      <c r="I88" s="232" t="s">
        <v>145</v>
      </c>
      <c r="J88" s="233" t="str">
        <f t="shared" si="2"/>
        <v>GoldGeib Refining Corporation</v>
      </c>
      <c r="K88" s="233" t="str">
        <f t="shared" si="3"/>
        <v>GoldGeib Refining Corporation</v>
      </c>
    </row>
    <row r="89" spans="1:11">
      <c r="A89" s="232" t="s">
        <v>133</v>
      </c>
      <c r="B89" s="232" t="s">
        <v>2972</v>
      </c>
      <c r="C89" s="232" t="s">
        <v>2972</v>
      </c>
      <c r="D89" s="232" t="s">
        <v>3275</v>
      </c>
      <c r="E89" s="232" t="s">
        <v>2971</v>
      </c>
      <c r="F89" s="232" t="s">
        <v>142</v>
      </c>
      <c r="G89" s="232"/>
      <c r="H89" s="232" t="s">
        <v>2975</v>
      </c>
      <c r="I89" s="232" t="s">
        <v>1746</v>
      </c>
      <c r="J89" s="233" t="str">
        <f t="shared" si="2"/>
        <v>GoldGGC Gujrat Gold Centre Pvt. Ltd.</v>
      </c>
      <c r="K89" s="233" t="str">
        <f t="shared" si="3"/>
        <v>GoldGGC Gujrat Gold Centre Pvt. Ltd.</v>
      </c>
    </row>
    <row r="90" spans="1:11">
      <c r="A90" s="232" t="s">
        <v>133</v>
      </c>
      <c r="B90" s="232" t="s">
        <v>531</v>
      </c>
      <c r="C90" s="232" t="s">
        <v>531</v>
      </c>
      <c r="D90" s="232" t="s">
        <v>3280</v>
      </c>
      <c r="E90" s="232" t="s">
        <v>530</v>
      </c>
      <c r="F90" s="232" t="s">
        <v>142</v>
      </c>
      <c r="G90" s="232"/>
      <c r="H90" s="232" t="s">
        <v>532</v>
      </c>
      <c r="I90" s="232" t="s">
        <v>533</v>
      </c>
      <c r="J90" s="233" t="str">
        <f t="shared" si="2"/>
        <v>GoldGold by Gold Colombia</v>
      </c>
      <c r="K90" s="233" t="str">
        <f t="shared" si="3"/>
        <v>GoldGold by Gold Colombia</v>
      </c>
    </row>
    <row r="91" spans="1:11">
      <c r="A91" s="232" t="s">
        <v>133</v>
      </c>
      <c r="B91" s="232" t="s">
        <v>535</v>
      </c>
      <c r="C91" s="232" t="s">
        <v>535</v>
      </c>
      <c r="D91" s="232" t="s">
        <v>3301</v>
      </c>
      <c r="E91" s="232" t="s">
        <v>534</v>
      </c>
      <c r="F91" s="232" t="s">
        <v>142</v>
      </c>
      <c r="G91" s="232"/>
      <c r="H91" s="232" t="s">
        <v>536</v>
      </c>
      <c r="I91" s="232" t="s">
        <v>536</v>
      </c>
      <c r="J91" s="233" t="str">
        <f t="shared" si="2"/>
        <v>GoldGold Coast Refinery</v>
      </c>
      <c r="K91" s="233" t="str">
        <f t="shared" si="3"/>
        <v>GoldGold Coast Refinery</v>
      </c>
    </row>
    <row r="92" spans="1:11">
      <c r="A92" s="232" t="s">
        <v>133</v>
      </c>
      <c r="B92" s="232" t="s">
        <v>3302</v>
      </c>
      <c r="C92" s="232" t="s">
        <v>2551</v>
      </c>
      <c r="D92" s="232" t="s">
        <v>2818</v>
      </c>
      <c r="E92" s="232" t="s">
        <v>812</v>
      </c>
      <c r="F92" s="232" t="s">
        <v>142</v>
      </c>
      <c r="G92" s="232"/>
      <c r="H92" s="232" t="s">
        <v>448</v>
      </c>
      <c r="I92" s="232" t="s">
        <v>419</v>
      </c>
      <c r="J92" s="233" t="str">
        <f t="shared" si="2"/>
        <v>GoldGold Mining in Shandong (Laizhou) Limited Company</v>
      </c>
      <c r="K92" s="233" t="str">
        <f t="shared" si="3"/>
        <v>GoldGold Mining in Shandong (Laizhou) Limited Company</v>
      </c>
    </row>
    <row r="93" spans="1:11">
      <c r="A93" s="232" t="s">
        <v>133</v>
      </c>
      <c r="B93" s="232" t="s">
        <v>2981</v>
      </c>
      <c r="C93" s="232" t="s">
        <v>2981</v>
      </c>
      <c r="D93" s="232" t="s">
        <v>2818</v>
      </c>
      <c r="E93" s="232" t="s">
        <v>2980</v>
      </c>
      <c r="F93" s="232" t="s">
        <v>142</v>
      </c>
      <c r="G93" s="232"/>
      <c r="H93" s="232" t="s">
        <v>2982</v>
      </c>
      <c r="I93" s="232" t="s">
        <v>958</v>
      </c>
      <c r="J93" s="233" t="str">
        <f t="shared" si="2"/>
        <v>GoldGold Refinery of Zijin Mining Group Co., Ltd.</v>
      </c>
      <c r="K93" s="233" t="str">
        <f t="shared" si="3"/>
        <v>GoldGold Refinery of Zijin Mining Group Co., Ltd.</v>
      </c>
    </row>
    <row r="94" spans="1:11">
      <c r="A94" s="232" t="s">
        <v>133</v>
      </c>
      <c r="B94" s="232" t="s">
        <v>3303</v>
      </c>
      <c r="C94" s="232" t="s">
        <v>2985</v>
      </c>
      <c r="D94" s="232" t="s">
        <v>2818</v>
      </c>
      <c r="E94" s="232" t="s">
        <v>2984</v>
      </c>
      <c r="F94" s="232" t="s">
        <v>142</v>
      </c>
      <c r="G94" s="232"/>
      <c r="H94" s="232" t="s">
        <v>2242</v>
      </c>
      <c r="I94" s="232" t="s">
        <v>2243</v>
      </c>
      <c r="J94" s="233" t="str">
        <f t="shared" si="2"/>
        <v>GoldGreat Wall Precious Metals Co,. LTD.</v>
      </c>
      <c r="K94" s="233" t="str">
        <f t="shared" si="3"/>
        <v>GoldGreat Wall Precious Metals Co,. LTD.</v>
      </c>
    </row>
    <row r="95" spans="1:11">
      <c r="A95" s="232" t="s">
        <v>133</v>
      </c>
      <c r="B95" s="232" t="s">
        <v>2985</v>
      </c>
      <c r="C95" s="232" t="s">
        <v>2985</v>
      </c>
      <c r="D95" s="232" t="s">
        <v>2818</v>
      </c>
      <c r="E95" s="232" t="s">
        <v>2984</v>
      </c>
      <c r="F95" s="232" t="s">
        <v>142</v>
      </c>
      <c r="G95" s="232"/>
      <c r="H95" s="232" t="s">
        <v>2242</v>
      </c>
      <c r="I95" s="232" t="s">
        <v>2243</v>
      </c>
      <c r="J95" s="233" t="str">
        <f t="shared" si="2"/>
        <v>GoldGreat Wall Precious Metals Co., Ltd. of CBPM</v>
      </c>
      <c r="K95" s="233" t="str">
        <f t="shared" si="3"/>
        <v>GoldGreat Wall Precious Metals Co., Ltd. of CBPM</v>
      </c>
    </row>
    <row r="96" spans="1:11">
      <c r="A96" s="232" t="s">
        <v>133</v>
      </c>
      <c r="B96" s="232" t="s">
        <v>3304</v>
      </c>
      <c r="C96" s="232" t="s">
        <v>408</v>
      </c>
      <c r="D96" s="232" t="s">
        <v>2818</v>
      </c>
      <c r="E96" s="232" t="s">
        <v>407</v>
      </c>
      <c r="F96" s="232" t="s">
        <v>142</v>
      </c>
      <c r="G96" s="232"/>
      <c r="H96" s="232" t="s">
        <v>410</v>
      </c>
      <c r="I96" s="232" t="s">
        <v>382</v>
      </c>
      <c r="J96" s="233" t="str">
        <f t="shared" si="2"/>
        <v>GoldGuangdong Gaoyao Co</v>
      </c>
      <c r="K96" s="233" t="str">
        <f t="shared" si="3"/>
        <v>GoldGuangdong Gaoyao Co</v>
      </c>
    </row>
    <row r="97" spans="1:11">
      <c r="A97" s="232" t="s">
        <v>133</v>
      </c>
      <c r="B97" s="232" t="s">
        <v>408</v>
      </c>
      <c r="C97" s="232" t="s">
        <v>408</v>
      </c>
      <c r="D97" s="232" t="s">
        <v>2818</v>
      </c>
      <c r="E97" s="232" t="s">
        <v>407</v>
      </c>
      <c r="F97" s="232" t="s">
        <v>142</v>
      </c>
      <c r="G97" s="232"/>
      <c r="H97" s="232" t="s">
        <v>410</v>
      </c>
      <c r="I97" s="232" t="s">
        <v>382</v>
      </c>
      <c r="J97" s="233" t="str">
        <f t="shared" si="2"/>
        <v>GoldGuangdong Jinding Gold Limited</v>
      </c>
      <c r="K97" s="233" t="str">
        <f t="shared" si="3"/>
        <v>GoldGuangdong Jinding Gold Limited</v>
      </c>
    </row>
    <row r="98" spans="1:11">
      <c r="A98" s="232" t="s">
        <v>133</v>
      </c>
      <c r="B98" s="232" t="s">
        <v>3305</v>
      </c>
      <c r="C98" s="232" t="s">
        <v>2972</v>
      </c>
      <c r="D98" s="232" t="s">
        <v>3275</v>
      </c>
      <c r="E98" s="232" t="s">
        <v>2971</v>
      </c>
      <c r="F98" s="232" t="s">
        <v>142</v>
      </c>
      <c r="G98" s="232"/>
      <c r="H98" s="232" t="s">
        <v>2975</v>
      </c>
      <c r="I98" s="232" t="s">
        <v>1746</v>
      </c>
      <c r="J98" s="233" t="str">
        <f t="shared" si="2"/>
        <v>GoldGujarat Gold Centre</v>
      </c>
      <c r="K98" s="233" t="str">
        <f t="shared" si="3"/>
        <v>GoldGujarat Gold Centre</v>
      </c>
    </row>
    <row r="99" spans="1:11">
      <c r="A99" s="232" t="s">
        <v>133</v>
      </c>
      <c r="B99" s="232" t="s">
        <v>416</v>
      </c>
      <c r="C99" s="232" t="s">
        <v>416</v>
      </c>
      <c r="D99" s="232" t="s">
        <v>2818</v>
      </c>
      <c r="E99" s="232" t="s">
        <v>414</v>
      </c>
      <c r="F99" s="232" t="s">
        <v>142</v>
      </c>
      <c r="G99" s="232"/>
      <c r="H99" s="232" t="s">
        <v>418</v>
      </c>
      <c r="I99" s="232" t="s">
        <v>419</v>
      </c>
      <c r="J99" s="233" t="str">
        <f t="shared" si="2"/>
        <v>GoldGuoda Safina High-Tech Environmental Refinery Co., Ltd.</v>
      </c>
      <c r="K99" s="233" t="str">
        <f t="shared" si="3"/>
        <v>GoldGuoda Safina High-Tech Environmental Refinery Co., Ltd.</v>
      </c>
    </row>
    <row r="100" spans="1:11">
      <c r="A100" s="232" t="s">
        <v>133</v>
      </c>
      <c r="B100" s="232" t="s">
        <v>424</v>
      </c>
      <c r="C100" s="232" t="s">
        <v>424</v>
      </c>
      <c r="D100" s="232" t="s">
        <v>2818</v>
      </c>
      <c r="E100" s="232" t="s">
        <v>423</v>
      </c>
      <c r="F100" s="232" t="s">
        <v>142</v>
      </c>
      <c r="G100" s="232"/>
      <c r="H100" s="232" t="s">
        <v>426</v>
      </c>
      <c r="I100" s="232" t="s">
        <v>427</v>
      </c>
      <c r="J100" s="233" t="str">
        <f t="shared" si="2"/>
        <v>GoldHangzhou Fuchunjiang Smelting Co., Ltd.</v>
      </c>
      <c r="K100" s="233" t="str">
        <f t="shared" si="3"/>
        <v>GoldHangzhou Fuchunjiang Smelting Co., Ltd.</v>
      </c>
    </row>
    <row r="101" spans="1:11">
      <c r="A101" s="232" t="s">
        <v>133</v>
      </c>
      <c r="B101" s="232" t="s">
        <v>3306</v>
      </c>
      <c r="C101" s="232" t="s">
        <v>539</v>
      </c>
      <c r="D101" s="232" t="s">
        <v>3290</v>
      </c>
      <c r="E101" s="232" t="s">
        <v>538</v>
      </c>
      <c r="F101" s="232" t="s">
        <v>142</v>
      </c>
      <c r="G101" s="232"/>
      <c r="H101" s="232" t="s">
        <v>541</v>
      </c>
      <c r="I101" s="232" t="s">
        <v>542</v>
      </c>
      <c r="J101" s="233" t="str">
        <f t="shared" si="2"/>
        <v>GoldHeeSung Metal Ltd.</v>
      </c>
      <c r="K101" s="233" t="str">
        <f t="shared" si="3"/>
        <v>GoldHeeSung Metal Ltd.</v>
      </c>
    </row>
    <row r="102" spans="1:11">
      <c r="A102" s="232" t="s">
        <v>133</v>
      </c>
      <c r="B102" s="232" t="s">
        <v>267</v>
      </c>
      <c r="C102" s="232" t="s">
        <v>267</v>
      </c>
      <c r="D102" s="232" t="s">
        <v>3254</v>
      </c>
      <c r="E102" s="232" t="s">
        <v>266</v>
      </c>
      <c r="F102" s="232" t="s">
        <v>142</v>
      </c>
      <c r="G102" s="232"/>
      <c r="H102" s="232" t="s">
        <v>181</v>
      </c>
      <c r="I102" s="232" t="s">
        <v>182</v>
      </c>
      <c r="J102" s="233" t="str">
        <f t="shared" si="2"/>
        <v>GoldHeimerle + Meule GmbH</v>
      </c>
      <c r="K102" s="233" t="str">
        <f t="shared" si="3"/>
        <v>GoldHeimerle + Meule GmbH</v>
      </c>
    </row>
    <row r="103" spans="1:11">
      <c r="A103" s="232" t="s">
        <v>133</v>
      </c>
      <c r="B103" s="232" t="s">
        <v>3307</v>
      </c>
      <c r="C103" s="232" t="s">
        <v>2668</v>
      </c>
      <c r="D103" s="232" t="s">
        <v>2818</v>
      </c>
      <c r="E103" s="232" t="s">
        <v>2676</v>
      </c>
      <c r="F103" s="232" t="s">
        <v>142</v>
      </c>
      <c r="G103" s="232"/>
      <c r="H103" s="232" t="s">
        <v>2669</v>
      </c>
      <c r="I103" s="232" t="s">
        <v>554</v>
      </c>
      <c r="J103" s="233" t="str">
        <f t="shared" si="2"/>
        <v>GoldHenan Zhongyuan Gold Refinery Co., Ltd.</v>
      </c>
      <c r="K103" s="233" t="str">
        <f t="shared" si="3"/>
        <v>GoldHenan Zhongyuan Gold Refinery Co., Ltd.</v>
      </c>
    </row>
    <row r="104" spans="1:11">
      <c r="A104" s="232" t="s">
        <v>133</v>
      </c>
      <c r="B104" s="232" t="s">
        <v>3308</v>
      </c>
      <c r="C104" s="232" t="s">
        <v>2668</v>
      </c>
      <c r="D104" s="232" t="s">
        <v>2818</v>
      </c>
      <c r="E104" s="232" t="s">
        <v>2676</v>
      </c>
      <c r="F104" s="232" t="s">
        <v>142</v>
      </c>
      <c r="G104" s="232"/>
      <c r="H104" s="232" t="s">
        <v>2669</v>
      </c>
      <c r="I104" s="232" t="s">
        <v>554</v>
      </c>
      <c r="J104" s="233" t="str">
        <f t="shared" si="2"/>
        <v>GoldHenan Zhongyuan Gold Smelter of Zhongjin Gold Co. Ltd.</v>
      </c>
      <c r="K104" s="233" t="str">
        <f t="shared" si="3"/>
        <v>GoldHenan Zhongyuan Gold Smelter of Zhongjin Gold Co. Ltd.</v>
      </c>
    </row>
    <row r="105" spans="1:11">
      <c r="A105" s="232" t="s">
        <v>133</v>
      </c>
      <c r="B105" s="232" t="s">
        <v>3309</v>
      </c>
      <c r="C105" s="232" t="s">
        <v>2668</v>
      </c>
      <c r="D105" s="232" t="s">
        <v>2818</v>
      </c>
      <c r="E105" s="232" t="s">
        <v>2676</v>
      </c>
      <c r="F105" s="232" t="s">
        <v>142</v>
      </c>
      <c r="G105" s="232"/>
      <c r="H105" s="232" t="s">
        <v>2669</v>
      </c>
      <c r="I105" s="232" t="s">
        <v>554</v>
      </c>
      <c r="J105" s="233" t="str">
        <f t="shared" si="2"/>
        <v>GoldHenan Zhongyuan Gold Smelter of Zhongjin Gold Corporation Limited</v>
      </c>
      <c r="K105" s="233" t="str">
        <f t="shared" si="3"/>
        <v>GoldHenan Zhongyuan Gold Smelter of Zhongjin Gold Corporation Limited</v>
      </c>
    </row>
    <row r="106" spans="1:11">
      <c r="A106" s="232" t="s">
        <v>133</v>
      </c>
      <c r="B106" s="232" t="s">
        <v>269</v>
      </c>
      <c r="C106" s="232" t="s">
        <v>269</v>
      </c>
      <c r="D106" s="232" t="s">
        <v>3254</v>
      </c>
      <c r="E106" s="232" t="s">
        <v>2439</v>
      </c>
      <c r="F106" s="232" t="s">
        <v>142</v>
      </c>
      <c r="G106" s="232"/>
      <c r="H106" s="232" t="s">
        <v>270</v>
      </c>
      <c r="I106" s="232" t="s">
        <v>271</v>
      </c>
      <c r="J106" s="233" t="str">
        <f t="shared" si="2"/>
        <v>GoldHeraeus Germany GmbH Co. KG</v>
      </c>
      <c r="K106" s="233" t="str">
        <f t="shared" si="3"/>
        <v>GoldHeraeus Germany GmbH Co. KG</v>
      </c>
    </row>
    <row r="107" spans="1:11">
      <c r="A107" s="232" t="s">
        <v>133</v>
      </c>
      <c r="B107" s="232" t="s">
        <v>1556</v>
      </c>
      <c r="C107" s="232" t="s">
        <v>1069</v>
      </c>
      <c r="D107" s="232" t="s">
        <v>2818</v>
      </c>
      <c r="E107" s="232" t="s">
        <v>1068</v>
      </c>
      <c r="F107" s="232" t="s">
        <v>142</v>
      </c>
      <c r="G107" s="232"/>
      <c r="H107" s="232" t="s">
        <v>1070</v>
      </c>
      <c r="I107" s="232" t="s">
        <v>589</v>
      </c>
      <c r="J107" s="233" t="str">
        <f t="shared" si="2"/>
        <v>GoldHeraeus Ltd. Hong Kong</v>
      </c>
      <c r="K107" s="233" t="str">
        <f t="shared" si="3"/>
        <v>GoldHeraeus Ltd. Hong Kong</v>
      </c>
    </row>
    <row r="108" spans="1:11">
      <c r="A108" s="232" t="s">
        <v>133</v>
      </c>
      <c r="B108" s="232" t="s">
        <v>1069</v>
      </c>
      <c r="C108" s="232" t="s">
        <v>1069</v>
      </c>
      <c r="D108" s="232" t="s">
        <v>2818</v>
      </c>
      <c r="E108" s="232" t="s">
        <v>1068</v>
      </c>
      <c r="F108" s="232" t="s">
        <v>142</v>
      </c>
      <c r="G108" s="232"/>
      <c r="H108" s="232" t="s">
        <v>1070</v>
      </c>
      <c r="I108" s="232" t="s">
        <v>589</v>
      </c>
      <c r="J108" s="233" t="str">
        <f t="shared" si="2"/>
        <v>GoldHeraeus Metals Hong Kong Ltd.</v>
      </c>
      <c r="K108" s="233" t="str">
        <f t="shared" si="3"/>
        <v>GoldHeraeus Metals Hong Kong Ltd.</v>
      </c>
    </row>
    <row r="109" spans="1:11">
      <c r="A109" s="232" t="s">
        <v>133</v>
      </c>
      <c r="B109" s="232" t="s">
        <v>272</v>
      </c>
      <c r="C109" s="232" t="s">
        <v>269</v>
      </c>
      <c r="D109" s="232" t="s">
        <v>3254</v>
      </c>
      <c r="E109" s="232" t="s">
        <v>2439</v>
      </c>
      <c r="F109" s="232" t="s">
        <v>142</v>
      </c>
      <c r="G109" s="232"/>
      <c r="H109" s="232" t="s">
        <v>270</v>
      </c>
      <c r="I109" s="232" t="s">
        <v>271</v>
      </c>
      <c r="J109" s="233" t="str">
        <f t="shared" si="2"/>
        <v>GoldHeraeus Precious Metals GmbH &amp; Co. KG</v>
      </c>
      <c r="K109" s="233" t="str">
        <f t="shared" si="3"/>
        <v>GoldHeraeus Precious Metals GmbH &amp; Co. KG</v>
      </c>
    </row>
    <row r="110" spans="1:11">
      <c r="A110" s="232" t="s">
        <v>133</v>
      </c>
      <c r="B110" s="232" t="s">
        <v>1912</v>
      </c>
      <c r="C110" s="232" t="s">
        <v>1912</v>
      </c>
      <c r="D110" s="232" t="s">
        <v>2818</v>
      </c>
      <c r="E110" s="232" t="s">
        <v>1911</v>
      </c>
      <c r="F110" s="232" t="s">
        <v>142</v>
      </c>
      <c r="G110" s="232"/>
      <c r="H110" s="232" t="s">
        <v>1913</v>
      </c>
      <c r="I110" s="232" t="s">
        <v>709</v>
      </c>
      <c r="J110" s="233" t="str">
        <f t="shared" si="2"/>
        <v>GoldHunan Chenzhou Mining Co., Ltd.</v>
      </c>
      <c r="K110" s="233" t="str">
        <f t="shared" si="3"/>
        <v>GoldHunan Chenzhou Mining Co., Ltd.</v>
      </c>
    </row>
    <row r="111" spans="1:11">
      <c r="A111" s="232" t="s">
        <v>133</v>
      </c>
      <c r="B111" s="232" t="s">
        <v>2900</v>
      </c>
      <c r="C111" s="232" t="s">
        <v>1912</v>
      </c>
      <c r="D111" s="232" t="s">
        <v>2818</v>
      </c>
      <c r="E111" s="232" t="s">
        <v>1911</v>
      </c>
      <c r="F111" s="232" t="s">
        <v>142</v>
      </c>
      <c r="G111" s="232"/>
      <c r="H111" s="232" t="s">
        <v>1913</v>
      </c>
      <c r="I111" s="232" t="s">
        <v>709</v>
      </c>
      <c r="J111" s="233" t="str">
        <f t="shared" si="2"/>
        <v>GoldHunan Chenzhou Mining Group Co., Ltd.</v>
      </c>
      <c r="K111" s="233" t="str">
        <f t="shared" si="3"/>
        <v>GoldHunan Chenzhou Mining Group Co., Ltd.</v>
      </c>
    </row>
    <row r="112" spans="1:11">
      <c r="A112" s="232" t="s">
        <v>133</v>
      </c>
      <c r="B112" s="232" t="s">
        <v>3310</v>
      </c>
      <c r="C112" s="232" t="s">
        <v>1912</v>
      </c>
      <c r="D112" s="232" t="s">
        <v>2818</v>
      </c>
      <c r="E112" s="232" t="s">
        <v>1911</v>
      </c>
      <c r="F112" s="232" t="s">
        <v>142</v>
      </c>
      <c r="G112" s="232"/>
      <c r="H112" s="232" t="s">
        <v>1913</v>
      </c>
      <c r="I112" s="232" t="s">
        <v>709</v>
      </c>
      <c r="J112" s="233" t="str">
        <f t="shared" si="2"/>
        <v>GoldHunan Chenzhou Mining Industry Co. Ltd.</v>
      </c>
      <c r="K112" s="233" t="str">
        <f t="shared" si="3"/>
        <v>GoldHunan Chenzhou Mining Industry Co. Ltd.</v>
      </c>
    </row>
    <row r="113" spans="1:11">
      <c r="A113" s="232" t="s">
        <v>133</v>
      </c>
      <c r="B113" s="232" t="s">
        <v>1919</v>
      </c>
      <c r="C113" s="232" t="s">
        <v>1919</v>
      </c>
      <c r="D113" s="232" t="s">
        <v>2818</v>
      </c>
      <c r="E113" s="232" t="s">
        <v>1918</v>
      </c>
      <c r="F113" s="232" t="s">
        <v>142</v>
      </c>
      <c r="G113" s="232"/>
      <c r="H113" s="232" t="s">
        <v>1921</v>
      </c>
      <c r="I113" s="232" t="s">
        <v>709</v>
      </c>
      <c r="J113" s="233" t="str">
        <f t="shared" si="2"/>
        <v>GoldHunan Guiyang yinxing Nonferrous Smelting Co., Ltd.</v>
      </c>
      <c r="K113" s="233" t="str">
        <f t="shared" si="3"/>
        <v>GoldHunan Guiyang yinxing Nonferrous Smelting Co., Ltd.</v>
      </c>
    </row>
    <row r="114" spans="1:11">
      <c r="A114" s="232" t="s">
        <v>133</v>
      </c>
      <c r="B114" s="232" t="s">
        <v>3311</v>
      </c>
      <c r="C114" s="232" t="s">
        <v>1919</v>
      </c>
      <c r="D114" s="232" t="s">
        <v>2818</v>
      </c>
      <c r="E114" s="232" t="s">
        <v>1918</v>
      </c>
      <c r="F114" s="232" t="s">
        <v>142</v>
      </c>
      <c r="G114" s="232"/>
      <c r="H114" s="232" t="s">
        <v>1921</v>
      </c>
      <c r="I114" s="232" t="s">
        <v>709</v>
      </c>
      <c r="J114" s="233" t="str">
        <f t="shared" si="2"/>
        <v>GoldHunan Yu Teng Non-Ferrous Metals Co., Ltd.</v>
      </c>
      <c r="K114" s="233" t="str">
        <f t="shared" si="3"/>
        <v>GoldHunan Yu Teng Non-Ferrous Metals Co., Ltd.</v>
      </c>
    </row>
    <row r="115" spans="1:11">
      <c r="A115" s="232" t="s">
        <v>133</v>
      </c>
      <c r="B115" s="232" t="s">
        <v>2509</v>
      </c>
      <c r="C115" s="232" t="s">
        <v>2509</v>
      </c>
      <c r="D115" s="232" t="s">
        <v>3290</v>
      </c>
      <c r="E115" s="232" t="s">
        <v>2508</v>
      </c>
      <c r="F115" s="232" t="s">
        <v>142</v>
      </c>
      <c r="G115" s="232"/>
      <c r="H115" s="232" t="s">
        <v>2510</v>
      </c>
      <c r="I115" s="232" t="s">
        <v>258</v>
      </c>
      <c r="J115" s="233" t="str">
        <f t="shared" si="2"/>
        <v>GoldHwaSeong CJ CO., LTD.</v>
      </c>
      <c r="K115" s="233" t="str">
        <f t="shared" si="3"/>
        <v>GoldHwaSeong CJ CO., LTD.</v>
      </c>
    </row>
    <row r="116" spans="1:11">
      <c r="A116" s="232" t="s">
        <v>133</v>
      </c>
      <c r="B116" s="232" t="s">
        <v>2513</v>
      </c>
      <c r="C116" s="232" t="s">
        <v>2513</v>
      </c>
      <c r="D116" s="232" t="s">
        <v>3312</v>
      </c>
      <c r="E116" s="232" t="s">
        <v>2511</v>
      </c>
      <c r="F116" s="232" t="s">
        <v>142</v>
      </c>
      <c r="G116" s="232"/>
      <c r="H116" s="232" t="s">
        <v>933</v>
      </c>
      <c r="I116" s="232" t="s">
        <v>1793</v>
      </c>
      <c r="J116" s="233" t="str">
        <f t="shared" si="2"/>
        <v>GoldIndustrial Refining Company</v>
      </c>
      <c r="K116" s="233" t="str">
        <f t="shared" si="3"/>
        <v>GoldIndustrial Refining Company</v>
      </c>
    </row>
    <row r="117" spans="1:11">
      <c r="A117" s="232" t="s">
        <v>133</v>
      </c>
      <c r="B117" s="232" t="s">
        <v>1926</v>
      </c>
      <c r="C117" s="232" t="s">
        <v>1926</v>
      </c>
      <c r="D117" s="232" t="s">
        <v>2818</v>
      </c>
      <c r="E117" s="232" t="s">
        <v>1925</v>
      </c>
      <c r="F117" s="232" t="s">
        <v>142</v>
      </c>
      <c r="G117" s="232"/>
      <c r="H117" s="232" t="s">
        <v>1877</v>
      </c>
      <c r="I117" s="232" t="s">
        <v>1927</v>
      </c>
      <c r="J117" s="233" t="str">
        <f t="shared" si="2"/>
        <v>GoldInner Mongolia Qiankun Gold and Silver Refinery Share Co., Ltd.</v>
      </c>
      <c r="K117" s="233" t="str">
        <f t="shared" si="3"/>
        <v>GoldInner Mongolia Qiankun Gold and Silver Refinery Share Co., Ltd.</v>
      </c>
    </row>
    <row r="118" spans="1:11">
      <c r="A118" s="232" t="s">
        <v>133</v>
      </c>
      <c r="B118" s="232" t="s">
        <v>1929</v>
      </c>
      <c r="C118" s="232" t="s">
        <v>1929</v>
      </c>
      <c r="D118" s="232" t="s">
        <v>3260</v>
      </c>
      <c r="E118" s="232" t="s">
        <v>1928</v>
      </c>
      <c r="F118" s="232" t="s">
        <v>142</v>
      </c>
      <c r="G118" s="232"/>
      <c r="H118" s="232" t="s">
        <v>201</v>
      </c>
      <c r="I118" s="232" t="s">
        <v>202</v>
      </c>
      <c r="J118" s="233" t="str">
        <f t="shared" si="2"/>
        <v>GoldInternational Precious Metal Refiners</v>
      </c>
      <c r="K118" s="233" t="str">
        <f t="shared" si="3"/>
        <v>GoldInternational Precious Metal Refiners</v>
      </c>
    </row>
    <row r="119" spans="1:11">
      <c r="A119" s="232" t="s">
        <v>133</v>
      </c>
      <c r="B119" s="232" t="s">
        <v>2596</v>
      </c>
      <c r="C119" s="232" t="s">
        <v>2596</v>
      </c>
      <c r="D119" s="232" t="s">
        <v>3257</v>
      </c>
      <c r="E119" s="232" t="s">
        <v>2595</v>
      </c>
      <c r="F119" s="232" t="s">
        <v>142</v>
      </c>
      <c r="G119" s="232"/>
      <c r="H119" s="232" t="s">
        <v>2598</v>
      </c>
      <c r="I119" s="232" t="s">
        <v>265</v>
      </c>
      <c r="J119" s="233" t="str">
        <f t="shared" si="2"/>
        <v>GoldIshifuku Metal Industry Co., Ltd.</v>
      </c>
      <c r="K119" s="233" t="str">
        <f t="shared" si="3"/>
        <v>GoldIshifuku Metal Industry Co., Ltd.</v>
      </c>
    </row>
    <row r="120" spans="1:11">
      <c r="A120" s="232" t="s">
        <v>133</v>
      </c>
      <c r="B120" s="232" t="s">
        <v>2524</v>
      </c>
      <c r="C120" s="232" t="s">
        <v>2524</v>
      </c>
      <c r="D120" s="232" t="s">
        <v>3273</v>
      </c>
      <c r="E120" s="232" t="s">
        <v>2523</v>
      </c>
      <c r="F120" s="232" t="s">
        <v>142</v>
      </c>
      <c r="G120" s="232"/>
      <c r="H120" s="232" t="s">
        <v>2526</v>
      </c>
      <c r="I120" s="232" t="s">
        <v>172</v>
      </c>
      <c r="J120" s="233" t="str">
        <f t="shared" si="2"/>
        <v>GoldIstanbul Gold Refinery</v>
      </c>
      <c r="K120" s="233" t="str">
        <f t="shared" si="3"/>
        <v>GoldIstanbul Gold Refinery</v>
      </c>
    </row>
    <row r="121" spans="1:11">
      <c r="A121" s="232" t="s">
        <v>133</v>
      </c>
      <c r="B121" s="232" t="s">
        <v>1939</v>
      </c>
      <c r="C121" s="232" t="s">
        <v>1939</v>
      </c>
      <c r="D121" s="232" t="s">
        <v>3248</v>
      </c>
      <c r="E121" s="232" t="s">
        <v>1938</v>
      </c>
      <c r="F121" s="232" t="s">
        <v>142</v>
      </c>
      <c r="G121" s="232"/>
      <c r="H121" s="232" t="s">
        <v>501</v>
      </c>
      <c r="I121" s="232" t="s">
        <v>502</v>
      </c>
      <c r="J121" s="233" t="str">
        <f t="shared" si="2"/>
        <v>GoldItalpreziosi</v>
      </c>
      <c r="K121" s="233" t="str">
        <f t="shared" si="3"/>
        <v>GoldItalpreziosi</v>
      </c>
    </row>
    <row r="122" spans="1:11">
      <c r="A122" s="232" t="s">
        <v>133</v>
      </c>
      <c r="B122" s="232" t="s">
        <v>1931</v>
      </c>
      <c r="C122" s="232" t="s">
        <v>1931</v>
      </c>
      <c r="D122" s="232" t="s">
        <v>3275</v>
      </c>
      <c r="E122" s="232" t="s">
        <v>1930</v>
      </c>
      <c r="F122" s="232" t="s">
        <v>142</v>
      </c>
      <c r="G122" s="232"/>
      <c r="H122" s="232" t="s">
        <v>1933</v>
      </c>
      <c r="I122" s="232" t="s">
        <v>1934</v>
      </c>
      <c r="J122" s="233" t="str">
        <f t="shared" si="2"/>
        <v>GoldJALAN &amp; Company</v>
      </c>
      <c r="K122" s="233" t="str">
        <f t="shared" si="3"/>
        <v>GoldJALAN &amp; Company</v>
      </c>
    </row>
    <row r="123" spans="1:11">
      <c r="A123" s="232" t="s">
        <v>133</v>
      </c>
      <c r="B123" s="232" t="s">
        <v>1948</v>
      </c>
      <c r="C123" s="232" t="s">
        <v>1948</v>
      </c>
      <c r="D123" s="232" t="s">
        <v>3257</v>
      </c>
      <c r="E123" s="232" t="s">
        <v>1947</v>
      </c>
      <c r="F123" s="232" t="s">
        <v>142</v>
      </c>
      <c r="G123" s="232"/>
      <c r="H123" s="232" t="s">
        <v>1949</v>
      </c>
      <c r="I123" s="232" t="s">
        <v>1949</v>
      </c>
      <c r="J123" s="233" t="str">
        <f t="shared" si="2"/>
        <v>GoldJapan Mint</v>
      </c>
      <c r="K123" s="233" t="str">
        <f t="shared" si="3"/>
        <v>GoldJapan Mint</v>
      </c>
    </row>
    <row r="124" spans="1:11">
      <c r="A124" s="232" t="s">
        <v>133</v>
      </c>
      <c r="B124" s="232" t="s">
        <v>1950</v>
      </c>
      <c r="C124" s="232" t="s">
        <v>2539</v>
      </c>
      <c r="D124" s="232" t="s">
        <v>2818</v>
      </c>
      <c r="E124" s="232" t="s">
        <v>2538</v>
      </c>
      <c r="F124" s="232" t="s">
        <v>142</v>
      </c>
      <c r="G124" s="232"/>
      <c r="H124" s="232" t="s">
        <v>1951</v>
      </c>
      <c r="I124" s="232" t="s">
        <v>771</v>
      </c>
      <c r="J124" s="233" t="str">
        <f t="shared" si="2"/>
        <v>GoldJCC</v>
      </c>
      <c r="K124" s="233" t="str">
        <f t="shared" si="3"/>
        <v>GoldJCC</v>
      </c>
    </row>
    <row r="125" spans="1:11">
      <c r="A125" s="232" t="s">
        <v>133</v>
      </c>
      <c r="B125" s="232" t="s">
        <v>2539</v>
      </c>
      <c r="C125" s="232" t="s">
        <v>2539</v>
      </c>
      <c r="D125" s="232" t="s">
        <v>2818</v>
      </c>
      <c r="E125" s="232" t="s">
        <v>2538</v>
      </c>
      <c r="F125" s="232" t="s">
        <v>142</v>
      </c>
      <c r="G125" s="232"/>
      <c r="H125" s="232" t="s">
        <v>1951</v>
      </c>
      <c r="I125" s="232" t="s">
        <v>771</v>
      </c>
      <c r="J125" s="233" t="str">
        <f t="shared" si="2"/>
        <v>GoldJiangxi Copper Co., Ltd.</v>
      </c>
      <c r="K125" s="233" t="str">
        <f t="shared" si="3"/>
        <v>GoldJiangxi Copper Co., Ltd.</v>
      </c>
    </row>
    <row r="126" spans="1:11">
      <c r="A126" s="232" t="s">
        <v>133</v>
      </c>
      <c r="B126" s="232" t="s">
        <v>1955</v>
      </c>
      <c r="C126" s="232" t="s">
        <v>1823</v>
      </c>
      <c r="D126" s="232" t="s">
        <v>3271</v>
      </c>
      <c r="E126" s="232" t="s">
        <v>1821</v>
      </c>
      <c r="F126" s="232" t="s">
        <v>142</v>
      </c>
      <c r="G126" s="232"/>
      <c r="H126" s="232" t="s">
        <v>1824</v>
      </c>
      <c r="I126" s="232" t="s">
        <v>861</v>
      </c>
      <c r="J126" s="233" t="str">
        <f t="shared" si="2"/>
        <v>GoldJohnson Matthey Canada</v>
      </c>
      <c r="K126" s="233" t="str">
        <f t="shared" si="3"/>
        <v>GoldJohnson Matthey Canada</v>
      </c>
    </row>
    <row r="127" spans="1:11">
      <c r="A127" s="232" t="s">
        <v>133</v>
      </c>
      <c r="B127" s="232" t="s">
        <v>3313</v>
      </c>
      <c r="C127" s="232" t="s">
        <v>3272</v>
      </c>
      <c r="D127" s="232" t="s">
        <v>3251</v>
      </c>
      <c r="E127" s="232" t="s">
        <v>1952</v>
      </c>
      <c r="F127" s="232" t="s">
        <v>142</v>
      </c>
      <c r="G127" s="232"/>
      <c r="H127" s="232" t="s">
        <v>1954</v>
      </c>
      <c r="I127" s="232" t="s">
        <v>1359</v>
      </c>
      <c r="J127" s="233" t="str">
        <f t="shared" si="2"/>
        <v>GoldJohnson Matthey Inc.</v>
      </c>
      <c r="K127" s="233" t="str">
        <f t="shared" si="3"/>
        <v>GoldJohnson Matthey Inc.</v>
      </c>
    </row>
    <row r="128" spans="1:11">
      <c r="A128" s="232" t="s">
        <v>133</v>
      </c>
      <c r="B128" s="232" t="s">
        <v>1953</v>
      </c>
      <c r="C128" s="232" t="s">
        <v>3272</v>
      </c>
      <c r="D128" s="232" t="s">
        <v>3251</v>
      </c>
      <c r="E128" s="232" t="s">
        <v>1952</v>
      </c>
      <c r="F128" s="232" t="s">
        <v>142</v>
      </c>
      <c r="G128" s="232"/>
      <c r="H128" s="232" t="s">
        <v>1954</v>
      </c>
      <c r="I128" s="232" t="s">
        <v>1359</v>
      </c>
      <c r="J128" s="233" t="str">
        <f t="shared" si="2"/>
        <v>GoldJohnson Matthey Inc. (USA)</v>
      </c>
      <c r="K128" s="233" t="str">
        <f t="shared" si="3"/>
        <v>GoldJohnson Matthey Inc. (USA)</v>
      </c>
    </row>
    <row r="129" spans="1:11">
      <c r="A129" s="232" t="s">
        <v>133</v>
      </c>
      <c r="B129" s="232" t="s">
        <v>1822</v>
      </c>
      <c r="C129" s="232" t="s">
        <v>1823</v>
      </c>
      <c r="D129" s="232" t="s">
        <v>3271</v>
      </c>
      <c r="E129" s="232" t="s">
        <v>1821</v>
      </c>
      <c r="F129" s="232" t="s">
        <v>142</v>
      </c>
      <c r="G129" s="232"/>
      <c r="H129" s="232" t="s">
        <v>1824</v>
      </c>
      <c r="I129" s="232" t="s">
        <v>861</v>
      </c>
      <c r="J129" s="233" t="str">
        <f t="shared" si="2"/>
        <v>GoldJohnson Matthey Limited</v>
      </c>
      <c r="K129" s="233" t="str">
        <f t="shared" si="3"/>
        <v>GoldJohnson Matthey Limited</v>
      </c>
    </row>
    <row r="130" spans="1:11">
      <c r="A130" s="232" t="s">
        <v>133</v>
      </c>
      <c r="B130" s="232" t="s">
        <v>1957</v>
      </c>
      <c r="C130" s="232" t="s">
        <v>1957</v>
      </c>
      <c r="D130" s="232" t="s">
        <v>3296</v>
      </c>
      <c r="E130" s="232" t="s">
        <v>1956</v>
      </c>
      <c r="F130" s="232" t="s">
        <v>142</v>
      </c>
      <c r="G130" s="232"/>
      <c r="H130" s="232" t="s">
        <v>1959</v>
      </c>
      <c r="I130" s="232" t="s">
        <v>1404</v>
      </c>
      <c r="J130" s="233" t="str">
        <f t="shared" si="2"/>
        <v>GoldJSC Ekaterinburg Non-Ferrous Metal Processing Plant</v>
      </c>
      <c r="K130" s="233" t="str">
        <f t="shared" si="3"/>
        <v>GoldJSC Ekaterinburg Non-Ferrous Metal Processing Plant</v>
      </c>
    </row>
    <row r="131" spans="1:11">
      <c r="A131" s="232" t="s">
        <v>133</v>
      </c>
      <c r="B131" s="232" t="s">
        <v>2540</v>
      </c>
      <c r="C131" s="232" t="s">
        <v>2540</v>
      </c>
      <c r="D131" s="232" t="s">
        <v>3296</v>
      </c>
      <c r="E131" s="232" t="s">
        <v>1728</v>
      </c>
      <c r="F131" s="232" t="s">
        <v>142</v>
      </c>
      <c r="G131" s="232"/>
      <c r="H131" s="232" t="s">
        <v>684</v>
      </c>
      <c r="I131" s="232" t="s">
        <v>1730</v>
      </c>
      <c r="J131" s="233" t="str">
        <f t="shared" si="2"/>
        <v>GoldJSC Novosibirsk Refinery</v>
      </c>
      <c r="K131" s="233" t="str">
        <f t="shared" si="3"/>
        <v>GoldJSC Novosibirsk Refinery</v>
      </c>
    </row>
    <row r="132" spans="1:11">
      <c r="A132" s="232" t="s">
        <v>133</v>
      </c>
      <c r="B132" s="232" t="s">
        <v>2606</v>
      </c>
      <c r="C132" s="232" t="s">
        <v>2606</v>
      </c>
      <c r="D132" s="232" t="s">
        <v>3296</v>
      </c>
      <c r="E132" s="232" t="s">
        <v>2605</v>
      </c>
      <c r="F132" s="232" t="s">
        <v>142</v>
      </c>
      <c r="G132" s="232"/>
      <c r="H132" s="232" t="s">
        <v>1959</v>
      </c>
      <c r="I132" s="232" t="s">
        <v>1404</v>
      </c>
      <c r="J132" s="233" t="str">
        <f t="shared" si="2"/>
        <v>GoldJSC Uralelectromed</v>
      </c>
      <c r="K132" s="233" t="str">
        <f t="shared" si="3"/>
        <v>GoldJSC Uralelectromed</v>
      </c>
    </row>
    <row r="133" spans="1:11">
      <c r="A133" s="232" t="s">
        <v>133</v>
      </c>
      <c r="B133" s="232" t="s">
        <v>1352</v>
      </c>
      <c r="C133" s="232" t="s">
        <v>1352</v>
      </c>
      <c r="D133" s="232" t="s">
        <v>3257</v>
      </c>
      <c r="E133" s="232" t="s">
        <v>1350</v>
      </c>
      <c r="F133" s="232" t="s">
        <v>142</v>
      </c>
      <c r="G133" s="232"/>
      <c r="H133" s="232" t="s">
        <v>1353</v>
      </c>
      <c r="I133" s="232" t="s">
        <v>1354</v>
      </c>
      <c r="J133" s="233" t="str">
        <f t="shared" ref="J133:J196" si="4">A133&amp;B133</f>
        <v>GoldJX Nippon Mining &amp; Metals Co., Ltd.</v>
      </c>
      <c r="K133" s="233" t="str">
        <f t="shared" ref="K133:K196" si="5">A133&amp;B133</f>
        <v>GoldJX Nippon Mining &amp; Metals Co., Ltd.</v>
      </c>
    </row>
    <row r="134" spans="1:11">
      <c r="A134" s="232" t="s">
        <v>133</v>
      </c>
      <c r="B134" s="232" t="s">
        <v>2542</v>
      </c>
      <c r="C134" s="232" t="s">
        <v>2542</v>
      </c>
      <c r="D134" s="232" t="s">
        <v>3314</v>
      </c>
      <c r="E134" s="232" t="s">
        <v>2541</v>
      </c>
      <c r="F134" s="232" t="s">
        <v>142</v>
      </c>
      <c r="G134" s="232"/>
      <c r="H134" s="232" t="s">
        <v>2543</v>
      </c>
      <c r="I134" s="232" t="s">
        <v>2544</v>
      </c>
      <c r="J134" s="233" t="str">
        <f t="shared" si="4"/>
        <v>GoldK.A. Rasmussen</v>
      </c>
      <c r="K134" s="233" t="str">
        <f t="shared" si="5"/>
        <v>GoldK.A. Rasmussen</v>
      </c>
    </row>
    <row r="135" spans="1:11">
      <c r="A135" s="232" t="s">
        <v>133</v>
      </c>
      <c r="B135" s="232" t="s">
        <v>1558</v>
      </c>
      <c r="C135" s="232" t="s">
        <v>1558</v>
      </c>
      <c r="D135" s="232" t="s">
        <v>3260</v>
      </c>
      <c r="E135" s="232" t="s">
        <v>1557</v>
      </c>
      <c r="F135" s="232" t="s">
        <v>142</v>
      </c>
      <c r="G135" s="232"/>
      <c r="H135" s="232" t="s">
        <v>201</v>
      </c>
      <c r="I135" s="232" t="s">
        <v>202</v>
      </c>
      <c r="J135" s="233" t="str">
        <f t="shared" si="4"/>
        <v>GoldKaloti Precious Metals</v>
      </c>
      <c r="K135" s="233" t="str">
        <f t="shared" si="5"/>
        <v>GoldKaloti Precious Metals</v>
      </c>
    </row>
    <row r="136" spans="1:11">
      <c r="A136" s="232" t="s">
        <v>133</v>
      </c>
      <c r="B136" s="232" t="s">
        <v>360</v>
      </c>
      <c r="C136" s="232" t="s">
        <v>360</v>
      </c>
      <c r="D136" s="232" t="s">
        <v>3315</v>
      </c>
      <c r="E136" s="232" t="s">
        <v>359</v>
      </c>
      <c r="F136" s="232" t="s">
        <v>142</v>
      </c>
      <c r="G136" s="232"/>
      <c r="H136" s="232" t="s">
        <v>362</v>
      </c>
      <c r="I136" s="232" t="s">
        <v>363</v>
      </c>
      <c r="J136" s="233" t="str">
        <f t="shared" si="4"/>
        <v>GoldKazakhmys Smelting LLC</v>
      </c>
      <c r="K136" s="233" t="str">
        <f t="shared" si="5"/>
        <v>GoldKazakhmys Smelting LLC</v>
      </c>
    </row>
    <row r="137" spans="1:11">
      <c r="A137" s="232" t="s">
        <v>133</v>
      </c>
      <c r="B137" s="232" t="s">
        <v>2615</v>
      </c>
      <c r="C137" s="232" t="s">
        <v>2615</v>
      </c>
      <c r="D137" s="232" t="s">
        <v>3315</v>
      </c>
      <c r="E137" s="232" t="s">
        <v>2614</v>
      </c>
      <c r="F137" s="232" t="s">
        <v>142</v>
      </c>
      <c r="G137" s="232"/>
      <c r="H137" s="232" t="s">
        <v>1092</v>
      </c>
      <c r="I137" s="232" t="s">
        <v>363</v>
      </c>
      <c r="J137" s="233" t="str">
        <f t="shared" si="4"/>
        <v>GoldKazzinc</v>
      </c>
      <c r="K137" s="233" t="str">
        <f t="shared" si="5"/>
        <v>GoldKazzinc</v>
      </c>
    </row>
    <row r="138" spans="1:11">
      <c r="A138" s="232" t="s">
        <v>133</v>
      </c>
      <c r="B138" s="232" t="s">
        <v>1356</v>
      </c>
      <c r="C138" s="232" t="s">
        <v>1356</v>
      </c>
      <c r="D138" s="232" t="s">
        <v>3251</v>
      </c>
      <c r="E138" s="232" t="s">
        <v>1355</v>
      </c>
      <c r="F138" s="232" t="s">
        <v>142</v>
      </c>
      <c r="G138" s="232"/>
      <c r="H138" s="232" t="s">
        <v>1358</v>
      </c>
      <c r="I138" s="232" t="s">
        <v>1359</v>
      </c>
      <c r="J138" s="233" t="str">
        <f t="shared" si="4"/>
        <v>GoldKennecott Utah Copper LLC</v>
      </c>
      <c r="K138" s="233" t="str">
        <f t="shared" si="5"/>
        <v>GoldKennecott Utah Copper LLC</v>
      </c>
    </row>
    <row r="139" spans="1:11">
      <c r="A139" s="232" t="s">
        <v>133</v>
      </c>
      <c r="B139" s="232" t="s">
        <v>1368</v>
      </c>
      <c r="C139" s="232" t="s">
        <v>3316</v>
      </c>
      <c r="D139" s="232" t="s">
        <v>3317</v>
      </c>
      <c r="E139" s="232" t="s">
        <v>1366</v>
      </c>
      <c r="F139" s="232" t="s">
        <v>142</v>
      </c>
      <c r="G139" s="232"/>
      <c r="H139" s="232" t="s">
        <v>1370</v>
      </c>
      <c r="I139" s="232" t="s">
        <v>1371</v>
      </c>
      <c r="J139" s="233" t="str">
        <f t="shared" si="4"/>
        <v>GoldKGHM Polska Miedz S.A.</v>
      </c>
      <c r="K139" s="233" t="str">
        <f t="shared" si="5"/>
        <v>GoldKGHM Polska Miedz S.A.</v>
      </c>
    </row>
    <row r="140" spans="1:11">
      <c r="A140" s="232" t="s">
        <v>133</v>
      </c>
      <c r="B140" s="232" t="s">
        <v>3316</v>
      </c>
      <c r="C140" s="232" t="s">
        <v>3316</v>
      </c>
      <c r="D140" s="232" t="s">
        <v>3317</v>
      </c>
      <c r="E140" s="232" t="s">
        <v>1366</v>
      </c>
      <c r="F140" s="232" t="s">
        <v>142</v>
      </c>
      <c r="G140" s="232"/>
      <c r="H140" s="232" t="s">
        <v>1370</v>
      </c>
      <c r="I140" s="232" t="s">
        <v>1371</v>
      </c>
      <c r="J140" s="233" t="str">
        <f t="shared" si="4"/>
        <v>GoldKGHM Polska Miedz Spolka Akcyjna</v>
      </c>
      <c r="K140" s="233" t="str">
        <f t="shared" si="5"/>
        <v>GoldKGHM Polska Miedz Spolka Akcyjna</v>
      </c>
    </row>
    <row r="141" spans="1:11">
      <c r="A141" s="232" t="s">
        <v>133</v>
      </c>
      <c r="B141" s="232" t="s">
        <v>1367</v>
      </c>
      <c r="C141" s="232" t="s">
        <v>3316</v>
      </c>
      <c r="D141" s="232" t="s">
        <v>3317</v>
      </c>
      <c r="E141" s="232" t="s">
        <v>1366</v>
      </c>
      <c r="F141" s="232" t="s">
        <v>142</v>
      </c>
      <c r="G141" s="232"/>
      <c r="H141" s="232" t="s">
        <v>1370</v>
      </c>
      <c r="I141" s="232" t="s">
        <v>1371</v>
      </c>
      <c r="J141" s="233" t="str">
        <f t="shared" si="4"/>
        <v>GoldKGHM Polska Miedź Spółka Akcyjna</v>
      </c>
      <c r="K141" s="233" t="str">
        <f t="shared" si="5"/>
        <v>GoldKGHM Polska Miedź Spółka Akcyjna</v>
      </c>
    </row>
    <row r="142" spans="1:11">
      <c r="A142" s="232" t="s">
        <v>133</v>
      </c>
      <c r="B142" s="232" t="s">
        <v>3102</v>
      </c>
      <c r="C142" s="232" t="s">
        <v>3102</v>
      </c>
      <c r="D142" s="232" t="s">
        <v>3257</v>
      </c>
      <c r="E142" s="232" t="s">
        <v>3101</v>
      </c>
      <c r="F142" s="232" t="s">
        <v>142</v>
      </c>
      <c r="G142" s="232"/>
      <c r="H142" s="232" t="s">
        <v>3104</v>
      </c>
      <c r="I142" s="232" t="s">
        <v>265</v>
      </c>
      <c r="J142" s="233" t="str">
        <f t="shared" si="4"/>
        <v>GoldKojima Chemicals Co., Ltd.</v>
      </c>
      <c r="K142" s="233" t="str">
        <f t="shared" si="5"/>
        <v>GoldKojima Chemicals Co., Ltd.</v>
      </c>
    </row>
    <row r="143" spans="1:11">
      <c r="A143" s="232" t="s">
        <v>133</v>
      </c>
      <c r="B143" s="232" t="s">
        <v>3318</v>
      </c>
      <c r="C143" s="232" t="s">
        <v>3102</v>
      </c>
      <c r="D143" s="232" t="s">
        <v>3257</v>
      </c>
      <c r="E143" s="232" t="s">
        <v>3101</v>
      </c>
      <c r="F143" s="232" t="s">
        <v>142</v>
      </c>
      <c r="G143" s="232"/>
      <c r="H143" s="232" t="s">
        <v>3104</v>
      </c>
      <c r="I143" s="232" t="s">
        <v>265</v>
      </c>
      <c r="J143" s="233" t="str">
        <f t="shared" si="4"/>
        <v>GoldKojima Kagaku Yakuhin Co., Ltd</v>
      </c>
      <c r="K143" s="233" t="str">
        <f t="shared" si="5"/>
        <v>GoldKojima Kagaku Yakuhin Co., Ltd</v>
      </c>
    </row>
    <row r="144" spans="1:11">
      <c r="A144" s="232" t="s">
        <v>133</v>
      </c>
      <c r="B144" s="232" t="s">
        <v>3319</v>
      </c>
      <c r="C144" s="232" t="s">
        <v>3316</v>
      </c>
      <c r="D144" s="232" t="s">
        <v>3317</v>
      </c>
      <c r="E144" s="232" t="s">
        <v>1366</v>
      </c>
      <c r="F144" s="232" t="s">
        <v>142</v>
      </c>
      <c r="G144" s="232"/>
      <c r="H144" s="232" t="s">
        <v>1370</v>
      </c>
      <c r="I144" s="232" t="s">
        <v>1371</v>
      </c>
      <c r="J144" s="233" t="str">
        <f t="shared" si="4"/>
        <v>GoldKombinat Gorniczo Hutniczy Miedz Polska Miedz S.A.</v>
      </c>
      <c r="K144" s="233" t="str">
        <f t="shared" si="5"/>
        <v>GoldKombinat Gorniczo Hutniczy Miedz Polska Miedz S.A.</v>
      </c>
    </row>
    <row r="145" spans="1:11">
      <c r="A145" s="232" t="s">
        <v>133</v>
      </c>
      <c r="B145" s="232" t="s">
        <v>3115</v>
      </c>
      <c r="C145" s="232" t="s">
        <v>3115</v>
      </c>
      <c r="D145" s="232" t="s">
        <v>3290</v>
      </c>
      <c r="E145" s="232" t="s">
        <v>3114</v>
      </c>
      <c r="F145" s="232" t="s">
        <v>142</v>
      </c>
      <c r="G145" s="232"/>
      <c r="H145" s="232" t="s">
        <v>3117</v>
      </c>
      <c r="I145" s="232" t="s">
        <v>3118</v>
      </c>
      <c r="J145" s="233" t="str">
        <f t="shared" si="4"/>
        <v>GoldKorea Zinc Co., Ltd.</v>
      </c>
      <c r="K145" s="233" t="str">
        <f t="shared" si="5"/>
        <v>GoldKorea Zinc Co., Ltd.</v>
      </c>
    </row>
    <row r="146" spans="1:11">
      <c r="A146" s="232" t="s">
        <v>133</v>
      </c>
      <c r="B146" s="232" t="s">
        <v>3125</v>
      </c>
      <c r="C146" s="232" t="s">
        <v>1346</v>
      </c>
      <c r="D146" s="232" t="s">
        <v>3257</v>
      </c>
      <c r="E146" s="232" t="s">
        <v>1344</v>
      </c>
      <c r="F146" s="232" t="s">
        <v>142</v>
      </c>
      <c r="G146" s="232"/>
      <c r="H146" s="232" t="s">
        <v>1348</v>
      </c>
      <c r="I146" s="232" t="s">
        <v>235</v>
      </c>
      <c r="J146" s="233" t="str">
        <f t="shared" si="4"/>
        <v>GoldKosak Seiren</v>
      </c>
      <c r="K146" s="233" t="str">
        <f t="shared" si="5"/>
        <v>GoldKosak Seiren</v>
      </c>
    </row>
    <row r="147" spans="1:11">
      <c r="A147" s="232" t="s">
        <v>133</v>
      </c>
      <c r="B147" s="232" t="s">
        <v>3320</v>
      </c>
      <c r="C147" s="232" t="s">
        <v>1356</v>
      </c>
      <c r="D147" s="232" t="s">
        <v>3251</v>
      </c>
      <c r="E147" s="232" t="s">
        <v>1355</v>
      </c>
      <c r="F147" s="232" t="s">
        <v>142</v>
      </c>
      <c r="G147" s="232"/>
      <c r="H147" s="232" t="s">
        <v>1358</v>
      </c>
      <c r="I147" s="232" t="s">
        <v>1359</v>
      </c>
      <c r="J147" s="233" t="str">
        <f t="shared" si="4"/>
        <v>GoldKUC</v>
      </c>
      <c r="K147" s="233" t="str">
        <f t="shared" si="5"/>
        <v>GoldKUC</v>
      </c>
    </row>
    <row r="148" spans="1:11">
      <c r="A148" s="232" t="s">
        <v>133</v>
      </c>
      <c r="B148" s="232" t="s">
        <v>2624</v>
      </c>
      <c r="C148" s="232" t="s">
        <v>2624</v>
      </c>
      <c r="D148" s="232" t="s">
        <v>3275</v>
      </c>
      <c r="E148" s="232" t="s">
        <v>2623</v>
      </c>
      <c r="F148" s="232" t="s">
        <v>142</v>
      </c>
      <c r="G148" s="232"/>
      <c r="H148" s="232" t="s">
        <v>2626</v>
      </c>
      <c r="I148" s="232" t="s">
        <v>580</v>
      </c>
      <c r="J148" s="233" t="str">
        <f t="shared" si="4"/>
        <v>GoldKundan Care Products Ltd.</v>
      </c>
      <c r="K148" s="233" t="str">
        <f t="shared" si="5"/>
        <v>GoldKundan Care Products Ltd.</v>
      </c>
    </row>
    <row r="149" spans="1:11">
      <c r="A149" s="232" t="s">
        <v>133</v>
      </c>
      <c r="B149" s="232" t="s">
        <v>2630</v>
      </c>
      <c r="C149" s="232" t="s">
        <v>2630</v>
      </c>
      <c r="D149" s="232" t="s">
        <v>3321</v>
      </c>
      <c r="E149" s="232" t="s">
        <v>3129</v>
      </c>
      <c r="F149" s="232" t="s">
        <v>142</v>
      </c>
      <c r="G149" s="232"/>
      <c r="H149" s="232" t="s">
        <v>2632</v>
      </c>
      <c r="I149" s="232" t="s">
        <v>3131</v>
      </c>
      <c r="J149" s="233" t="str">
        <f t="shared" si="4"/>
        <v>GoldKyrgyzaltyn JSC</v>
      </c>
      <c r="K149" s="233" t="str">
        <f t="shared" si="5"/>
        <v>GoldKyrgyzaltyn JSC</v>
      </c>
    </row>
    <row r="150" spans="1:11">
      <c r="A150" s="232" t="s">
        <v>133</v>
      </c>
      <c r="B150" s="232" t="s">
        <v>3139</v>
      </c>
      <c r="C150" s="232" t="s">
        <v>3139</v>
      </c>
      <c r="D150" s="232" t="s">
        <v>3296</v>
      </c>
      <c r="E150" s="232" t="s">
        <v>3138</v>
      </c>
      <c r="F150" s="232" t="s">
        <v>142</v>
      </c>
      <c r="G150" s="232"/>
      <c r="H150" s="232" t="s">
        <v>3141</v>
      </c>
      <c r="I150" s="232" t="s">
        <v>3142</v>
      </c>
      <c r="J150" s="233" t="str">
        <f t="shared" si="4"/>
        <v>GoldKyshtym Copper-Electrolytic Plant ZAO</v>
      </c>
      <c r="K150" s="233" t="str">
        <f t="shared" si="5"/>
        <v>GoldKyshtym Copper-Electrolytic Plant ZAO</v>
      </c>
    </row>
    <row r="151" spans="1:11">
      <c r="A151" s="232" t="s">
        <v>133</v>
      </c>
      <c r="B151" s="232" t="s">
        <v>3322</v>
      </c>
      <c r="C151" s="232" t="s">
        <v>310</v>
      </c>
      <c r="D151" s="232" t="s">
        <v>3281</v>
      </c>
      <c r="E151" s="232" t="s">
        <v>1812</v>
      </c>
      <c r="F151" s="232" t="s">
        <v>142</v>
      </c>
      <c r="G151" s="232"/>
      <c r="H151" s="232" t="s">
        <v>312</v>
      </c>
      <c r="I151" s="232" t="s">
        <v>313</v>
      </c>
      <c r="J151" s="233" t="str">
        <f t="shared" si="4"/>
        <v>GoldLa Caridad</v>
      </c>
      <c r="K151" s="233" t="str">
        <f t="shared" si="5"/>
        <v>GoldLa Caridad</v>
      </c>
    </row>
    <row r="152" spans="1:11">
      <c r="A152" s="232" t="s">
        <v>133</v>
      </c>
      <c r="B152" s="232" t="s">
        <v>3323</v>
      </c>
      <c r="C152" s="232" t="s">
        <v>2551</v>
      </c>
      <c r="D152" s="232" t="s">
        <v>2818</v>
      </c>
      <c r="E152" s="232" t="s">
        <v>812</v>
      </c>
      <c r="F152" s="232" t="s">
        <v>142</v>
      </c>
      <c r="G152" s="232"/>
      <c r="H152" s="232" t="s">
        <v>448</v>
      </c>
      <c r="I152" s="232" t="s">
        <v>419</v>
      </c>
      <c r="J152" s="233" t="str">
        <f t="shared" si="4"/>
        <v>GoldLAIZHOU SHANDONG</v>
      </c>
      <c r="K152" s="233" t="str">
        <f t="shared" si="5"/>
        <v>GoldLAIZHOU SHANDONG</v>
      </c>
    </row>
    <row r="153" spans="1:11">
      <c r="A153" s="232" t="s">
        <v>133</v>
      </c>
      <c r="B153" s="232" t="s">
        <v>2519</v>
      </c>
      <c r="C153" s="232" t="s">
        <v>2519</v>
      </c>
      <c r="D153" s="232" t="s">
        <v>3324</v>
      </c>
      <c r="E153" s="232" t="s">
        <v>2518</v>
      </c>
      <c r="F153" s="232" t="s">
        <v>142</v>
      </c>
      <c r="G153" s="232"/>
      <c r="H153" s="232" t="s">
        <v>2520</v>
      </c>
      <c r="I153" s="232" t="s">
        <v>2521</v>
      </c>
      <c r="J153" s="233" t="str">
        <f t="shared" si="4"/>
        <v>GoldL'azurde Company For Jewelry</v>
      </c>
      <c r="K153" s="233" t="str">
        <f t="shared" si="5"/>
        <v>GoldL'azurde Company For Jewelry</v>
      </c>
    </row>
    <row r="154" spans="1:11">
      <c r="A154" s="232" t="s">
        <v>133</v>
      </c>
      <c r="B154" s="232" t="s">
        <v>3325</v>
      </c>
      <c r="C154" s="232" t="s">
        <v>3148</v>
      </c>
      <c r="D154" s="232" t="s">
        <v>2818</v>
      </c>
      <c r="E154" s="232" t="s">
        <v>3146</v>
      </c>
      <c r="F154" s="232" t="s">
        <v>142</v>
      </c>
      <c r="G154" s="232"/>
      <c r="H154" s="232" t="s">
        <v>3150</v>
      </c>
      <c r="I154" s="232" t="s">
        <v>554</v>
      </c>
      <c r="J154" s="233" t="str">
        <f t="shared" si="4"/>
        <v>GoldLinBao Gold Mining</v>
      </c>
      <c r="K154" s="233" t="str">
        <f t="shared" si="5"/>
        <v>GoldLinBao Gold Mining</v>
      </c>
    </row>
    <row r="155" spans="1:11">
      <c r="A155" s="232" t="s">
        <v>133</v>
      </c>
      <c r="B155" s="232" t="s">
        <v>3148</v>
      </c>
      <c r="C155" s="232" t="s">
        <v>3148</v>
      </c>
      <c r="D155" s="232" t="s">
        <v>2818</v>
      </c>
      <c r="E155" s="232" t="s">
        <v>3146</v>
      </c>
      <c r="F155" s="232" t="s">
        <v>142</v>
      </c>
      <c r="G155" s="232"/>
      <c r="H155" s="232" t="s">
        <v>3150</v>
      </c>
      <c r="I155" s="232" t="s">
        <v>554</v>
      </c>
      <c r="J155" s="233" t="str">
        <f t="shared" si="4"/>
        <v>GoldLingbao Gold Co., Ltd.</v>
      </c>
      <c r="K155" s="233" t="str">
        <f t="shared" si="5"/>
        <v>GoldLingbao Gold Co., Ltd.</v>
      </c>
    </row>
    <row r="156" spans="1:11">
      <c r="A156" s="232" t="s">
        <v>133</v>
      </c>
      <c r="B156" s="232" t="s">
        <v>3155</v>
      </c>
      <c r="C156" s="232" t="s">
        <v>3155</v>
      </c>
      <c r="D156" s="232" t="s">
        <v>2818</v>
      </c>
      <c r="E156" s="232" t="s">
        <v>3154</v>
      </c>
      <c r="F156" s="232" t="s">
        <v>142</v>
      </c>
      <c r="G156" s="232"/>
      <c r="H156" s="232" t="s">
        <v>3150</v>
      </c>
      <c r="I156" s="232" t="s">
        <v>554</v>
      </c>
      <c r="J156" s="233" t="str">
        <f t="shared" si="4"/>
        <v>GoldLingbao Jinyuan Tonghui Refinery Co., Ltd.</v>
      </c>
      <c r="K156" s="233" t="str">
        <f t="shared" si="5"/>
        <v>GoldLingbao Jinyuan Tonghui Refinery Co., Ltd.</v>
      </c>
    </row>
    <row r="157" spans="1:11">
      <c r="A157" s="232" t="s">
        <v>133</v>
      </c>
      <c r="B157" s="232" t="s">
        <v>3157</v>
      </c>
      <c r="C157" s="232" t="s">
        <v>3157</v>
      </c>
      <c r="D157" s="232" t="s">
        <v>3326</v>
      </c>
      <c r="E157" s="232" t="s">
        <v>3156</v>
      </c>
      <c r="F157" s="232" t="s">
        <v>142</v>
      </c>
      <c r="G157" s="232"/>
      <c r="H157" s="232" t="s">
        <v>3160</v>
      </c>
      <c r="I157" s="232" t="s">
        <v>3160</v>
      </c>
      <c r="J157" s="233" t="str">
        <f t="shared" si="4"/>
        <v>GoldL'Orfebre S.A.</v>
      </c>
      <c r="K157" s="233" t="str">
        <f t="shared" si="5"/>
        <v>GoldL'Orfebre S.A.</v>
      </c>
    </row>
    <row r="158" spans="1:11">
      <c r="A158" s="232" t="s">
        <v>133</v>
      </c>
      <c r="B158" s="232" t="s">
        <v>3168</v>
      </c>
      <c r="C158" s="232" t="s">
        <v>3168</v>
      </c>
      <c r="D158" s="232" t="s">
        <v>3290</v>
      </c>
      <c r="E158" s="232" t="s">
        <v>3167</v>
      </c>
      <c r="F158" s="232" t="s">
        <v>142</v>
      </c>
      <c r="G158" s="232"/>
      <c r="H158" s="232" t="s">
        <v>3170</v>
      </c>
      <c r="I158" s="232" t="s">
        <v>3171</v>
      </c>
      <c r="J158" s="233" t="str">
        <f t="shared" si="4"/>
        <v>GoldLS-NIKKO Copper Inc.</v>
      </c>
      <c r="K158" s="233" t="str">
        <f t="shared" si="5"/>
        <v>GoldLS-NIKKO Copper Inc.</v>
      </c>
    </row>
    <row r="159" spans="1:11">
      <c r="A159" s="232" t="s">
        <v>133</v>
      </c>
      <c r="B159" s="232" t="s">
        <v>539</v>
      </c>
      <c r="C159" s="232" t="s">
        <v>539</v>
      </c>
      <c r="D159" s="232" t="s">
        <v>3290</v>
      </c>
      <c r="E159" s="232" t="s">
        <v>538</v>
      </c>
      <c r="F159" s="232" t="s">
        <v>142</v>
      </c>
      <c r="G159" s="232"/>
      <c r="H159" s="232" t="s">
        <v>541</v>
      </c>
      <c r="I159" s="232" t="s">
        <v>542</v>
      </c>
      <c r="J159" s="233" t="str">
        <f t="shared" si="4"/>
        <v>GoldLT Metal Ltd.</v>
      </c>
      <c r="K159" s="233" t="str">
        <f t="shared" si="5"/>
        <v>GoldLT Metal Ltd.</v>
      </c>
    </row>
    <row r="160" spans="1:11">
      <c r="A160" s="232" t="s">
        <v>133</v>
      </c>
      <c r="B160" s="232" t="s">
        <v>551</v>
      </c>
      <c r="C160" s="232" t="s">
        <v>551</v>
      </c>
      <c r="D160" s="232" t="s">
        <v>2818</v>
      </c>
      <c r="E160" s="232" t="s">
        <v>549</v>
      </c>
      <c r="F160" s="232" t="s">
        <v>142</v>
      </c>
      <c r="G160" s="232"/>
      <c r="H160" s="232" t="s">
        <v>553</v>
      </c>
      <c r="I160" s="232" t="s">
        <v>554</v>
      </c>
      <c r="J160" s="233" t="str">
        <f t="shared" si="4"/>
        <v>GoldLuoyang Zijin Yinhui Gold Refinery Co., Ltd.</v>
      </c>
      <c r="K160" s="233" t="str">
        <f t="shared" si="5"/>
        <v>GoldLuoyang Zijin Yinhui Gold Refinery Co., Ltd.</v>
      </c>
    </row>
    <row r="161" spans="1:11">
      <c r="A161" s="232" t="s">
        <v>133</v>
      </c>
      <c r="B161" s="232" t="s">
        <v>3327</v>
      </c>
      <c r="C161" s="232" t="s">
        <v>551</v>
      </c>
      <c r="D161" s="232" t="s">
        <v>2818</v>
      </c>
      <c r="E161" s="232" t="s">
        <v>549</v>
      </c>
      <c r="F161" s="232" t="s">
        <v>142</v>
      </c>
      <c r="G161" s="232"/>
      <c r="H161" s="232" t="s">
        <v>553</v>
      </c>
      <c r="I161" s="232" t="s">
        <v>554</v>
      </c>
      <c r="J161" s="233" t="str">
        <f t="shared" si="4"/>
        <v>GoldLuoyang Zijin Yinhui Gold Smelting</v>
      </c>
      <c r="K161" s="233" t="str">
        <f t="shared" si="5"/>
        <v>GoldLuoyang Zijin Yinhui Gold Smelting</v>
      </c>
    </row>
    <row r="162" spans="1:11">
      <c r="A162" s="232" t="s">
        <v>133</v>
      </c>
      <c r="B162" s="232" t="s">
        <v>550</v>
      </c>
      <c r="C162" s="232" t="s">
        <v>551</v>
      </c>
      <c r="D162" s="232" t="s">
        <v>2818</v>
      </c>
      <c r="E162" s="232" t="s">
        <v>549</v>
      </c>
      <c r="F162" s="232" t="s">
        <v>142</v>
      </c>
      <c r="G162" s="232"/>
      <c r="H162" s="232" t="s">
        <v>553</v>
      </c>
      <c r="I162" s="232" t="s">
        <v>554</v>
      </c>
      <c r="J162" s="233" t="str">
        <f t="shared" si="4"/>
        <v>GoldLuoyang Zijin Yinhui Metal Smelt Co Ltd</v>
      </c>
      <c r="K162" s="233" t="str">
        <f t="shared" si="5"/>
        <v>GoldLuoyang Zijin Yinhui Metal Smelt Co Ltd</v>
      </c>
    </row>
    <row r="163" spans="1:11">
      <c r="A163" s="232" t="s">
        <v>133</v>
      </c>
      <c r="B163" s="232" t="s">
        <v>591</v>
      </c>
      <c r="C163" s="232" t="s">
        <v>591</v>
      </c>
      <c r="D163" s="232" t="s">
        <v>3265</v>
      </c>
      <c r="E163" s="232" t="s">
        <v>590</v>
      </c>
      <c r="F163" s="232" t="s">
        <v>142</v>
      </c>
      <c r="G163" s="232"/>
      <c r="H163" s="232" t="s">
        <v>593</v>
      </c>
      <c r="I163" s="232" t="s">
        <v>594</v>
      </c>
      <c r="J163" s="233" t="str">
        <f t="shared" si="4"/>
        <v>GoldMarsam Metals</v>
      </c>
      <c r="K163" s="233" t="str">
        <f t="shared" si="5"/>
        <v>GoldMarsam Metals</v>
      </c>
    </row>
    <row r="164" spans="1:11">
      <c r="A164" s="232" t="s">
        <v>133</v>
      </c>
      <c r="B164" s="232" t="s">
        <v>603</v>
      </c>
      <c r="C164" s="232" t="s">
        <v>603</v>
      </c>
      <c r="D164" s="232" t="s">
        <v>3251</v>
      </c>
      <c r="E164" s="232" t="s">
        <v>602</v>
      </c>
      <c r="F164" s="232" t="s">
        <v>142</v>
      </c>
      <c r="G164" s="232"/>
      <c r="H164" s="232" t="s">
        <v>605</v>
      </c>
      <c r="I164" s="232" t="s">
        <v>606</v>
      </c>
      <c r="J164" s="233" t="str">
        <f t="shared" si="4"/>
        <v>GoldMaterion</v>
      </c>
      <c r="K164" s="233" t="str">
        <f t="shared" si="5"/>
        <v>GoldMaterion</v>
      </c>
    </row>
    <row r="165" spans="1:11">
      <c r="A165" s="232" t="s">
        <v>133</v>
      </c>
      <c r="B165" s="232" t="s">
        <v>568</v>
      </c>
      <c r="C165" s="232" t="s">
        <v>568</v>
      </c>
      <c r="D165" s="232" t="s">
        <v>3257</v>
      </c>
      <c r="E165" s="232" t="s">
        <v>567</v>
      </c>
      <c r="F165" s="232" t="s">
        <v>142</v>
      </c>
      <c r="G165" s="232"/>
      <c r="H165" s="232" t="s">
        <v>570</v>
      </c>
      <c r="I165" s="232" t="s">
        <v>265</v>
      </c>
      <c r="J165" s="233" t="str">
        <f t="shared" si="4"/>
        <v>GoldMatsuda Sangyo Co., Ltd.</v>
      </c>
      <c r="K165" s="233" t="str">
        <f t="shared" si="5"/>
        <v>GoldMatsuda Sangyo Co., Ltd.</v>
      </c>
    </row>
    <row r="166" spans="1:11">
      <c r="A166" s="232" t="s">
        <v>133</v>
      </c>
      <c r="B166" s="232" t="s">
        <v>578</v>
      </c>
      <c r="C166" s="232" t="s">
        <v>578</v>
      </c>
      <c r="D166" s="232" t="s">
        <v>3275</v>
      </c>
      <c r="E166" s="232" t="s">
        <v>577</v>
      </c>
      <c r="F166" s="232" t="s">
        <v>142</v>
      </c>
      <c r="G166" s="232"/>
      <c r="H166" s="232" t="s">
        <v>579</v>
      </c>
      <c r="I166" s="232" t="s">
        <v>580</v>
      </c>
      <c r="J166" s="233" t="str">
        <f t="shared" si="4"/>
        <v>GoldMD Overseas</v>
      </c>
      <c r="K166" s="233" t="str">
        <f t="shared" si="5"/>
        <v>GoldMD Overseas</v>
      </c>
    </row>
    <row r="167" spans="1:11">
      <c r="A167" s="232" t="s">
        <v>133</v>
      </c>
      <c r="B167" s="232" t="s">
        <v>3328</v>
      </c>
      <c r="C167" s="232" t="s">
        <v>885</v>
      </c>
      <c r="D167" s="232" t="s">
        <v>3257</v>
      </c>
      <c r="E167" s="232" t="s">
        <v>883</v>
      </c>
      <c r="F167" s="232" t="s">
        <v>142</v>
      </c>
      <c r="G167" s="232"/>
      <c r="H167" s="232" t="s">
        <v>887</v>
      </c>
      <c r="I167" s="232" t="s">
        <v>888</v>
      </c>
      <c r="J167" s="233" t="str">
        <f t="shared" si="4"/>
        <v>GoldMEM(Sumitomo Group)</v>
      </c>
      <c r="K167" s="233" t="str">
        <f t="shared" si="5"/>
        <v>GoldMEM(Sumitomo Group)</v>
      </c>
    </row>
    <row r="168" spans="1:11">
      <c r="A168" s="232" t="s">
        <v>133</v>
      </c>
      <c r="B168" s="232" t="s">
        <v>3179</v>
      </c>
      <c r="C168" s="232" t="s">
        <v>3179</v>
      </c>
      <c r="D168" s="232" t="s">
        <v>3274</v>
      </c>
      <c r="E168" s="232" t="s">
        <v>3178</v>
      </c>
      <c r="F168" s="232" t="s">
        <v>142</v>
      </c>
      <c r="G168" s="232"/>
      <c r="H168" s="232" t="s">
        <v>3329</v>
      </c>
      <c r="I168" s="232" t="s">
        <v>646</v>
      </c>
      <c r="J168" s="233" t="str">
        <f t="shared" si="4"/>
        <v>GoldMetal Concentrators SA (Pty) Ltd.</v>
      </c>
      <c r="K168" s="233" t="str">
        <f t="shared" si="5"/>
        <v>GoldMetal Concentrators SA (Pty) Ltd.</v>
      </c>
    </row>
    <row r="169" spans="1:11">
      <c r="A169" s="232" t="s">
        <v>133</v>
      </c>
      <c r="B169" s="232" t="s">
        <v>3330</v>
      </c>
      <c r="C169" s="232" t="s">
        <v>2547</v>
      </c>
      <c r="D169" s="232" t="s">
        <v>3281</v>
      </c>
      <c r="E169" s="232" t="s">
        <v>2545</v>
      </c>
      <c r="F169" s="232" t="s">
        <v>142</v>
      </c>
      <c r="G169" s="232"/>
      <c r="H169" s="232" t="s">
        <v>2548</v>
      </c>
      <c r="I169" s="232" t="s">
        <v>2549</v>
      </c>
      <c r="J169" s="233" t="str">
        <f t="shared" si="4"/>
        <v>GoldMetal?rgica Met-Mex Pe?oles, S.A. de C.V</v>
      </c>
      <c r="K169" s="233" t="str">
        <f t="shared" si="5"/>
        <v>GoldMetal?rgica Met-Mex Pe?oles, S.A. de C.V</v>
      </c>
    </row>
    <row r="170" spans="1:11">
      <c r="A170" s="232" t="s">
        <v>133</v>
      </c>
      <c r="B170" s="232" t="s">
        <v>3181</v>
      </c>
      <c r="C170" s="232" t="s">
        <v>3181</v>
      </c>
      <c r="D170" s="232" t="s">
        <v>3251</v>
      </c>
      <c r="E170" s="232" t="s">
        <v>3180</v>
      </c>
      <c r="F170" s="232" t="s">
        <v>142</v>
      </c>
      <c r="G170" s="232"/>
      <c r="H170" s="232" t="s">
        <v>3182</v>
      </c>
      <c r="I170" s="232" t="s">
        <v>2713</v>
      </c>
      <c r="J170" s="233" t="str">
        <f t="shared" si="4"/>
        <v>GoldMetallix Refining Inc.</v>
      </c>
      <c r="K170" s="233" t="str">
        <f t="shared" si="5"/>
        <v>GoldMetallix Refining Inc.</v>
      </c>
    </row>
    <row r="171" spans="1:11">
      <c r="A171" s="232" t="s">
        <v>133</v>
      </c>
      <c r="B171" s="232" t="s">
        <v>3331</v>
      </c>
      <c r="C171" s="232" t="s">
        <v>1791</v>
      </c>
      <c r="D171" s="232" t="s">
        <v>3312</v>
      </c>
      <c r="E171" s="232" t="s">
        <v>1790</v>
      </c>
      <c r="F171" s="232" t="s">
        <v>142</v>
      </c>
      <c r="G171" s="232"/>
      <c r="H171" s="232" t="s">
        <v>932</v>
      </c>
      <c r="I171" s="232" t="s">
        <v>1793</v>
      </c>
      <c r="J171" s="233" t="str">
        <f t="shared" si="4"/>
        <v>GoldMetallurgie Hoboken Overpelt</v>
      </c>
      <c r="K171" s="233" t="str">
        <f t="shared" si="5"/>
        <v>GoldMetallurgie Hoboken Overpelt</v>
      </c>
    </row>
    <row r="172" spans="1:11">
      <c r="A172" s="232" t="s">
        <v>133</v>
      </c>
      <c r="B172" s="232" t="s">
        <v>3183</v>
      </c>
      <c r="C172" s="232" t="s">
        <v>3197</v>
      </c>
      <c r="D172" s="232" t="s">
        <v>3270</v>
      </c>
      <c r="E172" s="232" t="s">
        <v>3196</v>
      </c>
      <c r="F172" s="232" t="s">
        <v>142</v>
      </c>
      <c r="G172" s="232"/>
      <c r="H172" s="232" t="s">
        <v>3184</v>
      </c>
      <c r="I172" s="232" t="s">
        <v>635</v>
      </c>
      <c r="J172" s="233" t="str">
        <f t="shared" si="4"/>
        <v>GoldMetalor Switzerland</v>
      </c>
      <c r="K172" s="233" t="str">
        <f t="shared" si="5"/>
        <v>GoldMetalor Switzerland</v>
      </c>
    </row>
    <row r="173" spans="1:11">
      <c r="A173" s="232" t="s">
        <v>133</v>
      </c>
      <c r="B173" s="232" t="s">
        <v>587</v>
      </c>
      <c r="C173" s="232" t="s">
        <v>587</v>
      </c>
      <c r="D173" s="232" t="s">
        <v>2818</v>
      </c>
      <c r="E173" s="232" t="s">
        <v>586</v>
      </c>
      <c r="F173" s="232" t="s">
        <v>142</v>
      </c>
      <c r="G173" s="232"/>
      <c r="H173" s="232" t="s">
        <v>588</v>
      </c>
      <c r="I173" s="232" t="s">
        <v>589</v>
      </c>
      <c r="J173" s="233" t="str">
        <f t="shared" si="4"/>
        <v>GoldMetalor Technologies (Hong Kong) Ltd.</v>
      </c>
      <c r="K173" s="233" t="str">
        <f t="shared" si="5"/>
        <v>GoldMetalor Technologies (Hong Kong) Ltd.</v>
      </c>
    </row>
    <row r="174" spans="1:11">
      <c r="A174" s="232" t="s">
        <v>133</v>
      </c>
      <c r="B174" s="232" t="s">
        <v>2992</v>
      </c>
      <c r="C174" s="232" t="s">
        <v>2992</v>
      </c>
      <c r="D174" s="232" t="s">
        <v>3332</v>
      </c>
      <c r="E174" s="232" t="s">
        <v>2991</v>
      </c>
      <c r="F174" s="232" t="s">
        <v>142</v>
      </c>
      <c r="G174" s="232"/>
      <c r="H174" s="232" t="s">
        <v>2827</v>
      </c>
      <c r="I174" s="232" t="s">
        <v>2993</v>
      </c>
      <c r="J174" s="233" t="str">
        <f t="shared" si="4"/>
        <v>GoldMetalor Technologies (Singapore) Pte., Ltd.</v>
      </c>
      <c r="K174" s="233" t="str">
        <f t="shared" si="5"/>
        <v>GoldMetalor Technologies (Singapore) Pte., Ltd.</v>
      </c>
    </row>
    <row r="175" spans="1:11">
      <c r="A175" s="232" t="s">
        <v>133</v>
      </c>
      <c r="B175" s="232" t="s">
        <v>1964</v>
      </c>
      <c r="C175" s="232" t="s">
        <v>1964</v>
      </c>
      <c r="D175" s="232" t="s">
        <v>2818</v>
      </c>
      <c r="E175" s="232" t="s">
        <v>1963</v>
      </c>
      <c r="F175" s="232" t="s">
        <v>142</v>
      </c>
      <c r="G175" s="232"/>
      <c r="H175" s="232" t="s">
        <v>1966</v>
      </c>
      <c r="I175" s="232" t="s">
        <v>194</v>
      </c>
      <c r="J175" s="233" t="str">
        <f t="shared" si="4"/>
        <v>GoldMetalor Technologies (Suzhou) Ltd.</v>
      </c>
      <c r="K175" s="233" t="str">
        <f t="shared" si="5"/>
        <v>GoldMetalor Technologies (Suzhou) Ltd.</v>
      </c>
    </row>
    <row r="176" spans="1:11">
      <c r="A176" s="232" t="s">
        <v>133</v>
      </c>
      <c r="B176" s="232" t="s">
        <v>3197</v>
      </c>
      <c r="C176" s="232" t="s">
        <v>3197</v>
      </c>
      <c r="D176" s="232" t="s">
        <v>3270</v>
      </c>
      <c r="E176" s="232" t="s">
        <v>3196</v>
      </c>
      <c r="F176" s="232" t="s">
        <v>142</v>
      </c>
      <c r="G176" s="232"/>
      <c r="H176" s="232" t="s">
        <v>3184</v>
      </c>
      <c r="I176" s="232" t="s">
        <v>635</v>
      </c>
      <c r="J176" s="233" t="str">
        <f t="shared" si="4"/>
        <v>GoldMetalor Technologies S.A.</v>
      </c>
      <c r="K176" s="233" t="str">
        <f t="shared" si="5"/>
        <v>GoldMetalor Technologies S.A.</v>
      </c>
    </row>
    <row r="177" spans="1:11">
      <c r="A177" s="232" t="s">
        <v>133</v>
      </c>
      <c r="B177" s="232" t="s">
        <v>2995</v>
      </c>
      <c r="C177" s="232" t="s">
        <v>2995</v>
      </c>
      <c r="D177" s="232" t="s">
        <v>3251</v>
      </c>
      <c r="E177" s="232" t="s">
        <v>2994</v>
      </c>
      <c r="F177" s="232" t="s">
        <v>142</v>
      </c>
      <c r="G177" s="232"/>
      <c r="H177" s="232" t="s">
        <v>2997</v>
      </c>
      <c r="I177" s="232" t="s">
        <v>1204</v>
      </c>
      <c r="J177" s="233" t="str">
        <f t="shared" si="4"/>
        <v>GoldMetalor USA Refining Corporation</v>
      </c>
      <c r="K177" s="233" t="str">
        <f t="shared" si="5"/>
        <v>GoldMetalor USA Refining Corporation</v>
      </c>
    </row>
    <row r="178" spans="1:11">
      <c r="A178" s="232" t="s">
        <v>133</v>
      </c>
      <c r="B178" s="232" t="s">
        <v>2547</v>
      </c>
      <c r="C178" s="232" t="s">
        <v>2547</v>
      </c>
      <c r="D178" s="232" t="s">
        <v>3281</v>
      </c>
      <c r="E178" s="232" t="s">
        <v>2545</v>
      </c>
      <c r="F178" s="232" t="s">
        <v>142</v>
      </c>
      <c r="G178" s="232"/>
      <c r="H178" s="232" t="s">
        <v>2548</v>
      </c>
      <c r="I178" s="232" t="s">
        <v>2549</v>
      </c>
      <c r="J178" s="233" t="str">
        <f t="shared" si="4"/>
        <v>GoldMetalurgica Met-Mex Penoles S.A. De C.V.</v>
      </c>
      <c r="K178" s="233" t="str">
        <f t="shared" si="5"/>
        <v>GoldMetalurgica Met-Mex Penoles S.A. De C.V.</v>
      </c>
    </row>
    <row r="179" spans="1:11">
      <c r="A179" s="232" t="s">
        <v>133</v>
      </c>
      <c r="B179" s="232" t="s">
        <v>3333</v>
      </c>
      <c r="C179" s="232" t="s">
        <v>2547</v>
      </c>
      <c r="D179" s="232" t="s">
        <v>3281</v>
      </c>
      <c r="E179" s="232" t="s">
        <v>2545</v>
      </c>
      <c r="F179" s="232" t="s">
        <v>142</v>
      </c>
      <c r="G179" s="232"/>
      <c r="H179" s="232" t="s">
        <v>2548</v>
      </c>
      <c r="I179" s="232" t="s">
        <v>2549</v>
      </c>
      <c r="J179" s="233" t="str">
        <f t="shared" si="4"/>
        <v>GoldMetalúrgica Met-Mex Peñoles S.A. De C.V.</v>
      </c>
      <c r="K179" s="233" t="str">
        <f t="shared" si="5"/>
        <v>GoldMetalúrgica Met-Mex Peñoles S.A. De C.V.</v>
      </c>
    </row>
    <row r="180" spans="1:11">
      <c r="A180" s="232" t="s">
        <v>133</v>
      </c>
      <c r="B180" s="232" t="s">
        <v>3334</v>
      </c>
      <c r="C180" s="232" t="s">
        <v>2547</v>
      </c>
      <c r="D180" s="232" t="s">
        <v>3281</v>
      </c>
      <c r="E180" s="232" t="s">
        <v>2545</v>
      </c>
      <c r="F180" s="232" t="s">
        <v>142</v>
      </c>
      <c r="G180" s="232"/>
      <c r="H180" s="232" t="s">
        <v>2548</v>
      </c>
      <c r="I180" s="232" t="s">
        <v>2549</v>
      </c>
      <c r="J180" s="233" t="str">
        <f t="shared" si="4"/>
        <v>GoldMet-Mex Pe?oles, S.A.</v>
      </c>
      <c r="K180" s="233" t="str">
        <f t="shared" si="5"/>
        <v>GoldMet-Mex Pe?oles, S.A.</v>
      </c>
    </row>
    <row r="181" spans="1:11">
      <c r="A181" s="232" t="s">
        <v>133</v>
      </c>
      <c r="B181" s="232" t="s">
        <v>2546</v>
      </c>
      <c r="C181" s="232" t="s">
        <v>2547</v>
      </c>
      <c r="D181" s="232" t="s">
        <v>3281</v>
      </c>
      <c r="E181" s="232" t="s">
        <v>2545</v>
      </c>
      <c r="F181" s="232" t="s">
        <v>142</v>
      </c>
      <c r="G181" s="232"/>
      <c r="H181" s="232" t="s">
        <v>2548</v>
      </c>
      <c r="I181" s="232" t="s">
        <v>2549</v>
      </c>
      <c r="J181" s="233" t="str">
        <f t="shared" si="4"/>
        <v>GoldMet-Mex Penoles, S.A.</v>
      </c>
      <c r="K181" s="233" t="str">
        <f t="shared" si="5"/>
        <v>GoldMet-Mex Penoles, S.A.</v>
      </c>
    </row>
    <row r="182" spans="1:11">
      <c r="A182" s="232" t="s">
        <v>133</v>
      </c>
      <c r="B182" s="232" t="s">
        <v>1426</v>
      </c>
      <c r="C182" s="232" t="s">
        <v>1426</v>
      </c>
      <c r="D182" s="232" t="s">
        <v>3257</v>
      </c>
      <c r="E182" s="232" t="s">
        <v>3198</v>
      </c>
      <c r="F182" s="232" t="s">
        <v>142</v>
      </c>
      <c r="G182" s="232"/>
      <c r="H182" s="232" t="s">
        <v>277</v>
      </c>
      <c r="I182" s="232" t="s">
        <v>277</v>
      </c>
      <c r="J182" s="233" t="str">
        <f t="shared" si="4"/>
        <v>GoldMitsubishi Materials Corporation</v>
      </c>
      <c r="K182" s="233" t="str">
        <f t="shared" si="5"/>
        <v>GoldMitsubishi Materials Corporation</v>
      </c>
    </row>
    <row r="183" spans="1:11">
      <c r="A183" s="232" t="s">
        <v>133</v>
      </c>
      <c r="B183" s="232" t="s">
        <v>3335</v>
      </c>
      <c r="C183" s="232" t="s">
        <v>1589</v>
      </c>
      <c r="D183" s="232" t="s">
        <v>3257</v>
      </c>
      <c r="E183" s="232" t="s">
        <v>3004</v>
      </c>
      <c r="F183" s="232" t="s">
        <v>142</v>
      </c>
      <c r="G183" s="232"/>
      <c r="H183" s="232" t="s">
        <v>3006</v>
      </c>
      <c r="I183" s="232" t="s">
        <v>3007</v>
      </c>
      <c r="J183" s="233" t="str">
        <f t="shared" si="4"/>
        <v>GoldMitsui Kinzoku Co., Ltd.</v>
      </c>
      <c r="K183" s="233" t="str">
        <f t="shared" si="5"/>
        <v>GoldMitsui Kinzoku Co., Ltd.</v>
      </c>
    </row>
    <row r="184" spans="1:11">
      <c r="A184" s="232" t="s">
        <v>133</v>
      </c>
      <c r="B184" s="232" t="s">
        <v>1589</v>
      </c>
      <c r="C184" s="232" t="s">
        <v>1589</v>
      </c>
      <c r="D184" s="232" t="s">
        <v>3257</v>
      </c>
      <c r="E184" s="232" t="s">
        <v>3004</v>
      </c>
      <c r="F184" s="232" t="s">
        <v>142</v>
      </c>
      <c r="G184" s="232"/>
      <c r="H184" s="232" t="s">
        <v>3006</v>
      </c>
      <c r="I184" s="232" t="s">
        <v>3007</v>
      </c>
      <c r="J184" s="233" t="str">
        <f t="shared" si="4"/>
        <v>GoldMitsui Mining and Smelting Co., Ltd.</v>
      </c>
      <c r="K184" s="233" t="str">
        <f t="shared" si="5"/>
        <v>GoldMitsui Mining and Smelting Co., Ltd.</v>
      </c>
    </row>
    <row r="185" spans="1:11">
      <c r="A185" s="232" t="s">
        <v>133</v>
      </c>
      <c r="B185" s="232" t="s">
        <v>3186</v>
      </c>
      <c r="C185" s="232" t="s">
        <v>3186</v>
      </c>
      <c r="D185" s="232" t="s">
        <v>3275</v>
      </c>
      <c r="E185" s="232" t="s">
        <v>3185</v>
      </c>
      <c r="F185" s="232" t="s">
        <v>142</v>
      </c>
      <c r="G185" s="232"/>
      <c r="H185" s="232" t="s">
        <v>3188</v>
      </c>
      <c r="I185" s="232" t="s">
        <v>3189</v>
      </c>
      <c r="J185" s="233" t="str">
        <f t="shared" si="4"/>
        <v>GoldMMTC-PAMP India Pvt., Ltd.</v>
      </c>
      <c r="K185" s="233" t="str">
        <f t="shared" si="5"/>
        <v>GoldMMTC-PAMP India Pvt., Ltd.</v>
      </c>
    </row>
    <row r="186" spans="1:11">
      <c r="A186" s="232" t="s">
        <v>133</v>
      </c>
      <c r="B186" s="232" t="s">
        <v>1974</v>
      </c>
      <c r="C186" s="232" t="s">
        <v>1974</v>
      </c>
      <c r="D186" s="232" t="s">
        <v>3336</v>
      </c>
      <c r="E186" s="232" t="s">
        <v>1973</v>
      </c>
      <c r="F186" s="232" t="s">
        <v>142</v>
      </c>
      <c r="G186" s="232"/>
      <c r="H186" s="232" t="s">
        <v>1976</v>
      </c>
      <c r="I186" s="232" t="s">
        <v>1977</v>
      </c>
      <c r="J186" s="233" t="str">
        <f t="shared" si="4"/>
        <v>GoldModeltech Sdn Bhd</v>
      </c>
      <c r="K186" s="233" t="str">
        <f t="shared" si="5"/>
        <v>GoldModeltech Sdn Bhd</v>
      </c>
    </row>
    <row r="187" spans="1:11">
      <c r="A187" s="232" t="s">
        <v>133</v>
      </c>
      <c r="B187" s="232" t="s">
        <v>2195</v>
      </c>
      <c r="C187" s="232" t="s">
        <v>2195</v>
      </c>
      <c r="D187" s="232" t="s">
        <v>3337</v>
      </c>
      <c r="E187" s="232" t="s">
        <v>2194</v>
      </c>
      <c r="F187" s="232" t="s">
        <v>142</v>
      </c>
      <c r="G187" s="232"/>
      <c r="H187" s="232" t="s">
        <v>2197</v>
      </c>
      <c r="I187" s="232" t="s">
        <v>2198</v>
      </c>
      <c r="J187" s="233" t="str">
        <f t="shared" si="4"/>
        <v>GoldMorris and Watson</v>
      </c>
      <c r="K187" s="233" t="str">
        <f t="shared" si="5"/>
        <v>GoldMorris and Watson</v>
      </c>
    </row>
    <row r="188" spans="1:11">
      <c r="A188" s="232" t="s">
        <v>133</v>
      </c>
      <c r="B188" s="232" t="s">
        <v>2203</v>
      </c>
      <c r="C188" s="232" t="s">
        <v>2203</v>
      </c>
      <c r="D188" s="232" t="s">
        <v>3296</v>
      </c>
      <c r="E188" s="232" t="s">
        <v>2205</v>
      </c>
      <c r="F188" s="232" t="s">
        <v>142</v>
      </c>
      <c r="G188" s="232"/>
      <c r="H188" s="232" t="s">
        <v>2204</v>
      </c>
      <c r="I188" s="232" t="s">
        <v>953</v>
      </c>
      <c r="J188" s="233" t="str">
        <f t="shared" si="4"/>
        <v>GoldMoscow Special Alloys Processing Plant</v>
      </c>
      <c r="K188" s="233" t="str">
        <f t="shared" si="5"/>
        <v>GoldMoscow Special Alloys Processing Plant</v>
      </c>
    </row>
    <row r="189" spans="1:11">
      <c r="A189" s="232" t="s">
        <v>133</v>
      </c>
      <c r="B189" s="232" t="s">
        <v>735</v>
      </c>
      <c r="C189" s="232" t="s">
        <v>735</v>
      </c>
      <c r="D189" s="232" t="s">
        <v>3273</v>
      </c>
      <c r="E189" s="232" t="s">
        <v>733</v>
      </c>
      <c r="F189" s="232" t="s">
        <v>142</v>
      </c>
      <c r="G189" s="232"/>
      <c r="H189" s="232" t="s">
        <v>737</v>
      </c>
      <c r="I189" s="232" t="s">
        <v>172</v>
      </c>
      <c r="J189" s="233" t="str">
        <f t="shared" si="4"/>
        <v>GoldNadir Metal Rafineri San. Ve Tic. A.S.</v>
      </c>
      <c r="K189" s="233" t="str">
        <f t="shared" si="5"/>
        <v>GoldNadir Metal Rafineri San. Ve Tic. A.S.</v>
      </c>
    </row>
    <row r="190" spans="1:11">
      <c r="A190" s="232" t="s">
        <v>133</v>
      </c>
      <c r="B190" s="232" t="s">
        <v>734</v>
      </c>
      <c r="C190" s="232" t="s">
        <v>735</v>
      </c>
      <c r="D190" s="232" t="s">
        <v>3273</v>
      </c>
      <c r="E190" s="232" t="s">
        <v>733</v>
      </c>
      <c r="F190" s="232" t="s">
        <v>142</v>
      </c>
      <c r="G190" s="232"/>
      <c r="H190" s="232" t="s">
        <v>737</v>
      </c>
      <c r="I190" s="232" t="s">
        <v>172</v>
      </c>
      <c r="J190" s="233" t="str">
        <f t="shared" si="4"/>
        <v>GoldNadir Metal Rafineri San. Ve Tic. A.Ş.</v>
      </c>
      <c r="K190" s="233" t="str">
        <f t="shared" si="5"/>
        <v>GoldNadir Metal Rafineri San. Ve Tic. A.Ş.</v>
      </c>
    </row>
    <row r="191" spans="1:11">
      <c r="A191" s="232" t="s">
        <v>133</v>
      </c>
      <c r="B191" s="232" t="s">
        <v>648</v>
      </c>
      <c r="C191" s="232" t="s">
        <v>648</v>
      </c>
      <c r="D191" s="232" t="s">
        <v>3262</v>
      </c>
      <c r="E191" s="232" t="s">
        <v>647</v>
      </c>
      <c r="F191" s="232" t="s">
        <v>142</v>
      </c>
      <c r="G191" s="232"/>
      <c r="H191" s="232" t="s">
        <v>651</v>
      </c>
      <c r="I191" s="232" t="s">
        <v>652</v>
      </c>
      <c r="J191" s="233" t="str">
        <f t="shared" si="4"/>
        <v>GoldNavoi Mining and Metallurgical Combinat</v>
      </c>
      <c r="K191" s="233" t="str">
        <f t="shared" si="5"/>
        <v>GoldNavoi Mining and Metallurgical Combinat</v>
      </c>
    </row>
    <row r="192" spans="1:11">
      <c r="A192" s="232" t="s">
        <v>133</v>
      </c>
      <c r="B192" s="232" t="s">
        <v>660</v>
      </c>
      <c r="C192" s="232" t="s">
        <v>660</v>
      </c>
      <c r="D192" s="232" t="s">
        <v>3290</v>
      </c>
      <c r="E192" s="232" t="s">
        <v>659</v>
      </c>
      <c r="F192" s="232" t="s">
        <v>142</v>
      </c>
      <c r="G192" s="232"/>
      <c r="H192" s="232" t="s">
        <v>662</v>
      </c>
      <c r="I192" s="232" t="s">
        <v>258</v>
      </c>
      <c r="J192" s="233" t="str">
        <f t="shared" si="4"/>
        <v>GoldNH Recytech Company</v>
      </c>
      <c r="K192" s="233" t="str">
        <f t="shared" si="5"/>
        <v>GoldNH Recytech Company</v>
      </c>
    </row>
    <row r="193" spans="1:11">
      <c r="A193" s="232" t="s">
        <v>133</v>
      </c>
      <c r="B193" s="232" t="s">
        <v>671</v>
      </c>
      <c r="C193" s="232" t="s">
        <v>671</v>
      </c>
      <c r="D193" s="232" t="s">
        <v>3257</v>
      </c>
      <c r="E193" s="232" t="s">
        <v>670</v>
      </c>
      <c r="F193" s="232" t="s">
        <v>142</v>
      </c>
      <c r="G193" s="232"/>
      <c r="H193" s="232" t="s">
        <v>673</v>
      </c>
      <c r="I193" s="232" t="s">
        <v>674</v>
      </c>
      <c r="J193" s="233" t="str">
        <f t="shared" si="4"/>
        <v>GoldNihon Material Co., Ltd.</v>
      </c>
      <c r="K193" s="233" t="str">
        <f t="shared" si="5"/>
        <v>GoldNihon Material Co., Ltd.</v>
      </c>
    </row>
    <row r="194" spans="1:11">
      <c r="A194" s="232" t="s">
        <v>133</v>
      </c>
      <c r="B194" s="232" t="s">
        <v>682</v>
      </c>
      <c r="C194" s="232" t="s">
        <v>671</v>
      </c>
      <c r="D194" s="232" t="s">
        <v>3257</v>
      </c>
      <c r="E194" s="232" t="s">
        <v>670</v>
      </c>
      <c r="F194" s="232" t="s">
        <v>142</v>
      </c>
      <c r="G194" s="232"/>
      <c r="H194" s="232" t="s">
        <v>673</v>
      </c>
      <c r="I194" s="232" t="s">
        <v>674</v>
      </c>
      <c r="J194" s="233" t="str">
        <f t="shared" si="4"/>
        <v>GoldNohon Material Corporation</v>
      </c>
      <c r="K194" s="233" t="str">
        <f t="shared" si="5"/>
        <v>GoldNohon Material Corporation</v>
      </c>
    </row>
    <row r="195" spans="1:11">
      <c r="A195" s="232" t="s">
        <v>133</v>
      </c>
      <c r="B195" s="232" t="s">
        <v>488</v>
      </c>
      <c r="C195" s="232" t="s">
        <v>489</v>
      </c>
      <c r="D195" s="232" t="s">
        <v>3254</v>
      </c>
      <c r="E195" s="232" t="s">
        <v>487</v>
      </c>
      <c r="F195" s="232" t="s">
        <v>142</v>
      </c>
      <c r="G195" s="232"/>
      <c r="H195" s="232" t="s">
        <v>491</v>
      </c>
      <c r="I195" s="232" t="s">
        <v>491</v>
      </c>
      <c r="J195" s="233" t="str">
        <f t="shared" si="4"/>
        <v>GoldNorddeutsche Affinererie AG</v>
      </c>
      <c r="K195" s="233" t="str">
        <f t="shared" si="5"/>
        <v>GoldNorddeutsche Affinererie AG</v>
      </c>
    </row>
    <row r="196" spans="1:11">
      <c r="A196" s="232" t="s">
        <v>133</v>
      </c>
      <c r="B196" s="232" t="s">
        <v>2635</v>
      </c>
      <c r="C196" s="232" t="s">
        <v>2635</v>
      </c>
      <c r="D196" s="232" t="s">
        <v>3338</v>
      </c>
      <c r="E196" s="232" t="s">
        <v>2633</v>
      </c>
      <c r="F196" s="232" t="s">
        <v>142</v>
      </c>
      <c r="G196" s="232"/>
      <c r="H196" s="232" t="s">
        <v>2637</v>
      </c>
      <c r="I196" s="232" t="s">
        <v>2638</v>
      </c>
      <c r="J196" s="233" t="str">
        <f t="shared" si="4"/>
        <v>GoldOgussa Osterreichische Gold- und Silber-Scheideanstalt GmbH</v>
      </c>
      <c r="K196" s="233" t="str">
        <f t="shared" si="5"/>
        <v>GoldOgussa Osterreichische Gold- und Silber-Scheideanstalt GmbH</v>
      </c>
    </row>
    <row r="197" spans="1:11">
      <c r="A197" s="232" t="s">
        <v>133</v>
      </c>
      <c r="B197" s="232" t="s">
        <v>2634</v>
      </c>
      <c r="C197" s="232" t="s">
        <v>2635</v>
      </c>
      <c r="D197" s="232" t="s">
        <v>3338</v>
      </c>
      <c r="E197" s="232" t="s">
        <v>2633</v>
      </c>
      <c r="F197" s="232" t="s">
        <v>142</v>
      </c>
      <c r="G197" s="232"/>
      <c r="H197" s="232" t="s">
        <v>2637</v>
      </c>
      <c r="I197" s="232" t="s">
        <v>2638</v>
      </c>
      <c r="J197" s="233" t="str">
        <f t="shared" ref="J197:J260" si="6">A197&amp;B197</f>
        <v>GoldÖgussa Österreichische Gold- und Silber-Scheideanstalt GmbH</v>
      </c>
      <c r="K197" s="233" t="str">
        <f t="shared" ref="K197:K260" si="7">A197&amp;B197</f>
        <v>GoldÖgussa Österreichische Gold- und Silber-Scheideanstalt GmbH</v>
      </c>
    </row>
    <row r="198" spans="1:11">
      <c r="A198" s="232" t="s">
        <v>133</v>
      </c>
      <c r="B198" s="232" t="s">
        <v>745</v>
      </c>
      <c r="C198" s="232" t="s">
        <v>745</v>
      </c>
      <c r="D198" s="232" t="s">
        <v>3257</v>
      </c>
      <c r="E198" s="232" t="s">
        <v>744</v>
      </c>
      <c r="F198" s="232" t="s">
        <v>142</v>
      </c>
      <c r="G198" s="232"/>
      <c r="H198" s="232" t="s">
        <v>746</v>
      </c>
      <c r="I198" s="232" t="s">
        <v>747</v>
      </c>
      <c r="J198" s="233" t="str">
        <f t="shared" si="6"/>
        <v>GoldOhura Precious Metal Industry Co., Ltd.</v>
      </c>
      <c r="K198" s="233" t="str">
        <f t="shared" si="7"/>
        <v>GoldOhura Precious Metal Industry Co., Ltd.</v>
      </c>
    </row>
    <row r="199" spans="1:11">
      <c r="A199" s="232" t="s">
        <v>133</v>
      </c>
      <c r="B199" s="232" t="s">
        <v>1716</v>
      </c>
      <c r="C199" s="232" t="s">
        <v>1716</v>
      </c>
      <c r="D199" s="232" t="s">
        <v>3296</v>
      </c>
      <c r="E199" s="232" t="s">
        <v>1714</v>
      </c>
      <c r="F199" s="232" t="s">
        <v>142</v>
      </c>
      <c r="G199" s="232"/>
      <c r="H199" s="232" t="s">
        <v>1718</v>
      </c>
      <c r="I199" s="232" t="s">
        <v>1719</v>
      </c>
      <c r="J199" s="233" t="str">
        <f t="shared" si="6"/>
        <v>GoldOJSC "The Gulidov Krasnoyarsk Non-Ferrous Metals Plant" (OJSC Krastsvetmet)</v>
      </c>
      <c r="K199" s="233" t="str">
        <f t="shared" si="7"/>
        <v>GoldOJSC "The Gulidov Krasnoyarsk Non-Ferrous Metals Plant" (OJSC Krastsvetmet)</v>
      </c>
    </row>
    <row r="200" spans="1:11">
      <c r="A200" s="232" t="s">
        <v>133</v>
      </c>
      <c r="B200" s="232" t="s">
        <v>3339</v>
      </c>
      <c r="C200" s="232" t="s">
        <v>1716</v>
      </c>
      <c r="D200" s="232" t="s">
        <v>3296</v>
      </c>
      <c r="E200" s="232" t="s">
        <v>1714</v>
      </c>
      <c r="F200" s="232" t="s">
        <v>142</v>
      </c>
      <c r="G200" s="232"/>
      <c r="H200" s="232" t="s">
        <v>1718</v>
      </c>
      <c r="I200" s="232" t="s">
        <v>1719</v>
      </c>
      <c r="J200" s="233" t="str">
        <f t="shared" si="6"/>
        <v>GoldOJSC Krastsvetmet</v>
      </c>
      <c r="K200" s="233" t="str">
        <f t="shared" si="7"/>
        <v>GoldOJSC Krastsvetmet</v>
      </c>
    </row>
    <row r="201" spans="1:11">
      <c r="A201" s="232" t="s">
        <v>133</v>
      </c>
      <c r="B201" s="232" t="s">
        <v>1729</v>
      </c>
      <c r="C201" s="232" t="s">
        <v>2540</v>
      </c>
      <c r="D201" s="232" t="s">
        <v>3296</v>
      </c>
      <c r="E201" s="232" t="s">
        <v>1728</v>
      </c>
      <c r="F201" s="232" t="s">
        <v>142</v>
      </c>
      <c r="G201" s="232"/>
      <c r="H201" s="232" t="s">
        <v>684</v>
      </c>
      <c r="I201" s="232" t="s">
        <v>1730</v>
      </c>
      <c r="J201" s="233" t="str">
        <f t="shared" si="6"/>
        <v>GoldOJSC Novosibirsk Refinery</v>
      </c>
      <c r="K201" s="233" t="str">
        <f t="shared" si="7"/>
        <v>GoldOJSC Novosibirsk Refinery</v>
      </c>
    </row>
    <row r="202" spans="1:11">
      <c r="A202" s="232" t="s">
        <v>133</v>
      </c>
      <c r="B202" s="232" t="s">
        <v>687</v>
      </c>
      <c r="C202" s="232" t="s">
        <v>687</v>
      </c>
      <c r="D202" s="232" t="s">
        <v>3270</v>
      </c>
      <c r="E202" s="232" t="s">
        <v>685</v>
      </c>
      <c r="F202" s="232" t="s">
        <v>142</v>
      </c>
      <c r="G202" s="232"/>
      <c r="H202" s="232" t="s">
        <v>689</v>
      </c>
      <c r="I202" s="232" t="s">
        <v>445</v>
      </c>
      <c r="J202" s="233" t="str">
        <f t="shared" si="6"/>
        <v>GoldPAMP S.A.</v>
      </c>
      <c r="K202" s="233" t="str">
        <f t="shared" si="7"/>
        <v>GoldPAMP S.A.</v>
      </c>
    </row>
    <row r="203" spans="1:11">
      <c r="A203" s="232" t="s">
        <v>133</v>
      </c>
      <c r="B203" s="232" t="s">
        <v>1351</v>
      </c>
      <c r="C203" s="232" t="s">
        <v>1352</v>
      </c>
      <c r="D203" s="232" t="s">
        <v>3257</v>
      </c>
      <c r="E203" s="232" t="s">
        <v>1350</v>
      </c>
      <c r="F203" s="232" t="s">
        <v>142</v>
      </c>
      <c r="G203" s="232"/>
      <c r="H203" s="232" t="s">
        <v>1353</v>
      </c>
      <c r="I203" s="232" t="s">
        <v>1354</v>
      </c>
      <c r="J203" s="233" t="str">
        <f t="shared" si="6"/>
        <v>GoldPan Pacific Copper Co Ltd.</v>
      </c>
      <c r="K203" s="233" t="str">
        <f t="shared" si="7"/>
        <v>GoldPan Pacific Copper Co Ltd.</v>
      </c>
    </row>
    <row r="204" spans="1:11">
      <c r="A204" s="232" t="s">
        <v>133</v>
      </c>
      <c r="B204" s="232" t="s">
        <v>697</v>
      </c>
      <c r="C204" s="232" t="s">
        <v>697</v>
      </c>
      <c r="D204" s="232" t="s">
        <v>3251</v>
      </c>
      <c r="E204" s="232" t="s">
        <v>696</v>
      </c>
      <c r="F204" s="232" t="s">
        <v>142</v>
      </c>
      <c r="G204" s="232"/>
      <c r="H204" s="232" t="s">
        <v>144</v>
      </c>
      <c r="I204" s="232" t="s">
        <v>145</v>
      </c>
      <c r="J204" s="233" t="str">
        <f t="shared" si="6"/>
        <v>GoldPease &amp; Curren</v>
      </c>
      <c r="K204" s="233" t="str">
        <f t="shared" si="7"/>
        <v>GoldPease &amp; Curren</v>
      </c>
    </row>
    <row r="205" spans="1:11">
      <c r="A205" s="232" t="s">
        <v>133</v>
      </c>
      <c r="B205" s="232" t="s">
        <v>703</v>
      </c>
      <c r="C205" s="232" t="s">
        <v>703</v>
      </c>
      <c r="D205" s="232" t="s">
        <v>2818</v>
      </c>
      <c r="E205" s="232" t="s">
        <v>702</v>
      </c>
      <c r="F205" s="232" t="s">
        <v>142</v>
      </c>
      <c r="G205" s="232"/>
      <c r="H205" s="232" t="s">
        <v>704</v>
      </c>
      <c r="I205" s="232" t="s">
        <v>419</v>
      </c>
      <c r="J205" s="233" t="str">
        <f t="shared" si="6"/>
        <v>GoldPenglai Penggang Gold Industry Co., Ltd.</v>
      </c>
      <c r="K205" s="233" t="str">
        <f t="shared" si="7"/>
        <v>GoldPenglai Penggang Gold Industry Co., Ltd.</v>
      </c>
    </row>
    <row r="206" spans="1:11">
      <c r="A206" s="232" t="s">
        <v>133</v>
      </c>
      <c r="B206" s="232" t="s">
        <v>3340</v>
      </c>
      <c r="C206" s="232" t="s">
        <v>3256</v>
      </c>
      <c r="D206" s="232" t="s">
        <v>2123</v>
      </c>
      <c r="E206" s="232" t="s">
        <v>1541</v>
      </c>
      <c r="F206" s="232" t="s">
        <v>142</v>
      </c>
      <c r="G206" s="232"/>
      <c r="H206" s="232" t="s">
        <v>1543</v>
      </c>
      <c r="I206" s="232" t="s">
        <v>1544</v>
      </c>
      <c r="J206" s="233" t="str">
        <f t="shared" si="6"/>
        <v>GoldPerth Mint</v>
      </c>
      <c r="K206" s="233" t="str">
        <f t="shared" si="7"/>
        <v>GoldPerth Mint</v>
      </c>
    </row>
    <row r="207" spans="1:11">
      <c r="A207" s="232" t="s">
        <v>133</v>
      </c>
      <c r="B207" s="232" t="s">
        <v>3341</v>
      </c>
      <c r="C207" s="232" t="s">
        <v>3256</v>
      </c>
      <c r="D207" s="232" t="s">
        <v>2123</v>
      </c>
      <c r="E207" s="232" t="s">
        <v>1541</v>
      </c>
      <c r="F207" s="232" t="s">
        <v>142</v>
      </c>
      <c r="G207" s="232"/>
      <c r="H207" s="232" t="s">
        <v>1543</v>
      </c>
      <c r="I207" s="232" t="s">
        <v>1544</v>
      </c>
      <c r="J207" s="233" t="str">
        <f t="shared" si="6"/>
        <v>GoldPerth Mint (ANZ)</v>
      </c>
      <c r="K207" s="233" t="str">
        <f t="shared" si="7"/>
        <v>GoldPerth Mint (ANZ)</v>
      </c>
    </row>
    <row r="208" spans="1:11">
      <c r="A208" s="232" t="s">
        <v>133</v>
      </c>
      <c r="B208" s="232" t="s">
        <v>618</v>
      </c>
      <c r="C208" s="232" t="s">
        <v>618</v>
      </c>
      <c r="D208" s="232" t="s">
        <v>3342</v>
      </c>
      <c r="E208" s="232" t="s">
        <v>617</v>
      </c>
      <c r="F208" s="232" t="s">
        <v>142</v>
      </c>
      <c r="G208" s="232"/>
      <c r="H208" s="232" t="s">
        <v>620</v>
      </c>
      <c r="I208" s="232" t="s">
        <v>621</v>
      </c>
      <c r="J208" s="233" t="str">
        <f t="shared" si="6"/>
        <v>GoldPlanta Recuperadora de Metales SpA</v>
      </c>
      <c r="K208" s="233" t="str">
        <f t="shared" si="7"/>
        <v>GoldPlanta Recuperadora de Metales SpA</v>
      </c>
    </row>
    <row r="209" spans="1:11">
      <c r="A209" s="232" t="s">
        <v>133</v>
      </c>
      <c r="B209" s="232" t="s">
        <v>628</v>
      </c>
      <c r="C209" s="232" t="s">
        <v>628</v>
      </c>
      <c r="D209" s="232" t="s">
        <v>3296</v>
      </c>
      <c r="E209" s="232" t="s">
        <v>2645</v>
      </c>
      <c r="F209" s="232" t="s">
        <v>142</v>
      </c>
      <c r="G209" s="232"/>
      <c r="H209" s="232" t="s">
        <v>629</v>
      </c>
      <c r="I209" s="232" t="s">
        <v>2647</v>
      </c>
      <c r="J209" s="233" t="str">
        <f t="shared" si="6"/>
        <v>GoldPrioksky Plant of Non-Ferrous Metals</v>
      </c>
      <c r="K209" s="233" t="str">
        <f t="shared" si="7"/>
        <v>GoldPrioksky Plant of Non-Ferrous Metals</v>
      </c>
    </row>
    <row r="210" spans="1:11">
      <c r="A210" s="232" t="s">
        <v>133</v>
      </c>
      <c r="B210" s="232" t="s">
        <v>3343</v>
      </c>
      <c r="C210" s="232" t="s">
        <v>687</v>
      </c>
      <c r="D210" s="232" t="s">
        <v>3270</v>
      </c>
      <c r="E210" s="232" t="s">
        <v>685</v>
      </c>
      <c r="F210" s="232" t="s">
        <v>142</v>
      </c>
      <c r="G210" s="232"/>
      <c r="H210" s="232" t="s">
        <v>689</v>
      </c>
      <c r="I210" s="232" t="s">
        <v>445</v>
      </c>
      <c r="J210" s="233" t="str">
        <f t="shared" si="6"/>
        <v>GoldProduits Artistiques de Métaux</v>
      </c>
      <c r="K210" s="233" t="str">
        <f t="shared" si="7"/>
        <v>GoldProduits Artistiques de Métaux</v>
      </c>
    </row>
    <row r="211" spans="1:11">
      <c r="A211" s="232" t="s">
        <v>133</v>
      </c>
      <c r="B211" s="232" t="s">
        <v>2553</v>
      </c>
      <c r="C211" s="232" t="s">
        <v>2553</v>
      </c>
      <c r="D211" s="232" t="s">
        <v>1075</v>
      </c>
      <c r="E211" s="232" t="s">
        <v>2552</v>
      </c>
      <c r="F211" s="232" t="s">
        <v>142</v>
      </c>
      <c r="G211" s="232"/>
      <c r="H211" s="232" t="s">
        <v>2555</v>
      </c>
      <c r="I211" s="232" t="s">
        <v>2556</v>
      </c>
      <c r="J211" s="233" t="str">
        <f t="shared" si="6"/>
        <v>GoldPT Aneka Tambang (Persero) Tbk</v>
      </c>
      <c r="K211" s="233" t="str">
        <f t="shared" si="7"/>
        <v>GoldPT Aneka Tambang (Persero) Tbk</v>
      </c>
    </row>
    <row r="212" spans="1:11">
      <c r="A212" s="232" t="s">
        <v>133</v>
      </c>
      <c r="B212" s="232" t="s">
        <v>632</v>
      </c>
      <c r="C212" s="232" t="s">
        <v>632</v>
      </c>
      <c r="D212" s="232" t="s">
        <v>3270</v>
      </c>
      <c r="E212" s="232" t="s">
        <v>630</v>
      </c>
      <c r="F212" s="232" t="s">
        <v>142</v>
      </c>
      <c r="G212" s="232"/>
      <c r="H212" s="232" t="s">
        <v>634</v>
      </c>
      <c r="I212" s="232" t="s">
        <v>635</v>
      </c>
      <c r="J212" s="233" t="str">
        <f t="shared" si="6"/>
        <v>GoldPX Precinox S.A.</v>
      </c>
      <c r="K212" s="233" t="str">
        <f t="shared" si="7"/>
        <v>GoldPX Precinox S.A.</v>
      </c>
    </row>
    <row r="213" spans="1:11">
      <c r="A213" s="232" t="s">
        <v>133</v>
      </c>
      <c r="B213" s="232" t="s">
        <v>3344</v>
      </c>
      <c r="C213" s="232" t="s">
        <v>632</v>
      </c>
      <c r="D213" s="232" t="s">
        <v>3270</v>
      </c>
      <c r="E213" s="232" t="s">
        <v>630</v>
      </c>
      <c r="F213" s="232" t="s">
        <v>142</v>
      </c>
      <c r="G213" s="232"/>
      <c r="H213" s="232" t="s">
        <v>634</v>
      </c>
      <c r="I213" s="232" t="s">
        <v>635</v>
      </c>
      <c r="J213" s="233" t="str">
        <f t="shared" si="6"/>
        <v>GoldPX Précinox S.A.</v>
      </c>
      <c r="K213" s="233" t="str">
        <f t="shared" si="7"/>
        <v>GoldPX Précinox S.A.</v>
      </c>
    </row>
    <row r="214" spans="1:11">
      <c r="A214" s="232" t="s">
        <v>133</v>
      </c>
      <c r="B214" s="232" t="s">
        <v>1871</v>
      </c>
      <c r="C214" s="232" t="s">
        <v>1871</v>
      </c>
      <c r="D214" s="232" t="s">
        <v>3251</v>
      </c>
      <c r="E214" s="232" t="s">
        <v>1870</v>
      </c>
      <c r="F214" s="232" t="s">
        <v>142</v>
      </c>
      <c r="G214" s="232"/>
      <c r="H214" s="232" t="s">
        <v>1873</v>
      </c>
      <c r="I214" s="232" t="s">
        <v>218</v>
      </c>
      <c r="J214" s="233" t="str">
        <f t="shared" si="6"/>
        <v>GoldQG Refining, LLC</v>
      </c>
      <c r="K214" s="233" t="str">
        <f t="shared" si="7"/>
        <v>GoldQG Refining, LLC</v>
      </c>
    </row>
    <row r="215" spans="1:11">
      <c r="A215" s="232" t="s">
        <v>133</v>
      </c>
      <c r="B215" s="232" t="s">
        <v>643</v>
      </c>
      <c r="C215" s="232" t="s">
        <v>643</v>
      </c>
      <c r="D215" s="232" t="s">
        <v>3274</v>
      </c>
      <c r="E215" s="232" t="s">
        <v>642</v>
      </c>
      <c r="F215" s="232" t="s">
        <v>142</v>
      </c>
      <c r="G215" s="232"/>
      <c r="H215" s="232" t="s">
        <v>645</v>
      </c>
      <c r="I215" s="232" t="s">
        <v>646</v>
      </c>
      <c r="J215" s="233" t="str">
        <f t="shared" si="6"/>
        <v>GoldRand Refinery (Pty) Ltd.</v>
      </c>
      <c r="K215" s="233" t="str">
        <f t="shared" si="7"/>
        <v>GoldRand Refinery (Pty) Ltd.</v>
      </c>
    </row>
    <row r="216" spans="1:11">
      <c r="A216" s="232" t="s">
        <v>133</v>
      </c>
      <c r="B216" s="232" t="s">
        <v>3345</v>
      </c>
      <c r="C216" s="232" t="s">
        <v>3168</v>
      </c>
      <c r="D216" s="232" t="s">
        <v>3290</v>
      </c>
      <c r="E216" s="232" t="s">
        <v>3167</v>
      </c>
      <c r="F216" s="232" t="s">
        <v>142</v>
      </c>
      <c r="G216" s="232"/>
      <c r="H216" s="232" t="s">
        <v>3170</v>
      </c>
      <c r="I216" s="232" t="s">
        <v>3171</v>
      </c>
      <c r="J216" s="233" t="str">
        <f t="shared" si="6"/>
        <v>GoldRefinery LS-Nikko Copper Inc.</v>
      </c>
      <c r="K216" s="233" t="str">
        <f t="shared" si="7"/>
        <v>GoldRefinery LS-Nikko Copper Inc.</v>
      </c>
    </row>
    <row r="217" spans="1:11">
      <c r="A217" s="232" t="s">
        <v>133</v>
      </c>
      <c r="B217" s="232" t="s">
        <v>2932</v>
      </c>
      <c r="C217" s="232" t="s">
        <v>2932</v>
      </c>
      <c r="D217" s="232" t="s">
        <v>2818</v>
      </c>
      <c r="E217" s="232" t="s">
        <v>2931</v>
      </c>
      <c r="F217" s="232" t="s">
        <v>142</v>
      </c>
      <c r="G217" s="232"/>
      <c r="H217" s="232" t="s">
        <v>2933</v>
      </c>
      <c r="I217" s="232" t="s">
        <v>2934</v>
      </c>
      <c r="J217" s="233" t="str">
        <f t="shared" si="6"/>
        <v>GoldRefinery of Seemine Gold Co., Ltd.</v>
      </c>
      <c r="K217" s="233" t="str">
        <f t="shared" si="7"/>
        <v>GoldRefinery of Seemine Gold Co., Ltd.</v>
      </c>
    </row>
    <row r="218" spans="1:11">
      <c r="A218" s="232" t="s">
        <v>133</v>
      </c>
      <c r="B218" s="232" t="s">
        <v>2935</v>
      </c>
      <c r="C218" s="232" t="s">
        <v>846</v>
      </c>
      <c r="D218" s="232" t="s">
        <v>3346</v>
      </c>
      <c r="E218" s="232" t="s">
        <v>845</v>
      </c>
      <c r="F218" s="232" t="s">
        <v>142</v>
      </c>
      <c r="G218" s="232"/>
      <c r="H218" s="232" t="s">
        <v>848</v>
      </c>
      <c r="I218" s="232" t="s">
        <v>849</v>
      </c>
      <c r="J218" s="233" t="str">
        <f t="shared" si="6"/>
        <v>GoldRemondis Argentia B.V.</v>
      </c>
      <c r="K218" s="233" t="str">
        <f t="shared" si="7"/>
        <v>GoldRemondis Argentia B.V.</v>
      </c>
    </row>
    <row r="219" spans="1:11">
      <c r="A219" s="232" t="s">
        <v>133</v>
      </c>
      <c r="B219" s="232" t="s">
        <v>846</v>
      </c>
      <c r="C219" s="232" t="s">
        <v>846</v>
      </c>
      <c r="D219" s="232" t="s">
        <v>3346</v>
      </c>
      <c r="E219" s="232" t="s">
        <v>845</v>
      </c>
      <c r="F219" s="232" t="s">
        <v>142</v>
      </c>
      <c r="G219" s="232"/>
      <c r="H219" s="232" t="s">
        <v>848</v>
      </c>
      <c r="I219" s="232" t="s">
        <v>849</v>
      </c>
      <c r="J219" s="233" t="str">
        <f t="shared" si="6"/>
        <v>GoldREMONDIS PMR B.V.</v>
      </c>
      <c r="K219" s="233" t="str">
        <f t="shared" si="7"/>
        <v>GoldREMONDIS PMR B.V.</v>
      </c>
    </row>
    <row r="220" spans="1:11">
      <c r="A220" s="232" t="s">
        <v>133</v>
      </c>
      <c r="B220" s="232" t="s">
        <v>858</v>
      </c>
      <c r="C220" s="232" t="s">
        <v>858</v>
      </c>
      <c r="D220" s="232" t="s">
        <v>3271</v>
      </c>
      <c r="E220" s="232" t="s">
        <v>1878</v>
      </c>
      <c r="F220" s="232" t="s">
        <v>142</v>
      </c>
      <c r="G220" s="232"/>
      <c r="H220" s="232" t="s">
        <v>860</v>
      </c>
      <c r="I220" s="232" t="s">
        <v>861</v>
      </c>
      <c r="J220" s="233" t="str">
        <f t="shared" si="6"/>
        <v>GoldRoyal Canadian Mint</v>
      </c>
      <c r="K220" s="233" t="str">
        <f t="shared" si="7"/>
        <v>GoldRoyal Canadian Mint</v>
      </c>
    </row>
    <row r="221" spans="1:11">
      <c r="A221" s="232" t="s">
        <v>133</v>
      </c>
      <c r="B221" s="232" t="s">
        <v>863</v>
      </c>
      <c r="C221" s="232" t="s">
        <v>863</v>
      </c>
      <c r="D221" s="232" t="s">
        <v>3347</v>
      </c>
      <c r="E221" s="232" t="s">
        <v>862</v>
      </c>
      <c r="F221" s="232" t="s">
        <v>142</v>
      </c>
      <c r="G221" s="232"/>
      <c r="H221" s="232" t="s">
        <v>866</v>
      </c>
      <c r="I221" s="232" t="s">
        <v>867</v>
      </c>
      <c r="J221" s="233" t="str">
        <f t="shared" si="6"/>
        <v>GoldSAAMP</v>
      </c>
      <c r="K221" s="233" t="str">
        <f t="shared" si="7"/>
        <v>GoldSAAMP</v>
      </c>
    </row>
    <row r="222" spans="1:11">
      <c r="A222" s="232" t="s">
        <v>133</v>
      </c>
      <c r="B222" s="232" t="s">
        <v>779</v>
      </c>
      <c r="C222" s="232" t="s">
        <v>779</v>
      </c>
      <c r="D222" s="232" t="s">
        <v>3251</v>
      </c>
      <c r="E222" s="232" t="s">
        <v>778</v>
      </c>
      <c r="F222" s="232" t="s">
        <v>142</v>
      </c>
      <c r="G222" s="232"/>
      <c r="H222" s="232" t="s">
        <v>780</v>
      </c>
      <c r="I222" s="232" t="s">
        <v>781</v>
      </c>
      <c r="J222" s="233" t="str">
        <f t="shared" si="6"/>
        <v>GoldSabin Metal Corp.</v>
      </c>
      <c r="K222" s="233" t="str">
        <f t="shared" si="7"/>
        <v>GoldSabin Metal Corp.</v>
      </c>
    </row>
    <row r="223" spans="1:11">
      <c r="A223" s="232" t="s">
        <v>133</v>
      </c>
      <c r="B223" s="232" t="s">
        <v>875</v>
      </c>
      <c r="C223" s="232" t="s">
        <v>875</v>
      </c>
      <c r="D223" s="232" t="s">
        <v>3248</v>
      </c>
      <c r="E223" s="232" t="s">
        <v>874</v>
      </c>
      <c r="F223" s="232" t="s">
        <v>142</v>
      </c>
      <c r="G223" s="232"/>
      <c r="H223" s="232" t="s">
        <v>501</v>
      </c>
      <c r="I223" s="232" t="s">
        <v>502</v>
      </c>
      <c r="J223" s="233" t="str">
        <f t="shared" si="6"/>
        <v>GoldSafimet S.p.A</v>
      </c>
      <c r="K223" s="233" t="str">
        <f t="shared" si="7"/>
        <v>GoldSafimet S.p.A</v>
      </c>
    </row>
    <row r="224" spans="1:11">
      <c r="A224" s="232" t="s">
        <v>133</v>
      </c>
      <c r="B224" s="232" t="s">
        <v>2214</v>
      </c>
      <c r="C224" s="232" t="s">
        <v>2214</v>
      </c>
      <c r="D224" s="232" t="s">
        <v>3348</v>
      </c>
      <c r="E224" s="232" t="s">
        <v>2213</v>
      </c>
      <c r="F224" s="232" t="s">
        <v>142</v>
      </c>
      <c r="G224" s="232"/>
      <c r="H224" s="232" t="s">
        <v>2217</v>
      </c>
      <c r="I224" s="232" t="s">
        <v>2218</v>
      </c>
      <c r="J224" s="233" t="str">
        <f t="shared" si="6"/>
        <v>GoldSAFINA A.S.</v>
      </c>
      <c r="K224" s="233" t="str">
        <f t="shared" si="7"/>
        <v>GoldSAFINA A.S.</v>
      </c>
    </row>
    <row r="225" spans="1:11">
      <c r="A225" s="232" t="s">
        <v>133</v>
      </c>
      <c r="B225" s="232" t="s">
        <v>3349</v>
      </c>
      <c r="C225" s="232" t="s">
        <v>1352</v>
      </c>
      <c r="D225" s="232" t="s">
        <v>3257</v>
      </c>
      <c r="E225" s="232" t="s">
        <v>1350</v>
      </c>
      <c r="F225" s="232" t="s">
        <v>142</v>
      </c>
      <c r="G225" s="232"/>
      <c r="H225" s="232" t="s">
        <v>1353</v>
      </c>
      <c r="I225" s="232" t="s">
        <v>1354</v>
      </c>
      <c r="J225" s="233" t="str">
        <f t="shared" si="6"/>
        <v>GoldSaganoseki Smelter &amp; Refinery</v>
      </c>
      <c r="K225" s="233" t="str">
        <f t="shared" si="7"/>
        <v>GoldSaganoseki Smelter &amp; Refinery</v>
      </c>
    </row>
    <row r="226" spans="1:11">
      <c r="A226" s="232" t="s">
        <v>133</v>
      </c>
      <c r="B226" s="232" t="s">
        <v>2226</v>
      </c>
      <c r="C226" s="232" t="s">
        <v>2226</v>
      </c>
      <c r="D226" s="232" t="s">
        <v>3275</v>
      </c>
      <c r="E226" s="232" t="s">
        <v>2225</v>
      </c>
      <c r="F226" s="232" t="s">
        <v>142</v>
      </c>
      <c r="G226" s="232"/>
      <c r="H226" s="232" t="s">
        <v>2228</v>
      </c>
      <c r="I226" s="232" t="s">
        <v>2229</v>
      </c>
      <c r="J226" s="233" t="str">
        <f t="shared" si="6"/>
        <v>GoldSai Refinery</v>
      </c>
      <c r="K226" s="233" t="str">
        <f t="shared" si="7"/>
        <v>GoldSai Refinery</v>
      </c>
    </row>
    <row r="227" spans="1:11">
      <c r="A227" s="232" t="s">
        <v>133</v>
      </c>
      <c r="B227" s="232" t="s">
        <v>3350</v>
      </c>
      <c r="C227" s="232" t="s">
        <v>2937</v>
      </c>
      <c r="D227" s="232" t="s">
        <v>3290</v>
      </c>
      <c r="E227" s="232" t="s">
        <v>2936</v>
      </c>
      <c r="F227" s="232" t="s">
        <v>142</v>
      </c>
      <c r="G227" s="232"/>
      <c r="H227" s="232" t="s">
        <v>2939</v>
      </c>
      <c r="I227" s="232" t="s">
        <v>542</v>
      </c>
      <c r="J227" s="233" t="str">
        <f t="shared" si="6"/>
        <v>GoldSamdok Metal</v>
      </c>
      <c r="K227" s="233" t="str">
        <f t="shared" si="7"/>
        <v>GoldSamdok Metal</v>
      </c>
    </row>
    <row r="228" spans="1:11">
      <c r="A228" s="232" t="s">
        <v>133</v>
      </c>
      <c r="B228" s="232" t="s">
        <v>2937</v>
      </c>
      <c r="C228" s="232" t="s">
        <v>2937</v>
      </c>
      <c r="D228" s="232" t="s">
        <v>3290</v>
      </c>
      <c r="E228" s="232" t="s">
        <v>2936</v>
      </c>
      <c r="F228" s="232" t="s">
        <v>142</v>
      </c>
      <c r="G228" s="232"/>
      <c r="H228" s="232" t="s">
        <v>2939</v>
      </c>
      <c r="I228" s="232" t="s">
        <v>542</v>
      </c>
      <c r="J228" s="233" t="str">
        <f t="shared" si="6"/>
        <v>GoldSamduck Precious Metals</v>
      </c>
      <c r="K228" s="233" t="str">
        <f t="shared" si="7"/>
        <v>GoldSamduck Precious Metals</v>
      </c>
    </row>
    <row r="229" spans="1:11">
      <c r="A229" s="232" t="s">
        <v>133</v>
      </c>
      <c r="B229" s="232" t="s">
        <v>2948</v>
      </c>
      <c r="C229" s="232" t="s">
        <v>2948</v>
      </c>
      <c r="D229" s="232" t="s">
        <v>3290</v>
      </c>
      <c r="E229" s="232" t="s">
        <v>2947</v>
      </c>
      <c r="F229" s="232" t="s">
        <v>142</v>
      </c>
      <c r="G229" s="232"/>
      <c r="H229" s="232" t="s">
        <v>2946</v>
      </c>
      <c r="I229" s="232" t="s">
        <v>2950</v>
      </c>
      <c r="J229" s="233" t="str">
        <f t="shared" si="6"/>
        <v>GoldSamwon Metals Corp.</v>
      </c>
      <c r="K229" s="233" t="str">
        <f t="shared" si="7"/>
        <v>GoldSamwon Metals Corp.</v>
      </c>
    </row>
    <row r="230" spans="1:11">
      <c r="A230" s="232" t="s">
        <v>133</v>
      </c>
      <c r="B230" s="232" t="s">
        <v>2955</v>
      </c>
      <c r="C230" s="232" t="s">
        <v>2955</v>
      </c>
      <c r="D230" s="232" t="s">
        <v>3280</v>
      </c>
      <c r="E230" s="232" t="s">
        <v>2954</v>
      </c>
      <c r="F230" s="232" t="s">
        <v>142</v>
      </c>
      <c r="G230" s="232"/>
      <c r="H230" s="232" t="s">
        <v>2956</v>
      </c>
      <c r="I230" s="232" t="s">
        <v>2957</v>
      </c>
      <c r="J230" s="233" t="str">
        <f t="shared" si="6"/>
        <v>GoldSancus ZFS (L’Orfebre, SA)</v>
      </c>
      <c r="K230" s="233" t="str">
        <f t="shared" si="7"/>
        <v>GoldSancus ZFS (L’Orfebre, SA)</v>
      </c>
    </row>
    <row r="231" spans="1:11">
      <c r="A231" s="232" t="s">
        <v>133</v>
      </c>
      <c r="B231" s="232" t="s">
        <v>783</v>
      </c>
      <c r="C231" s="232" t="s">
        <v>783</v>
      </c>
      <c r="D231" s="232" t="s">
        <v>3254</v>
      </c>
      <c r="E231" s="232" t="s">
        <v>782</v>
      </c>
      <c r="F231" s="232" t="s">
        <v>142</v>
      </c>
      <c r="G231" s="232"/>
      <c r="H231" s="232" t="s">
        <v>784</v>
      </c>
      <c r="I231" s="232" t="s">
        <v>785</v>
      </c>
      <c r="J231" s="233" t="str">
        <f t="shared" si="6"/>
        <v>GoldSAXONIA Edelmetalle GmbH</v>
      </c>
      <c r="K231" s="233" t="str">
        <f t="shared" si="7"/>
        <v>GoldSAXONIA Edelmetalle GmbH</v>
      </c>
    </row>
    <row r="232" spans="1:11">
      <c r="A232" s="232" t="s">
        <v>133</v>
      </c>
      <c r="B232" s="232" t="s">
        <v>3351</v>
      </c>
      <c r="C232" s="232" t="s">
        <v>2937</v>
      </c>
      <c r="D232" s="232" t="s">
        <v>3290</v>
      </c>
      <c r="E232" s="232" t="s">
        <v>2936</v>
      </c>
      <c r="F232" s="232" t="s">
        <v>142</v>
      </c>
      <c r="G232" s="232"/>
      <c r="H232" s="232" t="s">
        <v>2939</v>
      </c>
      <c r="I232" s="232" t="s">
        <v>542</v>
      </c>
      <c r="J232" s="233" t="str">
        <f t="shared" si="6"/>
        <v>GoldSD (Samdok) Metal</v>
      </c>
      <c r="K232" s="233" t="str">
        <f t="shared" si="7"/>
        <v>GoldSD (Samdok) Metal</v>
      </c>
    </row>
    <row r="233" spans="1:11">
      <c r="A233" s="232" t="s">
        <v>133</v>
      </c>
      <c r="B233" s="232" t="s">
        <v>790</v>
      </c>
      <c r="C233" s="232" t="s">
        <v>790</v>
      </c>
      <c r="D233" s="232" t="s">
        <v>3352</v>
      </c>
      <c r="E233" s="232" t="s">
        <v>789</v>
      </c>
      <c r="F233" s="232" t="s">
        <v>142</v>
      </c>
      <c r="G233" s="232"/>
      <c r="H233" s="232" t="s">
        <v>791</v>
      </c>
      <c r="I233" s="232" t="s">
        <v>792</v>
      </c>
      <c r="J233" s="233" t="str">
        <f t="shared" si="6"/>
        <v>GoldSellem Industries Ltd.</v>
      </c>
      <c r="K233" s="233" t="str">
        <f t="shared" si="7"/>
        <v>GoldSellem Industries Ltd.</v>
      </c>
    </row>
    <row r="234" spans="1:11">
      <c r="A234" s="232" t="s">
        <v>133</v>
      </c>
      <c r="B234" s="232" t="s">
        <v>796</v>
      </c>
      <c r="C234" s="232" t="s">
        <v>796</v>
      </c>
      <c r="D234" s="232" t="s">
        <v>3353</v>
      </c>
      <c r="E234" s="232" t="s">
        <v>794</v>
      </c>
      <c r="F234" s="232" t="s">
        <v>142</v>
      </c>
      <c r="G234" s="232"/>
      <c r="H234" s="232" t="s">
        <v>798</v>
      </c>
      <c r="I234" s="232" t="s">
        <v>799</v>
      </c>
      <c r="J234" s="233" t="str">
        <f t="shared" si="6"/>
        <v>GoldSEMPSA Joyeria Plateria S.A.</v>
      </c>
      <c r="K234" s="233" t="str">
        <f t="shared" si="7"/>
        <v>GoldSEMPSA Joyeria Plateria S.A.</v>
      </c>
    </row>
    <row r="235" spans="1:11">
      <c r="A235" s="232" t="s">
        <v>133</v>
      </c>
      <c r="B235" s="232" t="s">
        <v>3354</v>
      </c>
      <c r="C235" s="232" t="s">
        <v>796</v>
      </c>
      <c r="D235" s="232" t="s">
        <v>3353</v>
      </c>
      <c r="E235" s="232" t="s">
        <v>794</v>
      </c>
      <c r="F235" s="232" t="s">
        <v>142</v>
      </c>
      <c r="G235" s="232"/>
      <c r="H235" s="232" t="s">
        <v>798</v>
      </c>
      <c r="I235" s="232" t="s">
        <v>799</v>
      </c>
      <c r="J235" s="233" t="str">
        <f t="shared" si="6"/>
        <v>GoldSEMPSA Joyería Platería S.A.</v>
      </c>
      <c r="K235" s="233" t="str">
        <f t="shared" si="7"/>
        <v>GoldSEMPSA Joyería Platería S.A.</v>
      </c>
    </row>
    <row r="236" spans="1:11">
      <c r="A236" s="232" t="s">
        <v>133</v>
      </c>
      <c r="B236" s="232" t="s">
        <v>3355</v>
      </c>
      <c r="C236" s="232" t="s">
        <v>796</v>
      </c>
      <c r="D236" s="232" t="s">
        <v>3353</v>
      </c>
      <c r="E236" s="232" t="s">
        <v>794</v>
      </c>
      <c r="F236" s="232" t="s">
        <v>142</v>
      </c>
      <c r="G236" s="232"/>
      <c r="H236" s="232" t="s">
        <v>798</v>
      </c>
      <c r="I236" s="232" t="s">
        <v>799</v>
      </c>
      <c r="J236" s="233" t="str">
        <f t="shared" si="6"/>
        <v>GoldSempsa JP (Cookson Sempsa)</v>
      </c>
      <c r="K236" s="233" t="str">
        <f t="shared" si="7"/>
        <v>GoldSempsa JP (Cookson Sempsa)</v>
      </c>
    </row>
    <row r="237" spans="1:11">
      <c r="A237" s="232" t="s">
        <v>133</v>
      </c>
      <c r="B237" s="232" t="s">
        <v>806</v>
      </c>
      <c r="C237" s="232" t="s">
        <v>2551</v>
      </c>
      <c r="D237" s="232" t="s">
        <v>2818</v>
      </c>
      <c r="E237" s="232" t="s">
        <v>812</v>
      </c>
      <c r="F237" s="232" t="s">
        <v>142</v>
      </c>
      <c r="G237" s="232"/>
      <c r="H237" s="232" t="s">
        <v>448</v>
      </c>
      <c r="I237" s="232" t="s">
        <v>419</v>
      </c>
      <c r="J237" s="233" t="str">
        <f t="shared" si="6"/>
        <v>GoldShan Dong Huangjin</v>
      </c>
      <c r="K237" s="233" t="str">
        <f t="shared" si="7"/>
        <v>GoldShan Dong Huangjin</v>
      </c>
    </row>
    <row r="238" spans="1:11">
      <c r="A238" s="232" t="s">
        <v>133</v>
      </c>
      <c r="B238" s="232" t="s">
        <v>3356</v>
      </c>
      <c r="C238" s="232" t="s">
        <v>2551</v>
      </c>
      <c r="D238" s="232" t="s">
        <v>2818</v>
      </c>
      <c r="E238" s="232" t="s">
        <v>812</v>
      </c>
      <c r="F238" s="232" t="s">
        <v>142</v>
      </c>
      <c r="G238" s="232"/>
      <c r="H238" s="232" t="s">
        <v>448</v>
      </c>
      <c r="I238" s="232" t="s">
        <v>419</v>
      </c>
      <c r="J238" s="233" t="str">
        <f t="shared" si="6"/>
        <v>GoldShandong Gold Mine(Laizhou) Smelter Co., Ltd.</v>
      </c>
      <c r="K238" s="233" t="str">
        <f t="shared" si="7"/>
        <v>GoldShandong Gold Mine(Laizhou) Smelter Co., Ltd.</v>
      </c>
    </row>
    <row r="239" spans="1:11">
      <c r="A239" s="232" t="s">
        <v>133</v>
      </c>
      <c r="B239" s="232" t="s">
        <v>2551</v>
      </c>
      <c r="C239" s="232" t="s">
        <v>2551</v>
      </c>
      <c r="D239" s="232" t="s">
        <v>2818</v>
      </c>
      <c r="E239" s="232" t="s">
        <v>812</v>
      </c>
      <c r="F239" s="232" t="s">
        <v>142</v>
      </c>
      <c r="G239" s="232"/>
      <c r="H239" s="232" t="s">
        <v>448</v>
      </c>
      <c r="I239" s="232" t="s">
        <v>419</v>
      </c>
      <c r="J239" s="233" t="str">
        <f t="shared" si="6"/>
        <v>GoldShandong Gold Smelting Co., Ltd.</v>
      </c>
      <c r="K239" s="233" t="str">
        <f t="shared" si="7"/>
        <v>GoldShandong Gold Smelting Co., Ltd.</v>
      </c>
    </row>
    <row r="240" spans="1:11">
      <c r="A240" s="232" t="s">
        <v>133</v>
      </c>
      <c r="B240" s="232" t="s">
        <v>415</v>
      </c>
      <c r="C240" s="232" t="s">
        <v>416</v>
      </c>
      <c r="D240" s="232" t="s">
        <v>2818</v>
      </c>
      <c r="E240" s="232" t="s">
        <v>414</v>
      </c>
      <c r="F240" s="232" t="s">
        <v>142</v>
      </c>
      <c r="G240" s="232"/>
      <c r="H240" s="232" t="s">
        <v>418</v>
      </c>
      <c r="I240" s="232" t="s">
        <v>419</v>
      </c>
      <c r="J240" s="233" t="str">
        <f t="shared" si="6"/>
        <v>GoldShandong Guoda Gold Co., Ltd.</v>
      </c>
      <c r="K240" s="233" t="str">
        <f t="shared" si="7"/>
        <v>GoldShandong Guoda Gold Co., Ltd.</v>
      </c>
    </row>
    <row r="241" spans="1:11">
      <c r="A241" s="232" t="s">
        <v>133</v>
      </c>
      <c r="B241" s="232" t="s">
        <v>3357</v>
      </c>
      <c r="C241" s="232" t="s">
        <v>2551</v>
      </c>
      <c r="D241" s="232" t="s">
        <v>2818</v>
      </c>
      <c r="E241" s="232" t="s">
        <v>812</v>
      </c>
      <c r="F241" s="232" t="s">
        <v>142</v>
      </c>
      <c r="G241" s="232"/>
      <c r="H241" s="232" t="s">
        <v>448</v>
      </c>
      <c r="I241" s="232" t="s">
        <v>419</v>
      </c>
      <c r="J241" s="233" t="str">
        <f t="shared" si="6"/>
        <v>Goldshandong huangjin</v>
      </c>
      <c r="K241" s="233" t="str">
        <f t="shared" si="7"/>
        <v>Goldshandong huangjin</v>
      </c>
    </row>
    <row r="242" spans="1:11">
      <c r="A242" s="232" t="s">
        <v>133</v>
      </c>
      <c r="B242" s="232" t="s">
        <v>447</v>
      </c>
      <c r="C242" s="232" t="s">
        <v>447</v>
      </c>
      <c r="D242" s="232" t="s">
        <v>2818</v>
      </c>
      <c r="E242" s="232" t="s">
        <v>446</v>
      </c>
      <c r="F242" s="232" t="s">
        <v>142</v>
      </c>
      <c r="G242" s="232"/>
      <c r="H242" s="232" t="s">
        <v>448</v>
      </c>
      <c r="I242" s="232" t="s">
        <v>419</v>
      </c>
      <c r="J242" s="233" t="str">
        <f t="shared" si="6"/>
        <v>GoldShandong Humon Smelting Co., Ltd.</v>
      </c>
      <c r="K242" s="233" t="str">
        <f t="shared" si="7"/>
        <v>GoldShandong Humon Smelting Co., Ltd.</v>
      </c>
    </row>
    <row r="243" spans="1:11">
      <c r="A243" s="232" t="s">
        <v>133</v>
      </c>
      <c r="B243" s="232" t="s">
        <v>3358</v>
      </c>
      <c r="C243" s="232" t="s">
        <v>2551</v>
      </c>
      <c r="D243" s="232" t="s">
        <v>2818</v>
      </c>
      <c r="E243" s="232" t="s">
        <v>812</v>
      </c>
      <c r="F243" s="232" t="s">
        <v>142</v>
      </c>
      <c r="G243" s="232"/>
      <c r="H243" s="232" t="s">
        <v>448</v>
      </c>
      <c r="I243" s="232" t="s">
        <v>419</v>
      </c>
      <c r="J243" s="233" t="str">
        <f t="shared" si="6"/>
        <v>GoldShandong middlings JinYe group Co., LTD</v>
      </c>
      <c r="K243" s="233" t="str">
        <f t="shared" si="7"/>
        <v>GoldShandong middlings JinYe group Co., LTD</v>
      </c>
    </row>
    <row r="244" spans="1:11">
      <c r="A244" s="232" t="s">
        <v>133</v>
      </c>
      <c r="B244" s="232" t="s">
        <v>3359</v>
      </c>
      <c r="C244" s="232" t="s">
        <v>2234</v>
      </c>
      <c r="D244" s="232" t="s">
        <v>2818</v>
      </c>
      <c r="E244" s="232" t="s">
        <v>2233</v>
      </c>
      <c r="F244" s="232" t="s">
        <v>142</v>
      </c>
      <c r="G244" s="232"/>
      <c r="H244" s="232" t="s">
        <v>448</v>
      </c>
      <c r="I244" s="232" t="s">
        <v>419</v>
      </c>
      <c r="J244" s="233" t="str">
        <f t="shared" si="6"/>
        <v>GoldShandong Tarzan Bio-Gold Industry Co., Ltd.</v>
      </c>
      <c r="K244" s="233" t="str">
        <f t="shared" si="7"/>
        <v>GoldShandong Tarzan Bio-Gold Industry Co., Ltd.</v>
      </c>
    </row>
    <row r="245" spans="1:11">
      <c r="A245" s="232" t="s">
        <v>133</v>
      </c>
      <c r="B245" s="232" t="s">
        <v>2234</v>
      </c>
      <c r="C245" s="232" t="s">
        <v>2234</v>
      </c>
      <c r="D245" s="232" t="s">
        <v>2818</v>
      </c>
      <c r="E245" s="232" t="s">
        <v>2233</v>
      </c>
      <c r="F245" s="232" t="s">
        <v>142</v>
      </c>
      <c r="G245" s="232"/>
      <c r="H245" s="232" t="s">
        <v>448</v>
      </c>
      <c r="I245" s="232" t="s">
        <v>419</v>
      </c>
      <c r="J245" s="233" t="str">
        <f t="shared" si="6"/>
        <v>GoldShandong Tiancheng Biological Gold Industrial Co., Ltd.</v>
      </c>
      <c r="K245" s="233" t="str">
        <f t="shared" si="7"/>
        <v>GoldShandong Tiancheng Biological Gold Industrial Co., Ltd.</v>
      </c>
    </row>
    <row r="246" spans="1:11">
      <c r="A246" s="232" t="s">
        <v>133</v>
      </c>
      <c r="B246" s="232" t="s">
        <v>2965</v>
      </c>
      <c r="C246" s="232" t="s">
        <v>2965</v>
      </c>
      <c r="D246" s="232" t="s">
        <v>2818</v>
      </c>
      <c r="E246" s="232" t="s">
        <v>2963</v>
      </c>
      <c r="F246" s="232" t="s">
        <v>142</v>
      </c>
      <c r="G246" s="232"/>
      <c r="H246" s="232" t="s">
        <v>418</v>
      </c>
      <c r="I246" s="232" t="s">
        <v>419</v>
      </c>
      <c r="J246" s="233" t="str">
        <f t="shared" si="6"/>
        <v>GoldShandong Zhaojin Gold &amp; Silver Refinery Co., Ltd.</v>
      </c>
      <c r="K246" s="233" t="str">
        <f t="shared" si="7"/>
        <v>GoldShandong Zhaojin Gold &amp; Silver Refinery Co., Ltd.</v>
      </c>
    </row>
    <row r="247" spans="1:11">
      <c r="A247" s="232" t="s">
        <v>133</v>
      </c>
      <c r="B247" s="232" t="s">
        <v>3360</v>
      </c>
      <c r="C247" s="232" t="s">
        <v>2551</v>
      </c>
      <c r="D247" s="232" t="s">
        <v>2818</v>
      </c>
      <c r="E247" s="232" t="s">
        <v>812</v>
      </c>
      <c r="F247" s="232" t="s">
        <v>142</v>
      </c>
      <c r="G247" s="232"/>
      <c r="H247" s="232" t="s">
        <v>448</v>
      </c>
      <c r="I247" s="232" t="s">
        <v>419</v>
      </c>
      <c r="J247" s="233" t="str">
        <f t="shared" si="6"/>
        <v>GoldShangdong Gold (Laizhou)</v>
      </c>
      <c r="K247" s="233" t="str">
        <f t="shared" si="7"/>
        <v>GoldShangdong Gold (Laizhou)</v>
      </c>
    </row>
    <row r="248" spans="1:11">
      <c r="A248" s="232" t="s">
        <v>133</v>
      </c>
      <c r="B248" s="232" t="s">
        <v>2967</v>
      </c>
      <c r="C248" s="232" t="s">
        <v>2967</v>
      </c>
      <c r="D248" s="232" t="s">
        <v>2818</v>
      </c>
      <c r="E248" s="232" t="s">
        <v>2966</v>
      </c>
      <c r="F248" s="232" t="s">
        <v>142</v>
      </c>
      <c r="G248" s="232"/>
      <c r="H248" s="232" t="s">
        <v>1682</v>
      </c>
      <c r="I248" s="232" t="s">
        <v>1169</v>
      </c>
      <c r="J248" s="233" t="str">
        <f t="shared" si="6"/>
        <v>GoldShenzhen CuiLu Gold Co., Ltd.</v>
      </c>
      <c r="K248" s="233" t="str">
        <f t="shared" si="7"/>
        <v>GoldShenzhen CuiLu Gold Co., Ltd.</v>
      </c>
    </row>
    <row r="249" spans="1:11">
      <c r="A249" s="232" t="s">
        <v>133</v>
      </c>
      <c r="B249" s="232" t="s">
        <v>2969</v>
      </c>
      <c r="C249" s="232" t="s">
        <v>2969</v>
      </c>
      <c r="D249" s="232" t="s">
        <v>2818</v>
      </c>
      <c r="E249" s="232" t="s">
        <v>2968</v>
      </c>
      <c r="F249" s="232" t="s">
        <v>142</v>
      </c>
      <c r="G249" s="232"/>
      <c r="H249" s="232" t="s">
        <v>1682</v>
      </c>
      <c r="I249" s="232" t="s">
        <v>1169</v>
      </c>
      <c r="J249" s="233" t="str">
        <f t="shared" si="6"/>
        <v>GoldShenzhen Zhonghenglong Real Industry Co., Ltd.</v>
      </c>
      <c r="K249" s="233" t="str">
        <f t="shared" si="7"/>
        <v>GoldShenzhen Zhonghenglong Real Industry Co., Ltd.</v>
      </c>
    </row>
    <row r="250" spans="1:11">
      <c r="A250" s="232" t="s">
        <v>133</v>
      </c>
      <c r="B250" s="232" t="s">
        <v>450</v>
      </c>
      <c r="C250" s="232" t="s">
        <v>450</v>
      </c>
      <c r="D250" s="232" t="s">
        <v>3275</v>
      </c>
      <c r="E250" s="232" t="s">
        <v>449</v>
      </c>
      <c r="F250" s="232" t="s">
        <v>142</v>
      </c>
      <c r="G250" s="232"/>
      <c r="H250" s="232" t="s">
        <v>452</v>
      </c>
      <c r="I250" s="232" t="s">
        <v>453</v>
      </c>
      <c r="J250" s="233" t="str">
        <f t="shared" si="6"/>
        <v>GoldShirpur Gold Refinery Ltd.</v>
      </c>
      <c r="K250" s="233" t="str">
        <f t="shared" si="7"/>
        <v>GoldShirpur Gold Refinery Ltd.</v>
      </c>
    </row>
    <row r="251" spans="1:11">
      <c r="A251" s="232" t="s">
        <v>133</v>
      </c>
      <c r="B251" s="232" t="s">
        <v>3361</v>
      </c>
      <c r="C251" s="232" t="s">
        <v>809</v>
      </c>
      <c r="D251" s="232" t="s">
        <v>3257</v>
      </c>
      <c r="E251" s="232" t="s">
        <v>807</v>
      </c>
      <c r="F251" s="232" t="s">
        <v>142</v>
      </c>
      <c r="G251" s="232"/>
      <c r="H251" s="232" t="s">
        <v>810</v>
      </c>
      <c r="I251" s="232" t="s">
        <v>811</v>
      </c>
      <c r="J251" s="233" t="str">
        <f t="shared" si="6"/>
        <v>GoldShonan Plant Tanaka Kikinzoku</v>
      </c>
      <c r="K251" s="233" t="str">
        <f t="shared" si="7"/>
        <v>GoldShonan Plant Tanaka Kikinzoku</v>
      </c>
    </row>
    <row r="252" spans="1:11">
      <c r="A252" s="232" t="s">
        <v>133</v>
      </c>
      <c r="B252" s="232" t="s">
        <v>458</v>
      </c>
      <c r="C252" s="232" t="s">
        <v>457</v>
      </c>
      <c r="D252" s="232" t="s">
        <v>3296</v>
      </c>
      <c r="E252" s="232" t="s">
        <v>2585</v>
      </c>
      <c r="F252" s="232" t="s">
        <v>142</v>
      </c>
      <c r="G252" s="232"/>
      <c r="H252" s="232" t="s">
        <v>460</v>
      </c>
      <c r="I252" s="232" t="s">
        <v>2389</v>
      </c>
      <c r="J252" s="233" t="str">
        <f t="shared" si="6"/>
        <v>GoldShyolkovsky</v>
      </c>
      <c r="K252" s="233" t="str">
        <f t="shared" si="7"/>
        <v>GoldShyolkovsky</v>
      </c>
    </row>
    <row r="253" spans="1:11">
      <c r="A253" s="232" t="s">
        <v>133</v>
      </c>
      <c r="B253" s="232" t="s">
        <v>2240</v>
      </c>
      <c r="C253" s="232" t="s">
        <v>2240</v>
      </c>
      <c r="D253" s="232" t="s">
        <v>2818</v>
      </c>
      <c r="E253" s="232" t="s">
        <v>2239</v>
      </c>
      <c r="F253" s="232" t="s">
        <v>142</v>
      </c>
      <c r="G253" s="232"/>
      <c r="H253" s="232" t="s">
        <v>2242</v>
      </c>
      <c r="I253" s="232" t="s">
        <v>2243</v>
      </c>
      <c r="J253" s="233" t="str">
        <f t="shared" si="6"/>
        <v>GoldSichuan Tianze Precious Metals Co., Ltd.</v>
      </c>
      <c r="K253" s="233" t="str">
        <f t="shared" si="7"/>
        <v>GoldSichuan Tianze Precious Metals Co., Ltd.</v>
      </c>
    </row>
    <row r="254" spans="1:11">
      <c r="A254" s="232" t="s">
        <v>133</v>
      </c>
      <c r="B254" s="232" t="s">
        <v>3362</v>
      </c>
      <c r="C254" s="232" t="s">
        <v>809</v>
      </c>
      <c r="D254" s="232" t="s">
        <v>3257</v>
      </c>
      <c r="E254" s="232" t="s">
        <v>807</v>
      </c>
      <c r="F254" s="232" t="s">
        <v>142</v>
      </c>
      <c r="G254" s="232"/>
      <c r="H254" s="232" t="s">
        <v>810</v>
      </c>
      <c r="I254" s="232" t="s">
        <v>811</v>
      </c>
      <c r="J254" s="233" t="str">
        <f t="shared" si="6"/>
        <v>GoldSingapore Tanaka</v>
      </c>
      <c r="K254" s="233" t="str">
        <f t="shared" si="7"/>
        <v>GoldSingapore Tanaka</v>
      </c>
    </row>
    <row r="255" spans="1:11">
      <c r="A255" s="232" t="s">
        <v>133</v>
      </c>
      <c r="B255" s="232" t="s">
        <v>2573</v>
      </c>
      <c r="C255" s="232" t="s">
        <v>2573</v>
      </c>
      <c r="D255" s="232" t="s">
        <v>3363</v>
      </c>
      <c r="E255" s="232" t="s">
        <v>2572</v>
      </c>
      <c r="F255" s="232" t="s">
        <v>142</v>
      </c>
      <c r="G255" s="232"/>
      <c r="H255" s="232" t="s">
        <v>2575</v>
      </c>
      <c r="I255" s="232" t="s">
        <v>370</v>
      </c>
      <c r="J255" s="233" t="str">
        <f t="shared" si="6"/>
        <v>GoldSingway Technology Co., Ltd.</v>
      </c>
      <c r="K255" s="233" t="str">
        <f t="shared" si="7"/>
        <v>GoldSingway Technology Co., Ltd.</v>
      </c>
    </row>
    <row r="256" spans="1:11">
      <c r="A256" s="232" t="s">
        <v>133</v>
      </c>
      <c r="B256" s="232" t="s">
        <v>3364</v>
      </c>
      <c r="C256" s="232" t="s">
        <v>885</v>
      </c>
      <c r="D256" s="232" t="s">
        <v>3257</v>
      </c>
      <c r="E256" s="232" t="s">
        <v>883</v>
      </c>
      <c r="F256" s="232" t="s">
        <v>142</v>
      </c>
      <c r="G256" s="232"/>
      <c r="H256" s="232" t="s">
        <v>887</v>
      </c>
      <c r="I256" s="232" t="s">
        <v>888</v>
      </c>
      <c r="J256" s="233" t="str">
        <f t="shared" si="6"/>
        <v>GoldSMM</v>
      </c>
      <c r="K256" s="233" t="str">
        <f t="shared" si="7"/>
        <v>GoldSMM</v>
      </c>
    </row>
    <row r="257" spans="1:11">
      <c r="A257" s="232" t="s">
        <v>133</v>
      </c>
      <c r="B257" s="232" t="s">
        <v>457</v>
      </c>
      <c r="C257" s="232" t="s">
        <v>457</v>
      </c>
      <c r="D257" s="232" t="s">
        <v>3296</v>
      </c>
      <c r="E257" s="232" t="s">
        <v>2585</v>
      </c>
      <c r="F257" s="232" t="s">
        <v>142</v>
      </c>
      <c r="G257" s="232"/>
      <c r="H257" s="232" t="s">
        <v>460</v>
      </c>
      <c r="I257" s="232" t="s">
        <v>2389</v>
      </c>
      <c r="J257" s="233" t="str">
        <f t="shared" si="6"/>
        <v>GoldSOE Shyolkovsky Factory of Secondary Precious Metals</v>
      </c>
      <c r="K257" s="233" t="str">
        <f t="shared" si="7"/>
        <v>GoldSOE Shyolkovsky Factory of Secondary Precious Metals</v>
      </c>
    </row>
    <row r="258" spans="1:11">
      <c r="A258" s="232" t="s">
        <v>133</v>
      </c>
      <c r="B258" s="232" t="s">
        <v>1732</v>
      </c>
      <c r="C258" s="232" t="s">
        <v>1732</v>
      </c>
      <c r="D258" s="232" t="s">
        <v>3363</v>
      </c>
      <c r="E258" s="232" t="s">
        <v>1731</v>
      </c>
      <c r="F258" s="232" t="s">
        <v>142</v>
      </c>
      <c r="G258" s="232"/>
      <c r="H258" s="232" t="s">
        <v>1734</v>
      </c>
      <c r="I258" s="232" t="s">
        <v>1735</v>
      </c>
      <c r="J258" s="233" t="str">
        <f t="shared" si="6"/>
        <v>GoldSolar Applied Materials Technology Corp.</v>
      </c>
      <c r="K258" s="233" t="str">
        <f t="shared" si="7"/>
        <v>GoldSolar Applied Materials Technology Corp.</v>
      </c>
    </row>
    <row r="259" spans="1:11">
      <c r="A259" s="232" t="s">
        <v>133</v>
      </c>
      <c r="B259" s="232" t="s">
        <v>3365</v>
      </c>
      <c r="C259" s="232" t="s">
        <v>1732</v>
      </c>
      <c r="D259" s="232" t="s">
        <v>3363</v>
      </c>
      <c r="E259" s="232" t="s">
        <v>1731</v>
      </c>
      <c r="F259" s="232" t="s">
        <v>142</v>
      </c>
      <c r="G259" s="232"/>
      <c r="H259" s="232" t="s">
        <v>1734</v>
      </c>
      <c r="I259" s="232" t="s">
        <v>1735</v>
      </c>
      <c r="J259" s="233" t="str">
        <f t="shared" si="6"/>
        <v>GoldSOLAR CHEMICALAPPLIED MATERIALS TECHNOLOGY (KUN SHAN)</v>
      </c>
      <c r="K259" s="233" t="str">
        <f t="shared" si="7"/>
        <v>GoldSOLAR CHEMICALAPPLIED MATERIALS TECHNOLOGY (KUN SHAN)</v>
      </c>
    </row>
    <row r="260" spans="1:11">
      <c r="A260" s="232" t="s">
        <v>133</v>
      </c>
      <c r="B260" s="232" t="s">
        <v>3366</v>
      </c>
      <c r="C260" s="232" t="s">
        <v>1732</v>
      </c>
      <c r="D260" s="232" t="s">
        <v>3363</v>
      </c>
      <c r="E260" s="232" t="s">
        <v>1731</v>
      </c>
      <c r="F260" s="232" t="s">
        <v>142</v>
      </c>
      <c r="G260" s="232"/>
      <c r="H260" s="232" t="s">
        <v>1734</v>
      </c>
      <c r="I260" s="232" t="s">
        <v>1735</v>
      </c>
      <c r="J260" s="233" t="str">
        <f t="shared" si="6"/>
        <v>GoldSolartech</v>
      </c>
      <c r="K260" s="233" t="str">
        <f t="shared" si="7"/>
        <v>GoldSolartech</v>
      </c>
    </row>
    <row r="261" spans="1:11">
      <c r="A261" s="232" t="s">
        <v>133</v>
      </c>
      <c r="B261" s="232" t="s">
        <v>1744</v>
      </c>
      <c r="C261" s="232" t="s">
        <v>1744</v>
      </c>
      <c r="D261" s="232" t="s">
        <v>3275</v>
      </c>
      <c r="E261" s="232" t="s">
        <v>1743</v>
      </c>
      <c r="F261" s="232" t="s">
        <v>142</v>
      </c>
      <c r="G261" s="232"/>
      <c r="H261" s="232" t="s">
        <v>1745</v>
      </c>
      <c r="I261" s="232" t="s">
        <v>1746</v>
      </c>
      <c r="J261" s="233" t="str">
        <f t="shared" ref="J261:J324" si="8">A261&amp;B261</f>
        <v>GoldSovereign Metals</v>
      </c>
      <c r="K261" s="233" t="str">
        <f t="shared" ref="K261:K324" si="9">A261&amp;B261</f>
        <v>GoldSovereign Metals</v>
      </c>
    </row>
    <row r="262" spans="1:11">
      <c r="A262" s="232" t="s">
        <v>133</v>
      </c>
      <c r="B262" s="232" t="s">
        <v>1751</v>
      </c>
      <c r="C262" s="232" t="s">
        <v>1751</v>
      </c>
      <c r="D262" s="232" t="s">
        <v>3367</v>
      </c>
      <c r="E262" s="232" t="s">
        <v>1750</v>
      </c>
      <c r="F262" s="232" t="s">
        <v>142</v>
      </c>
      <c r="G262" s="232"/>
      <c r="H262" s="232" t="s">
        <v>1754</v>
      </c>
      <c r="I262" s="232" t="s">
        <v>1754</v>
      </c>
      <c r="J262" s="233" t="str">
        <f t="shared" si="8"/>
        <v>GoldState Research Institute Center for Physical Sciences and Technology</v>
      </c>
      <c r="K262" s="233" t="str">
        <f t="shared" si="9"/>
        <v>GoldState Research Institute Center for Physical Sciences and Technology</v>
      </c>
    </row>
    <row r="263" spans="1:11">
      <c r="A263" s="232" t="s">
        <v>133</v>
      </c>
      <c r="B263" s="232" t="s">
        <v>1759</v>
      </c>
      <c r="C263" s="232" t="s">
        <v>1759</v>
      </c>
      <c r="D263" s="232" t="s">
        <v>3368</v>
      </c>
      <c r="E263" s="232" t="s">
        <v>1758</v>
      </c>
      <c r="F263" s="232" t="s">
        <v>142</v>
      </c>
      <c r="G263" s="232"/>
      <c r="H263" s="232" t="s">
        <v>1762</v>
      </c>
      <c r="I263" s="232" t="s">
        <v>1762</v>
      </c>
      <c r="J263" s="233" t="str">
        <f t="shared" si="8"/>
        <v>GoldSudan Gold Refinery</v>
      </c>
      <c r="K263" s="233" t="str">
        <f t="shared" si="9"/>
        <v>GoldSudan Gold Refinery</v>
      </c>
    </row>
    <row r="264" spans="1:11">
      <c r="A264" s="232" t="s">
        <v>133</v>
      </c>
      <c r="B264" s="232" t="s">
        <v>3369</v>
      </c>
      <c r="C264" s="232" t="s">
        <v>885</v>
      </c>
      <c r="D264" s="232" t="s">
        <v>3257</v>
      </c>
      <c r="E264" s="232" t="s">
        <v>883</v>
      </c>
      <c r="F264" s="232" t="s">
        <v>142</v>
      </c>
      <c r="G264" s="232"/>
      <c r="H264" s="232" t="s">
        <v>887</v>
      </c>
      <c r="I264" s="232" t="s">
        <v>888</v>
      </c>
      <c r="J264" s="233" t="str">
        <f t="shared" si="8"/>
        <v>GoldSumitomo Kinzoku Kozan K.K.</v>
      </c>
      <c r="K264" s="233" t="str">
        <f t="shared" si="9"/>
        <v>GoldSumitomo Kinzoku Kozan K.K.</v>
      </c>
    </row>
    <row r="265" spans="1:11">
      <c r="A265" s="232" t="s">
        <v>133</v>
      </c>
      <c r="B265" s="232" t="s">
        <v>885</v>
      </c>
      <c r="C265" s="232" t="s">
        <v>885</v>
      </c>
      <c r="D265" s="232" t="s">
        <v>3257</v>
      </c>
      <c r="E265" s="232" t="s">
        <v>883</v>
      </c>
      <c r="F265" s="232" t="s">
        <v>142</v>
      </c>
      <c r="G265" s="232"/>
      <c r="H265" s="232" t="s">
        <v>887</v>
      </c>
      <c r="I265" s="232" t="s">
        <v>888</v>
      </c>
      <c r="J265" s="233" t="str">
        <f t="shared" si="8"/>
        <v>GoldSumitomo Metal Mining Co., Ltd.</v>
      </c>
      <c r="K265" s="233" t="str">
        <f t="shared" si="9"/>
        <v>GoldSumitomo Metal Mining Co., Ltd.</v>
      </c>
    </row>
    <row r="266" spans="1:11">
      <c r="A266" s="232" t="s">
        <v>133</v>
      </c>
      <c r="B266" s="232" t="s">
        <v>1767</v>
      </c>
      <c r="C266" s="232" t="s">
        <v>1767</v>
      </c>
      <c r="D266" s="232" t="s">
        <v>3290</v>
      </c>
      <c r="E266" s="232" t="s">
        <v>1766</v>
      </c>
      <c r="F266" s="232" t="s">
        <v>142</v>
      </c>
      <c r="G266" s="232"/>
      <c r="H266" s="232" t="s">
        <v>1769</v>
      </c>
      <c r="I266" s="232" t="s">
        <v>1770</v>
      </c>
      <c r="J266" s="233" t="str">
        <f t="shared" si="8"/>
        <v>GoldSungEel HiMetal Co., Ltd.</v>
      </c>
      <c r="K266" s="233" t="str">
        <f t="shared" si="9"/>
        <v>GoldSungEel HiMetal Co., Ltd.</v>
      </c>
    </row>
    <row r="267" spans="1:11">
      <c r="A267" s="232" t="s">
        <v>133</v>
      </c>
      <c r="B267" s="232" t="s">
        <v>3370</v>
      </c>
      <c r="C267" s="232" t="s">
        <v>1767</v>
      </c>
      <c r="D267" s="232" t="s">
        <v>3290</v>
      </c>
      <c r="E267" s="232" t="s">
        <v>1766</v>
      </c>
      <c r="F267" s="232" t="s">
        <v>142</v>
      </c>
      <c r="G267" s="232"/>
      <c r="H267" s="232" t="s">
        <v>1769</v>
      </c>
      <c r="I267" s="232" t="s">
        <v>1770</v>
      </c>
      <c r="J267" s="233" t="str">
        <f t="shared" si="8"/>
        <v>GoldSungEel HiTech</v>
      </c>
      <c r="K267" s="233" t="str">
        <f t="shared" si="9"/>
        <v>GoldSungEel HiTech</v>
      </c>
    </row>
    <row r="268" spans="1:11">
      <c r="A268" s="232" t="s">
        <v>133</v>
      </c>
      <c r="B268" s="232" t="s">
        <v>368</v>
      </c>
      <c r="C268" s="232" t="s">
        <v>368</v>
      </c>
      <c r="D268" s="232" t="s">
        <v>3363</v>
      </c>
      <c r="E268" s="232" t="s">
        <v>367</v>
      </c>
      <c r="F268" s="232" t="s">
        <v>142</v>
      </c>
      <c r="G268" s="232"/>
      <c r="H268" s="232" t="s">
        <v>370</v>
      </c>
      <c r="I268" s="232" t="s">
        <v>370</v>
      </c>
      <c r="J268" s="233" t="str">
        <f t="shared" si="8"/>
        <v>GoldSuper Dragon Technology Co., Ltd.</v>
      </c>
      <c r="K268" s="233" t="str">
        <f t="shared" si="9"/>
        <v>GoldSuper Dragon Technology Co., Ltd.</v>
      </c>
    </row>
    <row r="269" spans="1:11">
      <c r="A269" s="232" t="s">
        <v>133</v>
      </c>
      <c r="B269" s="232" t="s">
        <v>2055</v>
      </c>
      <c r="C269" s="232" t="s">
        <v>2055</v>
      </c>
      <c r="D269" s="232" t="s">
        <v>3248</v>
      </c>
      <c r="E269" s="232" t="s">
        <v>2054</v>
      </c>
      <c r="F269" s="232" t="s">
        <v>142</v>
      </c>
      <c r="G269" s="232"/>
      <c r="H269" s="232" t="s">
        <v>2057</v>
      </c>
      <c r="I269" s="232" t="s">
        <v>502</v>
      </c>
      <c r="J269" s="233" t="str">
        <f t="shared" si="8"/>
        <v>GoldT.C.A S.p.A</v>
      </c>
      <c r="K269" s="233" t="str">
        <f t="shared" si="9"/>
        <v>GoldT.C.A S.p.A</v>
      </c>
    </row>
    <row r="270" spans="1:11">
      <c r="A270" s="232" t="s">
        <v>133</v>
      </c>
      <c r="B270" s="232" t="s">
        <v>3371</v>
      </c>
      <c r="C270" s="232" t="s">
        <v>1589</v>
      </c>
      <c r="D270" s="232" t="s">
        <v>3257</v>
      </c>
      <c r="E270" s="232" t="s">
        <v>3004</v>
      </c>
      <c r="F270" s="232" t="s">
        <v>142</v>
      </c>
      <c r="G270" s="232"/>
      <c r="H270" s="232" t="s">
        <v>3006</v>
      </c>
      <c r="I270" s="232" t="s">
        <v>3007</v>
      </c>
      <c r="J270" s="233" t="str">
        <f t="shared" si="8"/>
        <v>GoldTakehara Refinery</v>
      </c>
      <c r="K270" s="233" t="str">
        <f t="shared" si="9"/>
        <v>GoldTakehara Refinery</v>
      </c>
    </row>
    <row r="271" spans="1:11">
      <c r="A271" s="232" t="s">
        <v>133</v>
      </c>
      <c r="B271" s="232" t="s">
        <v>3372</v>
      </c>
      <c r="C271" s="232" t="s">
        <v>1352</v>
      </c>
      <c r="D271" s="232" t="s">
        <v>3257</v>
      </c>
      <c r="E271" s="232" t="s">
        <v>1350</v>
      </c>
      <c r="F271" s="232" t="s">
        <v>142</v>
      </c>
      <c r="G271" s="232"/>
      <c r="H271" s="232" t="s">
        <v>1353</v>
      </c>
      <c r="I271" s="232" t="s">
        <v>1354</v>
      </c>
      <c r="J271" s="233" t="str">
        <f t="shared" si="8"/>
        <v>GoldTamano Smelter</v>
      </c>
      <c r="K271" s="233" t="str">
        <f t="shared" si="9"/>
        <v>GoldTamano Smelter</v>
      </c>
    </row>
    <row r="272" spans="1:11">
      <c r="A272" s="232" t="s">
        <v>133</v>
      </c>
      <c r="B272" s="232" t="s">
        <v>3373</v>
      </c>
      <c r="C272" s="232" t="s">
        <v>809</v>
      </c>
      <c r="D272" s="232" t="s">
        <v>3257</v>
      </c>
      <c r="E272" s="232" t="s">
        <v>807</v>
      </c>
      <c r="F272" s="232" t="s">
        <v>142</v>
      </c>
      <c r="G272" s="232"/>
      <c r="H272" s="232" t="s">
        <v>810</v>
      </c>
      <c r="I272" s="232" t="s">
        <v>811</v>
      </c>
      <c r="J272" s="233" t="str">
        <f t="shared" si="8"/>
        <v>GoldTanaka Denshi Kogyo K.K</v>
      </c>
      <c r="K272" s="233" t="str">
        <f t="shared" si="9"/>
        <v>GoldTanaka Denshi Kogyo K.K</v>
      </c>
    </row>
    <row r="273" spans="1:11">
      <c r="A273" s="232" t="s">
        <v>133</v>
      </c>
      <c r="B273" s="232" t="s">
        <v>3374</v>
      </c>
      <c r="C273" s="232" t="s">
        <v>809</v>
      </c>
      <c r="D273" s="232" t="s">
        <v>3257</v>
      </c>
      <c r="E273" s="232" t="s">
        <v>807</v>
      </c>
      <c r="F273" s="232" t="s">
        <v>142</v>
      </c>
      <c r="G273" s="232"/>
      <c r="H273" s="232" t="s">
        <v>810</v>
      </c>
      <c r="I273" s="232" t="s">
        <v>811</v>
      </c>
      <c r="J273" s="233" t="str">
        <f t="shared" si="8"/>
        <v>GoldTanaka Electronics (Hong Kong) Pte. Ltd.</v>
      </c>
      <c r="K273" s="233" t="str">
        <f t="shared" si="9"/>
        <v>GoldTanaka Electronics (Hong Kong) Pte. Ltd.</v>
      </c>
    </row>
    <row r="274" spans="1:11">
      <c r="A274" s="232" t="s">
        <v>133</v>
      </c>
      <c r="B274" s="232" t="s">
        <v>3375</v>
      </c>
      <c r="C274" s="232" t="s">
        <v>809</v>
      </c>
      <c r="D274" s="232" t="s">
        <v>3257</v>
      </c>
      <c r="E274" s="232" t="s">
        <v>807</v>
      </c>
      <c r="F274" s="232" t="s">
        <v>142</v>
      </c>
      <c r="G274" s="232"/>
      <c r="H274" s="232" t="s">
        <v>810</v>
      </c>
      <c r="I274" s="232" t="s">
        <v>811</v>
      </c>
      <c r="J274" s="233" t="str">
        <f t="shared" si="8"/>
        <v>GoldTANAKA Electronics (Malaysia) SDN. BHD.</v>
      </c>
      <c r="K274" s="233" t="str">
        <f t="shared" si="9"/>
        <v>GoldTANAKA Electronics (Malaysia) SDN. BHD.</v>
      </c>
    </row>
    <row r="275" spans="1:11">
      <c r="A275" s="232" t="s">
        <v>133</v>
      </c>
      <c r="B275" s="232" t="s">
        <v>3376</v>
      </c>
      <c r="C275" s="232" t="s">
        <v>809</v>
      </c>
      <c r="D275" s="232" t="s">
        <v>3257</v>
      </c>
      <c r="E275" s="232" t="s">
        <v>807</v>
      </c>
      <c r="F275" s="232" t="s">
        <v>142</v>
      </c>
      <c r="G275" s="232"/>
      <c r="H275" s="232" t="s">
        <v>810</v>
      </c>
      <c r="I275" s="232" t="s">
        <v>811</v>
      </c>
      <c r="J275" s="233" t="str">
        <f t="shared" si="8"/>
        <v>GoldTanaka Electronics (Singapore) Pte. Ltd.</v>
      </c>
      <c r="K275" s="233" t="str">
        <f t="shared" si="9"/>
        <v>GoldTanaka Electronics (Singapore) Pte. Ltd.</v>
      </c>
    </row>
    <row r="276" spans="1:11">
      <c r="A276" s="232" t="s">
        <v>133</v>
      </c>
      <c r="B276" s="232" t="s">
        <v>3377</v>
      </c>
      <c r="C276" s="232" t="s">
        <v>809</v>
      </c>
      <c r="D276" s="232" t="s">
        <v>3257</v>
      </c>
      <c r="E276" s="232" t="s">
        <v>807</v>
      </c>
      <c r="F276" s="232" t="s">
        <v>142</v>
      </c>
      <c r="G276" s="232"/>
      <c r="H276" s="232" t="s">
        <v>810</v>
      </c>
      <c r="I276" s="232" t="s">
        <v>811</v>
      </c>
      <c r="J276" s="233" t="str">
        <f t="shared" si="8"/>
        <v>GoldTanaka Kikinzoku International</v>
      </c>
      <c r="K276" s="233" t="str">
        <f t="shared" si="9"/>
        <v>GoldTanaka Kikinzoku International</v>
      </c>
    </row>
    <row r="277" spans="1:11">
      <c r="A277" s="232" t="s">
        <v>133</v>
      </c>
      <c r="B277" s="232" t="s">
        <v>3378</v>
      </c>
      <c r="C277" s="232" t="s">
        <v>809</v>
      </c>
      <c r="D277" s="232" t="s">
        <v>3257</v>
      </c>
      <c r="E277" s="232" t="s">
        <v>807</v>
      </c>
      <c r="F277" s="232" t="s">
        <v>142</v>
      </c>
      <c r="G277" s="232"/>
      <c r="H277" s="232" t="s">
        <v>810</v>
      </c>
      <c r="I277" s="232" t="s">
        <v>811</v>
      </c>
      <c r="J277" s="233" t="str">
        <f t="shared" si="8"/>
        <v>GoldTanaka Kikinzoku Kogyo K.K</v>
      </c>
      <c r="K277" s="233" t="str">
        <f t="shared" si="9"/>
        <v>GoldTanaka Kikinzoku Kogyo K.K</v>
      </c>
    </row>
    <row r="278" spans="1:11">
      <c r="A278" s="232" t="s">
        <v>133</v>
      </c>
      <c r="B278" s="232" t="s">
        <v>809</v>
      </c>
      <c r="C278" s="232" t="s">
        <v>809</v>
      </c>
      <c r="D278" s="232" t="s">
        <v>3257</v>
      </c>
      <c r="E278" s="232" t="s">
        <v>807</v>
      </c>
      <c r="F278" s="232" t="s">
        <v>142</v>
      </c>
      <c r="G278" s="232"/>
      <c r="H278" s="232" t="s">
        <v>810</v>
      </c>
      <c r="I278" s="228" t="s">
        <v>811</v>
      </c>
      <c r="J278" s="233" t="str">
        <f t="shared" si="8"/>
        <v>GoldTanaka Kikinzoku Kogyo K.K.</v>
      </c>
      <c r="K278" s="233" t="str">
        <f t="shared" si="9"/>
        <v>GoldTanaka Kikinzoku Kogyo K.K.</v>
      </c>
    </row>
    <row r="279" spans="1:11">
      <c r="A279" s="232" t="s">
        <v>133</v>
      </c>
      <c r="B279" s="232" t="s">
        <v>808</v>
      </c>
      <c r="C279" s="232" t="s">
        <v>809</v>
      </c>
      <c r="D279" s="232" t="s">
        <v>3257</v>
      </c>
      <c r="E279" s="232" t="s">
        <v>807</v>
      </c>
      <c r="F279" s="232" t="s">
        <v>142</v>
      </c>
      <c r="G279" s="232"/>
      <c r="H279" s="232" t="s">
        <v>810</v>
      </c>
      <c r="I279" s="228" t="s">
        <v>811</v>
      </c>
      <c r="J279" s="233" t="str">
        <f t="shared" si="8"/>
        <v>GoldTanaka Precious Metals</v>
      </c>
      <c r="K279" s="233" t="str">
        <f t="shared" si="9"/>
        <v>GoldTanaka Precious Metals</v>
      </c>
    </row>
    <row r="280" spans="1:11">
      <c r="A280" s="232" t="s">
        <v>133</v>
      </c>
      <c r="B280" s="232" t="s">
        <v>2983</v>
      </c>
      <c r="C280" s="232" t="s">
        <v>2985</v>
      </c>
      <c r="D280" s="232" t="s">
        <v>2818</v>
      </c>
      <c r="E280" s="232" t="s">
        <v>2984</v>
      </c>
      <c r="F280" s="232" t="s">
        <v>142</v>
      </c>
      <c r="G280" s="232"/>
      <c r="H280" s="232" t="s">
        <v>2242</v>
      </c>
      <c r="I280" s="232" t="s">
        <v>2243</v>
      </c>
      <c r="J280" s="233" t="str">
        <f t="shared" si="8"/>
        <v>GoldThe Great Wall Gold and Silver Refinery of China</v>
      </c>
      <c r="K280" s="233" t="str">
        <f t="shared" si="9"/>
        <v>GoldThe Great Wall Gold and Silver Refinery of China</v>
      </c>
    </row>
    <row r="281" spans="1:11">
      <c r="A281" s="232" t="s">
        <v>133</v>
      </c>
      <c r="B281" s="232" t="s">
        <v>3379</v>
      </c>
      <c r="C281" s="232" t="s">
        <v>3256</v>
      </c>
      <c r="D281" s="232" t="s">
        <v>2123</v>
      </c>
      <c r="E281" s="232" t="s">
        <v>1541</v>
      </c>
      <c r="F281" s="232" t="s">
        <v>142</v>
      </c>
      <c r="G281" s="232"/>
      <c r="H281" s="232" t="s">
        <v>1543</v>
      </c>
      <c r="I281" s="232" t="s">
        <v>1544</v>
      </c>
      <c r="J281" s="233" t="str">
        <f t="shared" si="8"/>
        <v>GoldThe Perth Mint</v>
      </c>
      <c r="K281" s="233" t="str">
        <f t="shared" si="9"/>
        <v>GoldThe Perth Mint</v>
      </c>
    </row>
    <row r="282" spans="1:11">
      <c r="A282" s="232" t="s">
        <v>133</v>
      </c>
      <c r="B282" s="232" t="s">
        <v>813</v>
      </c>
      <c r="C282" s="232" t="s">
        <v>2551</v>
      </c>
      <c r="D282" s="232" t="s">
        <v>2818</v>
      </c>
      <c r="E282" s="232" t="s">
        <v>812</v>
      </c>
      <c r="F282" s="232" t="s">
        <v>142</v>
      </c>
      <c r="G282" s="232"/>
      <c r="H282" s="232" t="s">
        <v>448</v>
      </c>
      <c r="I282" s="228" t="s">
        <v>419</v>
      </c>
      <c r="J282" s="233" t="str">
        <f t="shared" si="8"/>
        <v>GoldThe Refinery of Shandong Gold Mining Co., Ltd.</v>
      </c>
      <c r="K282" s="233" t="str">
        <f t="shared" si="9"/>
        <v>GoldThe Refinery of Shandong Gold Mining Co., Ltd.</v>
      </c>
    </row>
    <row r="283" spans="1:11">
      <c r="A283" s="232" t="s">
        <v>133</v>
      </c>
      <c r="B283" s="232" t="s">
        <v>2081</v>
      </c>
      <c r="C283" s="232" t="s">
        <v>2081</v>
      </c>
      <c r="D283" s="232" t="s">
        <v>3257</v>
      </c>
      <c r="E283" s="232" t="s">
        <v>2080</v>
      </c>
      <c r="F283" s="232" t="s">
        <v>142</v>
      </c>
      <c r="G283" s="232"/>
      <c r="H283" s="232" t="s">
        <v>2083</v>
      </c>
      <c r="I283" s="228" t="s">
        <v>265</v>
      </c>
      <c r="J283" s="233" t="str">
        <f t="shared" si="8"/>
        <v>GoldTokuriki Honten Co., Ltd.</v>
      </c>
      <c r="K283" s="233" t="str">
        <f t="shared" si="9"/>
        <v>GoldTokuriki Honten Co., Ltd.</v>
      </c>
    </row>
    <row r="284" spans="1:11">
      <c r="A284" s="232" t="s">
        <v>133</v>
      </c>
      <c r="B284" s="232" t="s">
        <v>2091</v>
      </c>
      <c r="C284" s="232" t="s">
        <v>2091</v>
      </c>
      <c r="D284" s="232" t="s">
        <v>2818</v>
      </c>
      <c r="E284" s="232" t="s">
        <v>2090</v>
      </c>
      <c r="F284" s="232" t="s">
        <v>142</v>
      </c>
      <c r="G284" s="232"/>
      <c r="H284" s="232" t="s">
        <v>2093</v>
      </c>
      <c r="I284" s="232" t="s">
        <v>2094</v>
      </c>
      <c r="J284" s="233" t="str">
        <f t="shared" si="8"/>
        <v>GoldTongling Nonferrous Metals Group Co., Ltd.</v>
      </c>
      <c r="K284" s="233" t="str">
        <f t="shared" si="9"/>
        <v>GoldTongling Nonferrous Metals Group Co., Ltd.</v>
      </c>
    </row>
    <row r="285" spans="1:11">
      <c r="A285" s="232" t="s">
        <v>133</v>
      </c>
      <c r="B285" s="232" t="s">
        <v>3380</v>
      </c>
      <c r="C285" s="232" t="s">
        <v>2091</v>
      </c>
      <c r="D285" s="232" t="s">
        <v>2818</v>
      </c>
      <c r="E285" s="232" t="s">
        <v>2090</v>
      </c>
      <c r="F285" s="232" t="s">
        <v>142</v>
      </c>
      <c r="G285" s="232"/>
      <c r="H285" s="232" t="s">
        <v>2093</v>
      </c>
      <c r="I285" s="232" t="s">
        <v>2094</v>
      </c>
      <c r="J285" s="233" t="str">
        <f t="shared" si="8"/>
        <v>GoldTongLing Nonferrous Metals Group Holdings Co., Ltd.</v>
      </c>
      <c r="K285" s="233" t="str">
        <f t="shared" si="9"/>
        <v>GoldTongLing Nonferrous Metals Group Holdings Co., Ltd.</v>
      </c>
    </row>
    <row r="286" spans="1:11">
      <c r="A286" s="232" t="s">
        <v>133</v>
      </c>
      <c r="B286" s="232" t="s">
        <v>2512</v>
      </c>
      <c r="C286" s="232" t="s">
        <v>2513</v>
      </c>
      <c r="D286" s="232" t="s">
        <v>3312</v>
      </c>
      <c r="E286" s="232" t="s">
        <v>2511</v>
      </c>
      <c r="F286" s="232" t="s">
        <v>142</v>
      </c>
      <c r="G286" s="232"/>
      <c r="H286" s="232" t="s">
        <v>933</v>
      </c>
      <c r="I286" s="232" t="s">
        <v>1793</v>
      </c>
      <c r="J286" s="233" t="str">
        <f t="shared" si="8"/>
        <v>GoldTony Goetz NV</v>
      </c>
      <c r="K286" s="233" t="str">
        <f t="shared" si="9"/>
        <v>GoldTony Goetz NV</v>
      </c>
    </row>
    <row r="287" spans="1:11">
      <c r="A287" s="232" t="s">
        <v>133</v>
      </c>
      <c r="B287" s="232" t="s">
        <v>2070</v>
      </c>
      <c r="C287" s="232" t="s">
        <v>2070</v>
      </c>
      <c r="D287" s="232" t="s">
        <v>3315</v>
      </c>
      <c r="E287" s="232" t="s">
        <v>2069</v>
      </c>
      <c r="F287" s="232" t="s">
        <v>142</v>
      </c>
      <c r="G287" s="232"/>
      <c r="H287" s="232" t="s">
        <v>2072</v>
      </c>
      <c r="I287" s="232" t="s">
        <v>2073</v>
      </c>
      <c r="J287" s="233" t="str">
        <f t="shared" si="8"/>
        <v>GoldTOO Tau-Ken-Altyn</v>
      </c>
      <c r="K287" s="233" t="str">
        <f t="shared" si="9"/>
        <v>GoldTOO Tau-Ken-Altyn</v>
      </c>
    </row>
    <row r="288" spans="1:11">
      <c r="A288" s="232" t="s">
        <v>133</v>
      </c>
      <c r="B288" s="232" t="s">
        <v>896</v>
      </c>
      <c r="C288" s="232" t="s">
        <v>896</v>
      </c>
      <c r="D288" s="232" t="s">
        <v>3290</v>
      </c>
      <c r="E288" s="232" t="s">
        <v>895</v>
      </c>
      <c r="F288" s="232" t="s">
        <v>142</v>
      </c>
      <c r="G288" s="232"/>
      <c r="H288" s="232" t="s">
        <v>898</v>
      </c>
      <c r="I288" s="232" t="s">
        <v>899</v>
      </c>
      <c r="J288" s="233" t="str">
        <f t="shared" si="8"/>
        <v>GoldTorecom</v>
      </c>
      <c r="K288" s="233" t="str">
        <f t="shared" si="9"/>
        <v>GoldTorecom</v>
      </c>
    </row>
    <row r="289" spans="1:11">
      <c r="A289" s="232" t="s">
        <v>133</v>
      </c>
      <c r="B289" s="232" t="s">
        <v>3381</v>
      </c>
      <c r="C289" s="232" t="s">
        <v>591</v>
      </c>
      <c r="D289" s="232" t="s">
        <v>3265</v>
      </c>
      <c r="E289" s="232" t="s">
        <v>590</v>
      </c>
      <c r="F289" s="232" t="s">
        <v>142</v>
      </c>
      <c r="G289" s="232"/>
      <c r="H289" s="232" t="s">
        <v>593</v>
      </c>
      <c r="I289" s="232" t="s">
        <v>594</v>
      </c>
      <c r="J289" s="233" t="str">
        <f t="shared" si="8"/>
        <v>GoldUbro-Union of Brazilian Refiners</v>
      </c>
      <c r="K289" s="233" t="str">
        <f t="shared" si="9"/>
        <v>GoldUbro-Union of Brazilian Refiners</v>
      </c>
    </row>
    <row r="290" spans="1:11">
      <c r="A290" s="232" t="s">
        <v>133</v>
      </c>
      <c r="B290" s="232" t="s">
        <v>3382</v>
      </c>
      <c r="C290" s="232" t="s">
        <v>3168</v>
      </c>
      <c r="D290" s="232" t="s">
        <v>3290</v>
      </c>
      <c r="E290" s="232" t="s">
        <v>3167</v>
      </c>
      <c r="F290" s="232" t="s">
        <v>142</v>
      </c>
      <c r="G290" s="232"/>
      <c r="H290" s="232" t="s">
        <v>3170</v>
      </c>
      <c r="I290" s="232" t="s">
        <v>3171</v>
      </c>
      <c r="J290" s="233" t="str">
        <f t="shared" si="8"/>
        <v>GoldUlsan LS</v>
      </c>
      <c r="K290" s="233" t="str">
        <f t="shared" si="9"/>
        <v>GoldUlsan LS</v>
      </c>
    </row>
    <row r="291" spans="1:11">
      <c r="A291" s="232" t="s">
        <v>133</v>
      </c>
      <c r="B291" s="232" t="s">
        <v>3383</v>
      </c>
      <c r="C291" s="232" t="s">
        <v>1791</v>
      </c>
      <c r="D291" s="232" t="s">
        <v>3312</v>
      </c>
      <c r="E291" s="232" t="s">
        <v>1790</v>
      </c>
      <c r="F291" s="232" t="s">
        <v>142</v>
      </c>
      <c r="G291" s="232"/>
      <c r="H291" s="232" t="s">
        <v>932</v>
      </c>
      <c r="I291" s="232" t="s">
        <v>1793</v>
      </c>
      <c r="J291" s="233" t="str">
        <f t="shared" si="8"/>
        <v>GoldUmicore Precious Metals Refining Hoboken</v>
      </c>
      <c r="K291" s="233" t="str">
        <f t="shared" si="9"/>
        <v>GoldUmicore Precious Metals Refining Hoboken</v>
      </c>
    </row>
    <row r="292" spans="1:11">
      <c r="A292" s="232" t="s">
        <v>133</v>
      </c>
      <c r="B292" s="232" t="s">
        <v>1780</v>
      </c>
      <c r="C292" s="232" t="s">
        <v>1780</v>
      </c>
      <c r="D292" s="232" t="s">
        <v>3384</v>
      </c>
      <c r="E292" s="232" t="s">
        <v>1779</v>
      </c>
      <c r="F292" s="232" t="s">
        <v>142</v>
      </c>
      <c r="G292" s="232"/>
      <c r="H292" s="232" t="s">
        <v>1782</v>
      </c>
      <c r="I292" s="228" t="s">
        <v>1783</v>
      </c>
      <c r="J292" s="233" t="str">
        <f t="shared" si="8"/>
        <v>GoldUmicore Precious Metals Thailand</v>
      </c>
      <c r="K292" s="233" t="str">
        <f t="shared" si="9"/>
        <v>GoldUmicore Precious Metals Thailand</v>
      </c>
    </row>
    <row r="293" spans="1:11">
      <c r="A293" s="232" t="s">
        <v>133</v>
      </c>
      <c r="B293" s="232" t="s">
        <v>1791</v>
      </c>
      <c r="C293" s="232" t="s">
        <v>1791</v>
      </c>
      <c r="D293" s="232" t="s">
        <v>3312</v>
      </c>
      <c r="E293" s="232" t="s">
        <v>1790</v>
      </c>
      <c r="F293" s="232" t="s">
        <v>142</v>
      </c>
      <c r="G293" s="232"/>
      <c r="H293" s="232" t="s">
        <v>932</v>
      </c>
      <c r="I293" s="228" t="s">
        <v>1793</v>
      </c>
      <c r="J293" s="233" t="str">
        <f t="shared" si="8"/>
        <v>GoldUmicore S.A. Business Unit Precious Metals Refining</v>
      </c>
      <c r="K293" s="233" t="str">
        <f t="shared" si="9"/>
        <v>GoldUmicore S.A. Business Unit Precious Metals Refining</v>
      </c>
    </row>
    <row r="294" spans="1:11">
      <c r="A294" s="232" t="s">
        <v>133</v>
      </c>
      <c r="B294" s="232" t="s">
        <v>935</v>
      </c>
      <c r="C294" s="232" t="s">
        <v>935</v>
      </c>
      <c r="D294" s="232" t="s">
        <v>3251</v>
      </c>
      <c r="E294" s="232" t="s">
        <v>934</v>
      </c>
      <c r="F294" s="232" t="s">
        <v>142</v>
      </c>
      <c r="G294" s="232"/>
      <c r="H294" s="232" t="s">
        <v>937</v>
      </c>
      <c r="I294" s="232" t="s">
        <v>606</v>
      </c>
      <c r="J294" s="233" t="str">
        <f t="shared" si="8"/>
        <v>GoldUnited Precious Metal Refining, Inc.</v>
      </c>
      <c r="K294" s="233" t="str">
        <f t="shared" si="9"/>
        <v>GoldUnited Precious Metal Refining, Inc.</v>
      </c>
    </row>
    <row r="295" spans="1:11">
      <c r="A295" s="232" t="s">
        <v>133</v>
      </c>
      <c r="B295" s="232" t="s">
        <v>2100</v>
      </c>
      <c r="C295" s="232" t="s">
        <v>2100</v>
      </c>
      <c r="D295" s="232" t="s">
        <v>3270</v>
      </c>
      <c r="E295" s="232" t="s">
        <v>2098</v>
      </c>
      <c r="F295" s="232" t="s">
        <v>142</v>
      </c>
      <c r="G295" s="232"/>
      <c r="H295" s="232" t="s">
        <v>2102</v>
      </c>
      <c r="I295" s="232" t="s">
        <v>445</v>
      </c>
      <c r="J295" s="233" t="str">
        <f t="shared" si="8"/>
        <v>GoldValcambi S.A.</v>
      </c>
      <c r="K295" s="233" t="str">
        <f t="shared" si="9"/>
        <v>GoldValcambi S.A.</v>
      </c>
    </row>
    <row r="296" spans="1:11">
      <c r="A296" s="232" t="s">
        <v>133</v>
      </c>
      <c r="B296" s="232" t="s">
        <v>2110</v>
      </c>
      <c r="C296" s="232" t="s">
        <v>2110</v>
      </c>
      <c r="D296" s="232" t="s">
        <v>3312</v>
      </c>
      <c r="E296" s="232" t="s">
        <v>2109</v>
      </c>
      <c r="F296" s="232" t="s">
        <v>142</v>
      </c>
      <c r="G296" s="232"/>
      <c r="H296" s="232" t="s">
        <v>933</v>
      </c>
      <c r="I296" s="232" t="s">
        <v>1793</v>
      </c>
      <c r="J296" s="233" t="str">
        <f t="shared" si="8"/>
        <v>GoldValue Trading</v>
      </c>
      <c r="K296" s="233" t="str">
        <f t="shared" si="9"/>
        <v>GoldValue Trading</v>
      </c>
    </row>
    <row r="297" spans="1:11">
      <c r="A297" s="232" t="s">
        <v>133</v>
      </c>
      <c r="B297" s="232" t="s">
        <v>2118</v>
      </c>
      <c r="C297" s="232" t="s">
        <v>2118</v>
      </c>
      <c r="D297" s="232" t="s">
        <v>3347</v>
      </c>
      <c r="E297" s="232" t="s">
        <v>2117</v>
      </c>
      <c r="F297" s="232" t="s">
        <v>142</v>
      </c>
      <c r="G297" s="232"/>
      <c r="H297" s="232" t="s">
        <v>3385</v>
      </c>
      <c r="I297" s="232" t="s">
        <v>2120</v>
      </c>
      <c r="J297" s="233" t="str">
        <f t="shared" si="8"/>
        <v>GoldWEEEREFINING</v>
      </c>
      <c r="K297" s="233" t="str">
        <f t="shared" si="9"/>
        <v>GoldWEEEREFINING</v>
      </c>
    </row>
    <row r="298" spans="1:11">
      <c r="A298" s="232" t="s">
        <v>133</v>
      </c>
      <c r="B298" s="232" t="s">
        <v>3256</v>
      </c>
      <c r="C298" s="232" t="s">
        <v>3256</v>
      </c>
      <c r="D298" s="232" t="s">
        <v>2123</v>
      </c>
      <c r="E298" s="232" t="s">
        <v>1541</v>
      </c>
      <c r="F298" s="232" t="s">
        <v>142</v>
      </c>
      <c r="G298" s="232"/>
      <c r="H298" s="232" t="s">
        <v>1543</v>
      </c>
      <c r="I298" s="232" t="s">
        <v>1544</v>
      </c>
      <c r="J298" s="233" t="str">
        <f t="shared" si="8"/>
        <v>GoldWestern Australian Mint (T/a The Perth Mint)</v>
      </c>
      <c r="K298" s="233" t="str">
        <f t="shared" si="9"/>
        <v>GoldWestern Australian Mint (T/a The Perth Mint)</v>
      </c>
    </row>
    <row r="299" spans="1:11">
      <c r="A299" s="232" t="s">
        <v>133</v>
      </c>
      <c r="B299" s="232" t="s">
        <v>1186</v>
      </c>
      <c r="C299" s="232" t="s">
        <v>1186</v>
      </c>
      <c r="D299" s="232" t="s">
        <v>3254</v>
      </c>
      <c r="E299" s="232" t="s">
        <v>1185</v>
      </c>
      <c r="F299" s="232" t="s">
        <v>142</v>
      </c>
      <c r="G299" s="232"/>
      <c r="H299" s="232" t="s">
        <v>181</v>
      </c>
      <c r="I299" s="232" t="s">
        <v>182</v>
      </c>
      <c r="J299" s="233" t="str">
        <f t="shared" si="8"/>
        <v>GoldWIELAND Edelmetalle GmbH</v>
      </c>
      <c r="K299" s="233" t="str">
        <f t="shared" si="9"/>
        <v>GoldWIELAND Edelmetalle GmbH</v>
      </c>
    </row>
    <row r="300" spans="1:11">
      <c r="A300" s="232" t="s">
        <v>133</v>
      </c>
      <c r="B300" s="232" t="s">
        <v>3386</v>
      </c>
      <c r="C300" s="232" t="s">
        <v>603</v>
      </c>
      <c r="D300" s="232" t="s">
        <v>3251</v>
      </c>
      <c r="E300" s="232" t="s">
        <v>602</v>
      </c>
      <c r="F300" s="232" t="s">
        <v>142</v>
      </c>
      <c r="G300" s="232"/>
      <c r="H300" s="232" t="s">
        <v>605</v>
      </c>
      <c r="I300" s="232" t="s">
        <v>606</v>
      </c>
      <c r="J300" s="233" t="str">
        <f t="shared" si="8"/>
        <v>GoldWilliams Advanced Materials</v>
      </c>
      <c r="K300" s="233" t="str">
        <f t="shared" si="9"/>
        <v>GoldWilliams Advanced Materials</v>
      </c>
    </row>
    <row r="301" spans="1:11">
      <c r="A301" s="232" t="s">
        <v>133</v>
      </c>
      <c r="B301" s="232" t="s">
        <v>1854</v>
      </c>
      <c r="C301" s="232" t="s">
        <v>1855</v>
      </c>
      <c r="D301" s="232" t="s">
        <v>3271</v>
      </c>
      <c r="E301" s="232" t="s">
        <v>1853</v>
      </c>
      <c r="F301" s="232" t="s">
        <v>142</v>
      </c>
      <c r="G301" s="232"/>
      <c r="H301" s="232" t="s">
        <v>1856</v>
      </c>
      <c r="I301" s="232" t="s">
        <v>1857</v>
      </c>
      <c r="J301" s="233" t="str">
        <f t="shared" si="8"/>
        <v>GoldXstrata</v>
      </c>
      <c r="K301" s="233" t="str">
        <f t="shared" si="9"/>
        <v>GoldXstrata</v>
      </c>
    </row>
    <row r="302" spans="1:11">
      <c r="A302" s="232" t="s">
        <v>133</v>
      </c>
      <c r="B302" s="232" t="s">
        <v>2252</v>
      </c>
      <c r="C302" s="232" t="s">
        <v>2252</v>
      </c>
      <c r="D302" s="232" t="s">
        <v>3257</v>
      </c>
      <c r="E302" s="232" t="s">
        <v>2250</v>
      </c>
      <c r="F302" s="232" t="s">
        <v>142</v>
      </c>
      <c r="G302" s="232"/>
      <c r="H302" s="232" t="s">
        <v>2254</v>
      </c>
      <c r="I302" s="232" t="s">
        <v>2255</v>
      </c>
      <c r="J302" s="233" t="str">
        <f t="shared" si="8"/>
        <v>GoldYamakin Co., Ltd.</v>
      </c>
      <c r="K302" s="233" t="str">
        <f t="shared" si="9"/>
        <v>GoldYamakin Co., Ltd.</v>
      </c>
    </row>
    <row r="303" spans="1:11">
      <c r="A303" s="232" t="s">
        <v>133</v>
      </c>
      <c r="B303" s="232" t="s">
        <v>3387</v>
      </c>
      <c r="C303" s="232" t="s">
        <v>2252</v>
      </c>
      <c r="D303" s="232" t="s">
        <v>3257</v>
      </c>
      <c r="E303" s="232" t="s">
        <v>2250</v>
      </c>
      <c r="F303" s="232" t="s">
        <v>142</v>
      </c>
      <c r="G303" s="232"/>
      <c r="H303" s="232" t="s">
        <v>2254</v>
      </c>
      <c r="I303" s="232" t="s">
        <v>2255</v>
      </c>
      <c r="J303" s="233" t="str">
        <f t="shared" si="8"/>
        <v>GoldYamamoto Precious Co., Ltd.</v>
      </c>
      <c r="K303" s="233" t="str">
        <f t="shared" si="9"/>
        <v>GoldYamamoto Precious Co., Ltd.</v>
      </c>
    </row>
    <row r="304" spans="1:11">
      <c r="A304" s="232" t="s">
        <v>133</v>
      </c>
      <c r="B304" s="232" t="s">
        <v>3388</v>
      </c>
      <c r="C304" s="232" t="s">
        <v>2252</v>
      </c>
      <c r="D304" s="232" t="s">
        <v>3257</v>
      </c>
      <c r="E304" s="232" t="s">
        <v>2250</v>
      </c>
      <c r="F304" s="232" t="s">
        <v>142</v>
      </c>
      <c r="G304" s="232"/>
      <c r="H304" s="232" t="s">
        <v>2254</v>
      </c>
      <c r="I304" s="232" t="s">
        <v>2255</v>
      </c>
      <c r="J304" s="233" t="str">
        <f t="shared" si="8"/>
        <v>GoldYamamoto Precious Metal Co., Ltd.</v>
      </c>
      <c r="K304" s="233" t="str">
        <f t="shared" si="9"/>
        <v>GoldYamamoto Precious Metal Co., Ltd.</v>
      </c>
    </row>
    <row r="305" spans="1:11">
      <c r="A305" s="232" t="s">
        <v>133</v>
      </c>
      <c r="B305" s="232" t="s">
        <v>2251</v>
      </c>
      <c r="C305" s="232" t="s">
        <v>2252</v>
      </c>
      <c r="D305" s="232" t="s">
        <v>3257</v>
      </c>
      <c r="E305" s="232" t="s">
        <v>2250</v>
      </c>
      <c r="F305" s="232" t="s">
        <v>142</v>
      </c>
      <c r="G305" s="232"/>
      <c r="H305" s="232" t="s">
        <v>2254</v>
      </c>
      <c r="I305" s="232" t="s">
        <v>2255</v>
      </c>
      <c r="J305" s="233" t="str">
        <f t="shared" si="8"/>
        <v>GoldYamamoto Precision Metals</v>
      </c>
      <c r="K305" s="233" t="str">
        <f t="shared" si="9"/>
        <v>GoldYamamoto Precision Metals</v>
      </c>
    </row>
    <row r="306" spans="1:11">
      <c r="A306" s="232" t="s">
        <v>133</v>
      </c>
      <c r="B306" s="232" t="s">
        <v>3389</v>
      </c>
      <c r="C306" s="232" t="s">
        <v>416</v>
      </c>
      <c r="D306" s="232" t="s">
        <v>2818</v>
      </c>
      <c r="E306" s="232" t="s">
        <v>414</v>
      </c>
      <c r="F306" s="232" t="s">
        <v>142</v>
      </c>
      <c r="G306" s="232"/>
      <c r="H306" s="232" t="s">
        <v>418</v>
      </c>
      <c r="I306" s="232" t="s">
        <v>419</v>
      </c>
      <c r="J306" s="233" t="str">
        <f t="shared" si="8"/>
        <v>GoldYantai NUS Safina tech environmental Refinery Co. Ltd.</v>
      </c>
      <c r="K306" s="233" t="str">
        <f t="shared" si="9"/>
        <v>GoldYantai NUS Safina tech environmental Refinery Co. Ltd.</v>
      </c>
    </row>
    <row r="307" spans="1:11">
      <c r="A307" s="232" t="s">
        <v>133</v>
      </c>
      <c r="B307" s="232" t="s">
        <v>2265</v>
      </c>
      <c r="C307" s="232" t="s">
        <v>2265</v>
      </c>
      <c r="D307" s="232" t="s">
        <v>3257</v>
      </c>
      <c r="E307" s="232" t="s">
        <v>2264</v>
      </c>
      <c r="F307" s="232" t="s">
        <v>142</v>
      </c>
      <c r="G307" s="232"/>
      <c r="H307" s="232" t="s">
        <v>2267</v>
      </c>
      <c r="I307" s="232" t="s">
        <v>811</v>
      </c>
      <c r="J307" s="233" t="str">
        <f t="shared" si="8"/>
        <v>GoldYokohama Metal Co., Ltd.</v>
      </c>
      <c r="K307" s="233" t="str">
        <f t="shared" si="9"/>
        <v>GoldYokohama Metal Co., Ltd.</v>
      </c>
    </row>
    <row r="308" spans="1:11">
      <c r="A308" s="232" t="s">
        <v>133</v>
      </c>
      <c r="B308" s="232" t="s">
        <v>2655</v>
      </c>
      <c r="C308" s="232" t="s">
        <v>2655</v>
      </c>
      <c r="D308" s="232" t="s">
        <v>2818</v>
      </c>
      <c r="E308" s="232" t="s">
        <v>2654</v>
      </c>
      <c r="F308" s="232" t="s">
        <v>142</v>
      </c>
      <c r="G308" s="232"/>
      <c r="H308" s="232" t="s">
        <v>2657</v>
      </c>
      <c r="I308" s="232" t="s">
        <v>1148</v>
      </c>
      <c r="J308" s="233" t="str">
        <f t="shared" si="8"/>
        <v>GoldYunnan Copper Industry Co., Ltd.</v>
      </c>
      <c r="K308" s="233" t="str">
        <f t="shared" si="9"/>
        <v>GoldYunnan Copper Industry Co., Ltd.</v>
      </c>
    </row>
    <row r="309" spans="1:11">
      <c r="A309" s="232" t="s">
        <v>133</v>
      </c>
      <c r="B309" s="232" t="s">
        <v>3390</v>
      </c>
      <c r="C309" s="232" t="s">
        <v>2965</v>
      </c>
      <c r="D309" s="232" t="s">
        <v>2818</v>
      </c>
      <c r="E309" s="232" t="s">
        <v>2963</v>
      </c>
      <c r="F309" s="232" t="s">
        <v>142</v>
      </c>
      <c r="G309" s="232"/>
      <c r="H309" s="232" t="s">
        <v>418</v>
      </c>
      <c r="I309" s="232" t="s">
        <v>419</v>
      </c>
      <c r="J309" s="233" t="str">
        <f t="shared" si="8"/>
        <v>GoldZhao Jin Mining Industry Co Ltd</v>
      </c>
      <c r="K309" s="233" t="str">
        <f t="shared" si="9"/>
        <v>GoldZhao Jin Mining Industry Co Ltd</v>
      </c>
    </row>
    <row r="310" spans="1:11">
      <c r="A310" s="232" t="s">
        <v>133</v>
      </c>
      <c r="B310" s="232" t="s">
        <v>3391</v>
      </c>
      <c r="C310" s="232" t="s">
        <v>2965</v>
      </c>
      <c r="D310" s="232" t="s">
        <v>2818</v>
      </c>
      <c r="E310" s="232" t="s">
        <v>2963</v>
      </c>
      <c r="F310" s="232" t="s">
        <v>142</v>
      </c>
      <c r="G310" s="232"/>
      <c r="H310" s="232" t="s">
        <v>418</v>
      </c>
      <c r="I310" s="232" t="s">
        <v>419</v>
      </c>
      <c r="J310" s="233" t="str">
        <f t="shared" si="8"/>
        <v>GoldZhao Yuan Gold Mine</v>
      </c>
      <c r="K310" s="233" t="str">
        <f t="shared" si="9"/>
        <v>GoldZhao Yuan Gold Mine</v>
      </c>
    </row>
    <row r="311" spans="1:11">
      <c r="A311" s="232" t="s">
        <v>133</v>
      </c>
      <c r="B311" s="232" t="s">
        <v>3392</v>
      </c>
      <c r="C311" s="232" t="s">
        <v>2965</v>
      </c>
      <c r="D311" s="232" t="s">
        <v>2818</v>
      </c>
      <c r="E311" s="232" t="s">
        <v>2963</v>
      </c>
      <c r="F311" s="232" t="s">
        <v>142</v>
      </c>
      <c r="G311" s="232"/>
      <c r="H311" s="232" t="s">
        <v>418</v>
      </c>
      <c r="I311" s="232" t="s">
        <v>419</v>
      </c>
      <c r="J311" s="233" t="str">
        <f t="shared" si="8"/>
        <v>GoldZhao Yuan Gold Smelter of ZhongJin</v>
      </c>
      <c r="K311" s="233" t="str">
        <f t="shared" si="9"/>
        <v>GoldZhao Yuan Gold Smelter of ZhongJin</v>
      </c>
    </row>
    <row r="312" spans="1:11">
      <c r="A312" s="232" t="s">
        <v>133</v>
      </c>
      <c r="B312" s="232" t="s">
        <v>3393</v>
      </c>
      <c r="C312" s="232" t="s">
        <v>2965</v>
      </c>
      <c r="D312" s="232" t="s">
        <v>2818</v>
      </c>
      <c r="E312" s="232" t="s">
        <v>2963</v>
      </c>
      <c r="F312" s="232" t="s">
        <v>142</v>
      </c>
      <c r="G312" s="232"/>
      <c r="H312" s="232" t="s">
        <v>418</v>
      </c>
      <c r="I312" s="232" t="s">
        <v>419</v>
      </c>
      <c r="J312" s="233" t="str">
        <f t="shared" si="8"/>
        <v>GoldZhao Yuan Jin Kuang</v>
      </c>
      <c r="K312" s="233" t="str">
        <f t="shared" si="9"/>
        <v>GoldZhao Yuan Jin Kuang</v>
      </c>
    </row>
    <row r="313" spans="1:11">
      <c r="A313" s="232" t="s">
        <v>133</v>
      </c>
      <c r="B313" s="232" t="s">
        <v>3394</v>
      </c>
      <c r="C313" s="232" t="s">
        <v>2965</v>
      </c>
      <c r="D313" s="232" t="s">
        <v>2818</v>
      </c>
      <c r="E313" s="232" t="s">
        <v>2963</v>
      </c>
      <c r="F313" s="232" t="s">
        <v>142</v>
      </c>
      <c r="G313" s="232"/>
      <c r="H313" s="232" t="s">
        <v>418</v>
      </c>
      <c r="I313" s="228" t="s">
        <v>419</v>
      </c>
      <c r="J313" s="233" t="str">
        <f t="shared" si="8"/>
        <v>GoldZhaojin Mining Industry Co., Ltd.</v>
      </c>
      <c r="K313" s="233" t="str">
        <f t="shared" si="9"/>
        <v>GoldZhaojin Mining Industry Co., Ltd.</v>
      </c>
    </row>
    <row r="314" spans="1:11">
      <c r="A314" s="232" t="s">
        <v>133</v>
      </c>
      <c r="B314" s="232" t="s">
        <v>3395</v>
      </c>
      <c r="C314" s="232" t="s">
        <v>2965</v>
      </c>
      <c r="D314" s="232" t="s">
        <v>2818</v>
      </c>
      <c r="E314" s="232" t="s">
        <v>2963</v>
      </c>
      <c r="F314" s="232" t="s">
        <v>142</v>
      </c>
      <c r="G314" s="232"/>
      <c r="H314" s="232" t="s">
        <v>418</v>
      </c>
      <c r="I314" s="228" t="s">
        <v>419</v>
      </c>
      <c r="J314" s="233" t="str">
        <f t="shared" si="8"/>
        <v>Goldzhaojinjinyinyelian</v>
      </c>
      <c r="K314" s="233" t="str">
        <f t="shared" si="9"/>
        <v>Goldzhaojinjinyinyelian</v>
      </c>
    </row>
    <row r="315" spans="1:11">
      <c r="A315" s="232" t="s">
        <v>133</v>
      </c>
      <c r="B315" s="232" t="s">
        <v>2964</v>
      </c>
      <c r="C315" s="232" t="s">
        <v>2965</v>
      </c>
      <c r="D315" s="232" t="s">
        <v>2818</v>
      </c>
      <c r="E315" s="232" t="s">
        <v>2963</v>
      </c>
      <c r="F315" s="232" t="s">
        <v>142</v>
      </c>
      <c r="G315" s="232"/>
      <c r="H315" s="232" t="s">
        <v>418</v>
      </c>
      <c r="I315" s="232" t="s">
        <v>419</v>
      </c>
      <c r="J315" s="233" t="str">
        <f t="shared" si="8"/>
        <v>GoldZhaoyuan Gold Group</v>
      </c>
      <c r="K315" s="233" t="str">
        <f t="shared" si="9"/>
        <v>GoldZhaoyuan Gold Group</v>
      </c>
    </row>
    <row r="316" spans="1:11">
      <c r="A316" s="232" t="s">
        <v>133</v>
      </c>
      <c r="B316" s="232" t="s">
        <v>3396</v>
      </c>
      <c r="C316" s="232" t="s">
        <v>2668</v>
      </c>
      <c r="D316" s="232" t="s">
        <v>2818</v>
      </c>
      <c r="E316" s="232" t="s">
        <v>2676</v>
      </c>
      <c r="F316" s="232" t="s">
        <v>142</v>
      </c>
      <c r="G316" s="232"/>
      <c r="H316" s="232" t="s">
        <v>2669</v>
      </c>
      <c r="I316" s="232" t="s">
        <v>554</v>
      </c>
      <c r="J316" s="233" t="str">
        <f t="shared" si="8"/>
        <v>GoldZhongjin Gold Corporation Limited</v>
      </c>
      <c r="K316" s="233" t="str">
        <f t="shared" si="9"/>
        <v>GoldZhongjin Gold Corporation Limited</v>
      </c>
    </row>
    <row r="317" spans="1:11">
      <c r="A317" s="232" t="s">
        <v>133</v>
      </c>
      <c r="B317" s="232" t="s">
        <v>2668</v>
      </c>
      <c r="C317" s="232" t="s">
        <v>2668</v>
      </c>
      <c r="D317" s="232" t="s">
        <v>2818</v>
      </c>
      <c r="E317" s="232" t="s">
        <v>2676</v>
      </c>
      <c r="F317" s="232" t="s">
        <v>142</v>
      </c>
      <c r="G317" s="232"/>
      <c r="H317" s="232" t="s">
        <v>2669</v>
      </c>
      <c r="I317" s="232" t="s">
        <v>554</v>
      </c>
      <c r="J317" s="233" t="str">
        <f t="shared" si="8"/>
        <v>GoldZhongyuan Gold Smelter of Zhongjin Gold Corporation</v>
      </c>
      <c r="K317" s="233" t="str">
        <f t="shared" si="9"/>
        <v>GoldZhongyuan Gold Smelter of Zhongjin Gold Corporation</v>
      </c>
    </row>
    <row r="318" spans="1:11">
      <c r="A318" s="232" t="s">
        <v>133</v>
      </c>
      <c r="B318" s="232" t="s">
        <v>3397</v>
      </c>
      <c r="C318" s="232" t="s">
        <v>2981</v>
      </c>
      <c r="D318" s="232" t="s">
        <v>2818</v>
      </c>
      <c r="E318" s="232" t="s">
        <v>2980</v>
      </c>
      <c r="F318" s="232" t="s">
        <v>142</v>
      </c>
      <c r="G318" s="232"/>
      <c r="H318" s="232" t="s">
        <v>2982</v>
      </c>
      <c r="I318" s="232" t="s">
        <v>958</v>
      </c>
      <c r="J318" s="233" t="str">
        <f t="shared" si="8"/>
        <v>GoldZijin Kuang Ye Refinery</v>
      </c>
      <c r="K318" s="233" t="str">
        <f t="shared" si="9"/>
        <v>GoldZijin Kuang Ye Refinery</v>
      </c>
    </row>
    <row r="319" spans="1:11">
      <c r="A319" s="232" t="s">
        <v>133</v>
      </c>
      <c r="B319" s="232" t="s">
        <v>3398</v>
      </c>
      <c r="C319" s="232" t="s">
        <v>2981</v>
      </c>
      <c r="D319" s="232" t="s">
        <v>2818</v>
      </c>
      <c r="E319" s="232" t="s">
        <v>2980</v>
      </c>
      <c r="F319" s="232" t="s">
        <v>142</v>
      </c>
      <c r="G319" s="232"/>
      <c r="H319" s="232" t="s">
        <v>2982</v>
      </c>
      <c r="I319" s="232" t="s">
        <v>958</v>
      </c>
      <c r="J319" s="233" t="str">
        <f t="shared" si="8"/>
        <v>GoldZijin Mining Industry Corporation</v>
      </c>
      <c r="K319" s="233" t="str">
        <f t="shared" si="9"/>
        <v>GoldZijin Mining Industry Corporation</v>
      </c>
    </row>
    <row r="320" spans="1:11">
      <c r="A320" s="232" t="s">
        <v>133</v>
      </c>
      <c r="B320" s="232" t="s">
        <v>209</v>
      </c>
      <c r="C320" s="232"/>
      <c r="D320" s="232"/>
      <c r="E320" s="232"/>
      <c r="F320" s="232"/>
      <c r="G320" s="232"/>
      <c r="H320" s="232"/>
      <c r="I320" s="232"/>
      <c r="J320" s="233" t="str">
        <f t="shared" si="8"/>
        <v>GoldSmelter not listed</v>
      </c>
      <c r="K320" s="233" t="str">
        <f t="shared" si="9"/>
        <v>GoldSmelter not listed</v>
      </c>
    </row>
    <row r="321" spans="1:11">
      <c r="A321" s="232" t="s">
        <v>133</v>
      </c>
      <c r="B321" s="232" t="s">
        <v>137</v>
      </c>
      <c r="C321" s="232" t="s">
        <v>121</v>
      </c>
      <c r="D321" s="232" t="s">
        <v>121</v>
      </c>
      <c r="E321" s="232"/>
      <c r="F321" s="232"/>
      <c r="G321" s="232"/>
      <c r="H321" s="232"/>
      <c r="I321" s="232"/>
      <c r="J321" s="233" t="str">
        <f t="shared" si="8"/>
        <v>GoldSmelter not yet identified</v>
      </c>
      <c r="K321" s="233" t="str">
        <f t="shared" si="9"/>
        <v>GoldSmelter not yet identified</v>
      </c>
    </row>
    <row r="322" spans="1:11">
      <c r="A322" s="232" t="s">
        <v>130</v>
      </c>
      <c r="B322" s="232" t="s">
        <v>2691</v>
      </c>
      <c r="C322" s="232" t="s">
        <v>2691</v>
      </c>
      <c r="D322" s="232" t="s">
        <v>3399</v>
      </c>
      <c r="E322" s="232" t="s">
        <v>2690</v>
      </c>
      <c r="F322" s="232" t="s">
        <v>142</v>
      </c>
      <c r="G322" s="232"/>
      <c r="H322" s="232" t="s">
        <v>2692</v>
      </c>
      <c r="I322" s="232" t="s">
        <v>2692</v>
      </c>
      <c r="J322" s="233" t="str">
        <f t="shared" si="8"/>
        <v>Tantalum5D Production OU</v>
      </c>
      <c r="K322" s="233" t="str">
        <f t="shared" si="9"/>
        <v>Tantalum5D Production OU</v>
      </c>
    </row>
    <row r="323" spans="1:11">
      <c r="A323" s="232" t="s">
        <v>130</v>
      </c>
      <c r="B323" s="232" t="s">
        <v>3400</v>
      </c>
      <c r="C323" s="232" t="s">
        <v>2691</v>
      </c>
      <c r="D323" s="232" t="s">
        <v>3399</v>
      </c>
      <c r="E323" s="232" t="s">
        <v>2690</v>
      </c>
      <c r="F323" s="232" t="s">
        <v>142</v>
      </c>
      <c r="G323" s="232"/>
      <c r="H323" s="232" t="s">
        <v>2692</v>
      </c>
      <c r="I323" s="232" t="s">
        <v>2692</v>
      </c>
      <c r="J323" s="233" t="str">
        <f t="shared" si="8"/>
        <v>Tantalum5D Production OÜ</v>
      </c>
      <c r="K323" s="233" t="str">
        <f t="shared" si="9"/>
        <v>Tantalum5D Production OÜ</v>
      </c>
    </row>
    <row r="324" spans="1:11">
      <c r="A324" s="232" t="s">
        <v>130</v>
      </c>
      <c r="B324" s="232" t="s">
        <v>2694</v>
      </c>
      <c r="C324" s="232" t="s">
        <v>2694</v>
      </c>
      <c r="D324" s="232" t="s">
        <v>3265</v>
      </c>
      <c r="E324" s="232" t="s">
        <v>718</v>
      </c>
      <c r="F324" s="232" t="s">
        <v>142</v>
      </c>
      <c r="G324" s="232"/>
      <c r="H324" s="232" t="s">
        <v>721</v>
      </c>
      <c r="I324" s="232" t="s">
        <v>435</v>
      </c>
      <c r="J324" s="233" t="str">
        <f t="shared" si="8"/>
        <v>TantalumAMG Brasil</v>
      </c>
      <c r="K324" s="233" t="str">
        <f t="shared" si="9"/>
        <v>TantalumAMG Brasil</v>
      </c>
    </row>
    <row r="325" spans="1:11">
      <c r="A325" s="232" t="s">
        <v>130</v>
      </c>
      <c r="B325" s="232" t="s">
        <v>2701</v>
      </c>
      <c r="C325" s="232" t="s">
        <v>2701</v>
      </c>
      <c r="D325" s="232" t="s">
        <v>2818</v>
      </c>
      <c r="E325" s="232" t="s">
        <v>2700</v>
      </c>
      <c r="F325" s="232" t="s">
        <v>142</v>
      </c>
      <c r="G325" s="232"/>
      <c r="H325" s="232" t="s">
        <v>2703</v>
      </c>
      <c r="I325" s="232" t="s">
        <v>709</v>
      </c>
      <c r="J325" s="233" t="str">
        <f t="shared" ref="J325:J388" si="10">A325&amp;B325</f>
        <v>TantalumChangsha South Tantalum Niobium Co., Ltd.</v>
      </c>
      <c r="K325" s="233" t="str">
        <f t="shared" ref="K325:K388" si="11">A325&amp;B325</f>
        <v>TantalumChangsha South Tantalum Niobium Co., Ltd.</v>
      </c>
    </row>
    <row r="326" spans="1:11">
      <c r="A326" s="232" t="s">
        <v>130</v>
      </c>
      <c r="B326" s="232" t="s">
        <v>3401</v>
      </c>
      <c r="C326" s="232" t="s">
        <v>2701</v>
      </c>
      <c r="D326" s="232" t="s">
        <v>2818</v>
      </c>
      <c r="E326" s="232" t="s">
        <v>2700</v>
      </c>
      <c r="F326" s="232" t="s">
        <v>142</v>
      </c>
      <c r="G326" s="232"/>
      <c r="H326" s="232" t="s">
        <v>2703</v>
      </c>
      <c r="I326" s="232" t="s">
        <v>709</v>
      </c>
      <c r="J326" s="233" t="str">
        <f t="shared" si="10"/>
        <v>TantalumChangsha Southern</v>
      </c>
      <c r="K326" s="233" t="str">
        <f t="shared" si="11"/>
        <v>TantalumChangsha Southern</v>
      </c>
    </row>
    <row r="327" spans="1:11">
      <c r="A327" s="232" t="s">
        <v>130</v>
      </c>
      <c r="B327" s="232" t="s">
        <v>2711</v>
      </c>
      <c r="C327" s="232" t="s">
        <v>2711</v>
      </c>
      <c r="D327" s="232" t="s">
        <v>3251</v>
      </c>
      <c r="E327" s="232" t="s">
        <v>2710</v>
      </c>
      <c r="F327" s="232" t="s">
        <v>142</v>
      </c>
      <c r="G327" s="232"/>
      <c r="H327" s="232" t="s">
        <v>2712</v>
      </c>
      <c r="I327" s="232" t="s">
        <v>2713</v>
      </c>
      <c r="J327" s="233" t="str">
        <f t="shared" si="10"/>
        <v>TantalumD Block Metals, LLC</v>
      </c>
      <c r="K327" s="233" t="str">
        <f t="shared" si="11"/>
        <v>TantalumD Block Metals, LLC</v>
      </c>
    </row>
    <row r="328" spans="1:11">
      <c r="A328" s="232" t="s">
        <v>130</v>
      </c>
      <c r="B328" s="232" t="s">
        <v>2720</v>
      </c>
      <c r="C328" s="232" t="s">
        <v>2720</v>
      </c>
      <c r="D328" s="232" t="s">
        <v>3251</v>
      </c>
      <c r="E328" s="232" t="s">
        <v>2970</v>
      </c>
      <c r="F328" s="232" t="s">
        <v>142</v>
      </c>
      <c r="G328" s="232"/>
      <c r="H328" s="232" t="s">
        <v>2721</v>
      </c>
      <c r="I328" s="232" t="s">
        <v>856</v>
      </c>
      <c r="J328" s="233" t="str">
        <f t="shared" si="10"/>
        <v>TantalumExotech Inc.</v>
      </c>
      <c r="K328" s="233" t="str">
        <f t="shared" si="11"/>
        <v>TantalumExotech Inc.</v>
      </c>
    </row>
    <row r="329" spans="1:11">
      <c r="A329" s="232" t="s">
        <v>130</v>
      </c>
      <c r="B329" s="232" t="s">
        <v>3402</v>
      </c>
      <c r="C329" s="232" t="s">
        <v>749</v>
      </c>
      <c r="D329" s="232" t="s">
        <v>2818</v>
      </c>
      <c r="E329" s="232" t="s">
        <v>748</v>
      </c>
      <c r="F329" s="232" t="s">
        <v>142</v>
      </c>
      <c r="G329" s="232"/>
      <c r="H329" s="232" t="s">
        <v>750</v>
      </c>
      <c r="I329" s="232" t="s">
        <v>382</v>
      </c>
      <c r="J329" s="233" t="str">
        <f t="shared" si="10"/>
        <v>TantalumF &amp; X</v>
      </c>
      <c r="K329" s="233" t="str">
        <f t="shared" si="11"/>
        <v>TantalumF &amp; X</v>
      </c>
    </row>
    <row r="330" spans="1:11">
      <c r="A330" s="232" t="s">
        <v>130</v>
      </c>
      <c r="B330" s="232" t="s">
        <v>749</v>
      </c>
      <c r="C330" s="232" t="s">
        <v>749</v>
      </c>
      <c r="D330" s="232" t="s">
        <v>2818</v>
      </c>
      <c r="E330" s="232" t="s">
        <v>748</v>
      </c>
      <c r="F330" s="232" t="s">
        <v>142</v>
      </c>
      <c r="G330" s="232"/>
      <c r="H330" s="232" t="s">
        <v>750</v>
      </c>
      <c r="I330" s="232" t="s">
        <v>382</v>
      </c>
      <c r="J330" s="233" t="str">
        <f t="shared" si="10"/>
        <v>TantalumF&amp;X Electro-Materials Ltd.</v>
      </c>
      <c r="K330" s="233" t="str">
        <f t="shared" si="11"/>
        <v>TantalumF&amp;X Electro-Materials Ltd.</v>
      </c>
    </row>
    <row r="331" spans="1:11">
      <c r="A331" s="232" t="s">
        <v>130</v>
      </c>
      <c r="B331" s="232" t="s">
        <v>706</v>
      </c>
      <c r="C331" s="232" t="s">
        <v>706</v>
      </c>
      <c r="D331" s="232" t="s">
        <v>2818</v>
      </c>
      <c r="E331" s="232" t="s">
        <v>705</v>
      </c>
      <c r="F331" s="232" t="s">
        <v>142</v>
      </c>
      <c r="G331" s="232"/>
      <c r="H331" s="232" t="s">
        <v>708</v>
      </c>
      <c r="I331" s="232" t="s">
        <v>709</v>
      </c>
      <c r="J331" s="233" t="str">
        <f t="shared" si="10"/>
        <v>TantalumFIR Metals &amp; Resource Ltd.</v>
      </c>
      <c r="K331" s="233" t="str">
        <f t="shared" si="11"/>
        <v>TantalumFIR Metals &amp; Resource Ltd.</v>
      </c>
    </row>
    <row r="332" spans="1:11">
      <c r="A332" s="232" t="s">
        <v>130</v>
      </c>
      <c r="B332" s="232" t="s">
        <v>758</v>
      </c>
      <c r="C332" s="232" t="s">
        <v>758</v>
      </c>
      <c r="D332" s="232" t="s">
        <v>3257</v>
      </c>
      <c r="E332" s="232" t="s">
        <v>757</v>
      </c>
      <c r="F332" s="232" t="s">
        <v>142</v>
      </c>
      <c r="G332" s="232"/>
      <c r="H332" s="232" t="s">
        <v>760</v>
      </c>
      <c r="I332" s="232" t="s">
        <v>158</v>
      </c>
      <c r="J332" s="233" t="str">
        <f t="shared" si="10"/>
        <v>TantalumGlobal Advanced Metals Aizu</v>
      </c>
      <c r="K332" s="233" t="str">
        <f t="shared" si="11"/>
        <v>TantalumGlobal Advanced Metals Aizu</v>
      </c>
    </row>
    <row r="333" spans="1:11">
      <c r="A333" s="232" t="s">
        <v>130</v>
      </c>
      <c r="B333" s="232" t="s">
        <v>2587</v>
      </c>
      <c r="C333" s="232" t="s">
        <v>2587</v>
      </c>
      <c r="D333" s="232" t="s">
        <v>3251</v>
      </c>
      <c r="E333" s="232" t="s">
        <v>2586</v>
      </c>
      <c r="F333" s="232" t="s">
        <v>142</v>
      </c>
      <c r="G333" s="232"/>
      <c r="H333" s="232" t="s">
        <v>2588</v>
      </c>
      <c r="I333" s="232" t="s">
        <v>480</v>
      </c>
      <c r="J333" s="233" t="str">
        <f t="shared" si="10"/>
        <v>TantalumGlobal Advanced Metals Boyertown</v>
      </c>
      <c r="K333" s="233" t="str">
        <f t="shared" si="11"/>
        <v>TantalumGlobal Advanced Metals Boyertown</v>
      </c>
    </row>
    <row r="334" spans="1:11">
      <c r="A334" s="232" t="s">
        <v>130</v>
      </c>
      <c r="B334" s="232" t="s">
        <v>2725</v>
      </c>
      <c r="C334" s="232" t="s">
        <v>1099</v>
      </c>
      <c r="D334" s="232" t="s">
        <v>2818</v>
      </c>
      <c r="E334" s="232" t="s">
        <v>2724</v>
      </c>
      <c r="F334" s="232" t="s">
        <v>142</v>
      </c>
      <c r="G334" s="232"/>
      <c r="H334" s="232" t="s">
        <v>1100</v>
      </c>
      <c r="I334" s="232" t="s">
        <v>382</v>
      </c>
      <c r="J334" s="233" t="str">
        <f t="shared" si="10"/>
        <v>TantalumGuangdong Zhiyuan New Material Co., Ltd.</v>
      </c>
      <c r="K334" s="233" t="str">
        <f t="shared" si="11"/>
        <v>TantalumGuangdong Zhiyuan New Material Co., Ltd.</v>
      </c>
    </row>
    <row r="335" spans="1:11">
      <c r="A335" s="232" t="s">
        <v>130</v>
      </c>
      <c r="B335" s="232" t="s">
        <v>2723</v>
      </c>
      <c r="C335" s="232" t="s">
        <v>1046</v>
      </c>
      <c r="D335" s="232" t="s">
        <v>3384</v>
      </c>
      <c r="E335" s="232" t="s">
        <v>2722</v>
      </c>
      <c r="F335" s="232" t="s">
        <v>142</v>
      </c>
      <c r="G335" s="232"/>
      <c r="H335" s="232" t="s">
        <v>1048</v>
      </c>
      <c r="I335" s="232" t="s">
        <v>1049</v>
      </c>
      <c r="J335" s="233" t="str">
        <f t="shared" si="10"/>
        <v>TantalumH.C. Starck Co., Ltd.</v>
      </c>
      <c r="K335" s="233" t="str">
        <f t="shared" si="11"/>
        <v>TantalumH.C. Starck Co., Ltd.</v>
      </c>
    </row>
    <row r="336" spans="1:11">
      <c r="A336" s="232" t="s">
        <v>130</v>
      </c>
      <c r="B336" s="232" t="s">
        <v>2733</v>
      </c>
      <c r="C336" s="232" t="s">
        <v>2733</v>
      </c>
      <c r="D336" s="232" t="s">
        <v>3254</v>
      </c>
      <c r="E336" s="232" t="s">
        <v>2731</v>
      </c>
      <c r="F336" s="232" t="s">
        <v>142</v>
      </c>
      <c r="G336" s="232"/>
      <c r="H336" s="232" t="s">
        <v>2735</v>
      </c>
      <c r="I336" s="232" t="s">
        <v>2736</v>
      </c>
      <c r="J336" s="233" t="str">
        <f t="shared" si="10"/>
        <v>TantalumH.C. Starck Hermsdorf GmbH</v>
      </c>
      <c r="K336" s="233" t="str">
        <f t="shared" si="11"/>
        <v>TantalumH.C. Starck Hermsdorf GmbH</v>
      </c>
    </row>
    <row r="337" spans="1:11">
      <c r="A337" s="232" t="s">
        <v>130</v>
      </c>
      <c r="B337" s="232" t="s">
        <v>1201</v>
      </c>
      <c r="C337" s="232" t="s">
        <v>1201</v>
      </c>
      <c r="D337" s="232" t="s">
        <v>3251</v>
      </c>
      <c r="E337" s="232" t="s">
        <v>1199</v>
      </c>
      <c r="F337" s="232" t="s">
        <v>142</v>
      </c>
      <c r="G337" s="232"/>
      <c r="H337" s="232" t="s">
        <v>1203</v>
      </c>
      <c r="I337" s="232" t="s">
        <v>1204</v>
      </c>
      <c r="J337" s="233" t="str">
        <f t="shared" si="10"/>
        <v>TantalumH.C. Starck Inc.</v>
      </c>
      <c r="K337" s="233" t="str">
        <f t="shared" si="11"/>
        <v>TantalumH.C. Starck Inc.</v>
      </c>
    </row>
    <row r="338" spans="1:11">
      <c r="A338" s="232" t="s">
        <v>130</v>
      </c>
      <c r="B338" s="232" t="s">
        <v>1213</v>
      </c>
      <c r="C338" s="232" t="s">
        <v>1212</v>
      </c>
      <c r="D338" s="232" t="s">
        <v>3257</v>
      </c>
      <c r="E338" s="232" t="s">
        <v>1211</v>
      </c>
      <c r="F338" s="232" t="s">
        <v>142</v>
      </c>
      <c r="G338" s="232"/>
      <c r="H338" s="232" t="s">
        <v>1214</v>
      </c>
      <c r="I338" s="232" t="s">
        <v>1215</v>
      </c>
      <c r="J338" s="233" t="str">
        <f t="shared" si="10"/>
        <v>TantalumH.C. Starck Ltd.</v>
      </c>
      <c r="K338" s="233" t="str">
        <f t="shared" si="11"/>
        <v>TantalumH.C. Starck Ltd.</v>
      </c>
    </row>
    <row r="339" spans="1:11">
      <c r="A339" s="232" t="s">
        <v>130</v>
      </c>
      <c r="B339" s="232" t="s">
        <v>1218</v>
      </c>
      <c r="C339" s="232" t="s">
        <v>1217</v>
      </c>
      <c r="D339" s="232" t="s">
        <v>3254</v>
      </c>
      <c r="E339" s="232" t="s">
        <v>1216</v>
      </c>
      <c r="F339" s="232" t="s">
        <v>142</v>
      </c>
      <c r="G339" s="232"/>
      <c r="H339" s="232" t="s">
        <v>1220</v>
      </c>
      <c r="I339" s="232" t="s">
        <v>182</v>
      </c>
      <c r="J339" s="233" t="str">
        <f t="shared" si="10"/>
        <v>TantalumH.C. Starck Smelting GmbH &amp; Co. KG</v>
      </c>
      <c r="K339" s="233" t="str">
        <f t="shared" si="11"/>
        <v>TantalumH.C. Starck Smelting GmbH &amp; Co. KG</v>
      </c>
    </row>
    <row r="340" spans="1:11">
      <c r="A340" s="232" t="s">
        <v>130</v>
      </c>
      <c r="B340" s="232" t="s">
        <v>1129</v>
      </c>
      <c r="C340" s="232" t="s">
        <v>1050</v>
      </c>
      <c r="D340" s="232" t="s">
        <v>3254</v>
      </c>
      <c r="E340" s="232" t="s">
        <v>1128</v>
      </c>
      <c r="F340" s="232" t="s">
        <v>142</v>
      </c>
      <c r="G340" s="232"/>
      <c r="H340" s="232" t="s">
        <v>1131</v>
      </c>
      <c r="I340" s="232" t="s">
        <v>1051</v>
      </c>
      <c r="J340" s="233" t="str">
        <f t="shared" si="10"/>
        <v>TantalumH.C. Starck Tantalum and Niobium GmbH</v>
      </c>
      <c r="K340" s="233" t="str">
        <f t="shared" si="11"/>
        <v>TantalumH.C. Starck Tantalum and Niobium GmbH</v>
      </c>
    </row>
    <row r="341" spans="1:11">
      <c r="A341" s="232" t="s">
        <v>130</v>
      </c>
      <c r="B341" s="232" t="s">
        <v>1801</v>
      </c>
      <c r="C341" s="232" t="s">
        <v>1801</v>
      </c>
      <c r="D341" s="232" t="s">
        <v>2818</v>
      </c>
      <c r="E341" s="232" t="s">
        <v>1800</v>
      </c>
      <c r="F341" s="232" t="s">
        <v>142</v>
      </c>
      <c r="G341" s="232"/>
      <c r="H341" s="232" t="s">
        <v>1244</v>
      </c>
      <c r="I341" s="232" t="s">
        <v>709</v>
      </c>
      <c r="J341" s="233" t="str">
        <f t="shared" si="10"/>
        <v>TantalumHengyang King Xing Lifeng New Materials Co., Ltd.</v>
      </c>
      <c r="K341" s="233" t="str">
        <f t="shared" si="11"/>
        <v>TantalumHengyang King Xing Lifeng New Materials Co., Ltd.</v>
      </c>
    </row>
    <row r="342" spans="1:11">
      <c r="A342" s="232" t="s">
        <v>130</v>
      </c>
      <c r="B342" s="232" t="s">
        <v>2125</v>
      </c>
      <c r="C342" s="232" t="s">
        <v>2125</v>
      </c>
      <c r="D342" s="232" t="s">
        <v>2818</v>
      </c>
      <c r="E342" s="232" t="s">
        <v>2124</v>
      </c>
      <c r="F342" s="232" t="s">
        <v>142</v>
      </c>
      <c r="G342" s="232"/>
      <c r="H342" s="232" t="s">
        <v>2127</v>
      </c>
      <c r="I342" s="232" t="s">
        <v>771</v>
      </c>
      <c r="J342" s="233" t="str">
        <f t="shared" si="10"/>
        <v>TantalumJiangxi Dinghai Tantalum &amp; Niobium Co., Ltd.</v>
      </c>
      <c r="K342" s="233" t="str">
        <f t="shared" si="11"/>
        <v>TantalumJiangxi Dinghai Tantalum &amp; Niobium Co., Ltd.</v>
      </c>
    </row>
    <row r="343" spans="1:11">
      <c r="A343" s="232" t="s">
        <v>130</v>
      </c>
      <c r="B343" s="232" t="s">
        <v>2135</v>
      </c>
      <c r="C343" s="232" t="s">
        <v>2135</v>
      </c>
      <c r="D343" s="232" t="s">
        <v>2818</v>
      </c>
      <c r="E343" s="232" t="s">
        <v>2134</v>
      </c>
      <c r="F343" s="232" t="s">
        <v>142</v>
      </c>
      <c r="G343" s="232"/>
      <c r="H343" s="232" t="s">
        <v>259</v>
      </c>
      <c r="I343" s="232" t="s">
        <v>771</v>
      </c>
      <c r="J343" s="233" t="str">
        <f t="shared" si="10"/>
        <v>TantalumJiangxi Tuohong New Raw Material</v>
      </c>
      <c r="K343" s="233" t="str">
        <f t="shared" si="11"/>
        <v>TantalumJiangxi Tuohong New Raw Material</v>
      </c>
    </row>
    <row r="344" spans="1:11">
      <c r="A344" s="232" t="s">
        <v>130</v>
      </c>
      <c r="B344" s="232" t="s">
        <v>2144</v>
      </c>
      <c r="C344" s="232" t="s">
        <v>2144</v>
      </c>
      <c r="D344" s="232" t="s">
        <v>2818</v>
      </c>
      <c r="E344" s="232" t="s">
        <v>2143</v>
      </c>
      <c r="F344" s="232" t="s">
        <v>142</v>
      </c>
      <c r="G344" s="232"/>
      <c r="H344" s="232" t="s">
        <v>770</v>
      </c>
      <c r="I344" s="232" t="s">
        <v>771</v>
      </c>
      <c r="J344" s="233" t="str">
        <f t="shared" si="10"/>
        <v>TantalumJiuJiang JinXin Nonferrous Metals Co., Ltd.</v>
      </c>
      <c r="K344" s="233" t="str">
        <f t="shared" si="11"/>
        <v>TantalumJiuJiang JinXin Nonferrous Metals Co., Ltd.</v>
      </c>
    </row>
    <row r="345" spans="1:11">
      <c r="A345" s="232" t="s">
        <v>130</v>
      </c>
      <c r="B345" s="232" t="s">
        <v>3403</v>
      </c>
      <c r="C345" s="232" t="s">
        <v>1564</v>
      </c>
      <c r="D345" s="232" t="s">
        <v>2818</v>
      </c>
      <c r="E345" s="232" t="s">
        <v>1563</v>
      </c>
      <c r="F345" s="232" t="s">
        <v>142</v>
      </c>
      <c r="G345" s="232"/>
      <c r="H345" s="232" t="s">
        <v>770</v>
      </c>
      <c r="I345" s="232" t="s">
        <v>771</v>
      </c>
      <c r="J345" s="233" t="str">
        <f t="shared" si="10"/>
        <v>TantalumJiujiang Nonferrous Metals Smelting Company Limited</v>
      </c>
      <c r="K345" s="233" t="str">
        <f t="shared" si="11"/>
        <v>TantalumJiujiang Nonferrous Metals Smelting Company Limited</v>
      </c>
    </row>
    <row r="346" spans="1:11">
      <c r="A346" s="232" t="s">
        <v>130</v>
      </c>
      <c r="B346" s="232" t="s">
        <v>1564</v>
      </c>
      <c r="C346" s="232" t="s">
        <v>1564</v>
      </c>
      <c r="D346" s="232" t="s">
        <v>2818</v>
      </c>
      <c r="E346" s="232" t="s">
        <v>1563</v>
      </c>
      <c r="F346" s="232" t="s">
        <v>142</v>
      </c>
      <c r="G346" s="232"/>
      <c r="H346" s="232" t="s">
        <v>770</v>
      </c>
      <c r="I346" s="232" t="s">
        <v>771</v>
      </c>
      <c r="J346" s="233" t="str">
        <f t="shared" si="10"/>
        <v>TantalumJiujiang Tanbre Co., Ltd.</v>
      </c>
      <c r="K346" s="233" t="str">
        <f t="shared" si="11"/>
        <v>TantalumJiujiang Tanbre Co., Ltd.</v>
      </c>
    </row>
    <row r="347" spans="1:11">
      <c r="A347" s="232" t="s">
        <v>130</v>
      </c>
      <c r="B347" s="232" t="s">
        <v>768</v>
      </c>
      <c r="C347" s="232" t="s">
        <v>768</v>
      </c>
      <c r="D347" s="232" t="s">
        <v>2818</v>
      </c>
      <c r="E347" s="232" t="s">
        <v>767</v>
      </c>
      <c r="F347" s="232" t="s">
        <v>142</v>
      </c>
      <c r="G347" s="232"/>
      <c r="H347" s="232" t="s">
        <v>770</v>
      </c>
      <c r="I347" s="232" t="s">
        <v>771</v>
      </c>
      <c r="J347" s="233" t="str">
        <f t="shared" si="10"/>
        <v>TantalumJiujiang Zhongao Tantalum &amp; Niobium Co., Ltd.</v>
      </c>
      <c r="K347" s="233" t="str">
        <f t="shared" si="11"/>
        <v>TantalumJiujiang Zhongao Tantalum &amp; Niobium Co., Ltd.</v>
      </c>
    </row>
    <row r="348" spans="1:11">
      <c r="A348" s="232" t="s">
        <v>130</v>
      </c>
      <c r="B348" s="232" t="s">
        <v>1079</v>
      </c>
      <c r="C348" s="232" t="s">
        <v>1078</v>
      </c>
      <c r="D348" s="232" t="s">
        <v>3281</v>
      </c>
      <c r="E348" s="232" t="s">
        <v>1077</v>
      </c>
      <c r="F348" s="232" t="s">
        <v>142</v>
      </c>
      <c r="G348" s="232"/>
      <c r="H348" s="232" t="s">
        <v>1081</v>
      </c>
      <c r="I348" s="232" t="s">
        <v>1082</v>
      </c>
      <c r="J348" s="233" t="str">
        <f t="shared" si="10"/>
        <v>TantalumKEMET Blue Metals</v>
      </c>
      <c r="K348" s="233" t="str">
        <f t="shared" si="11"/>
        <v>TantalumKEMET Blue Metals</v>
      </c>
    </row>
    <row r="349" spans="1:11">
      <c r="A349" s="232" t="s">
        <v>130</v>
      </c>
      <c r="B349" s="232" t="s">
        <v>1078</v>
      </c>
      <c r="C349" s="232" t="s">
        <v>1078</v>
      </c>
      <c r="D349" s="232" t="s">
        <v>3281</v>
      </c>
      <c r="E349" s="232" t="s">
        <v>1077</v>
      </c>
      <c r="F349" s="232" t="s">
        <v>142</v>
      </c>
      <c r="G349" s="232"/>
      <c r="H349" s="232" t="s">
        <v>1081</v>
      </c>
      <c r="I349" s="232" t="s">
        <v>1082</v>
      </c>
      <c r="J349" s="233" t="str">
        <f t="shared" si="10"/>
        <v>TantalumKEMET de Mexico</v>
      </c>
      <c r="K349" s="233" t="str">
        <f t="shared" si="11"/>
        <v>TantalumKEMET de Mexico</v>
      </c>
    </row>
    <row r="350" spans="1:11">
      <c r="A350" s="232" t="s">
        <v>130</v>
      </c>
      <c r="B350" s="232" t="s">
        <v>719</v>
      </c>
      <c r="C350" s="232" t="s">
        <v>2694</v>
      </c>
      <c r="D350" s="232" t="s">
        <v>3265</v>
      </c>
      <c r="E350" s="232" t="s">
        <v>718</v>
      </c>
      <c r="F350" s="232" t="s">
        <v>142</v>
      </c>
      <c r="G350" s="232"/>
      <c r="H350" s="232" t="s">
        <v>721</v>
      </c>
      <c r="I350" s="232" t="s">
        <v>435</v>
      </c>
      <c r="J350" s="233" t="str">
        <f t="shared" si="10"/>
        <v>TantalumLSM Brasil S.A.</v>
      </c>
      <c r="K350" s="233" t="str">
        <f t="shared" si="11"/>
        <v>TantalumLSM Brasil S.A.</v>
      </c>
    </row>
    <row r="351" spans="1:11">
      <c r="A351" s="232" t="s">
        <v>130</v>
      </c>
      <c r="B351" s="232" t="s">
        <v>3404</v>
      </c>
      <c r="C351" s="232" t="s">
        <v>730</v>
      </c>
      <c r="D351" s="232" t="s">
        <v>3275</v>
      </c>
      <c r="E351" s="232" t="s">
        <v>729</v>
      </c>
      <c r="F351" s="232" t="s">
        <v>142</v>
      </c>
      <c r="G351" s="232"/>
      <c r="H351" s="232" t="s">
        <v>731</v>
      </c>
      <c r="I351" s="228" t="s">
        <v>453</v>
      </c>
      <c r="J351" s="233" t="str">
        <f t="shared" si="10"/>
        <v>TantalumMetallurgical Products India Pvt. Ltd. (MPIL)</v>
      </c>
      <c r="K351" s="233" t="str">
        <f t="shared" si="11"/>
        <v>TantalumMetallurgical Products India Pvt. Ltd. (MPIL)</v>
      </c>
    </row>
    <row r="352" spans="1:11">
      <c r="A352" s="232" t="s">
        <v>130</v>
      </c>
      <c r="B352" s="232" t="s">
        <v>730</v>
      </c>
      <c r="C352" s="232" t="s">
        <v>730</v>
      </c>
      <c r="D352" s="232" t="s">
        <v>3275</v>
      </c>
      <c r="E352" s="232" t="s">
        <v>729</v>
      </c>
      <c r="F352" s="232" t="s">
        <v>142</v>
      </c>
      <c r="G352" s="232"/>
      <c r="H352" s="232" t="s">
        <v>731</v>
      </c>
      <c r="I352" s="228" t="s">
        <v>453</v>
      </c>
      <c r="J352" s="233" t="str">
        <f t="shared" si="10"/>
        <v>TantalumMetallurgical Products India Pvt., Ltd.</v>
      </c>
      <c r="K352" s="233" t="str">
        <f t="shared" si="11"/>
        <v>TantalumMetallurgical Products India Pvt., Ltd.</v>
      </c>
    </row>
    <row r="353" spans="1:11">
      <c r="A353" s="232" t="s">
        <v>130</v>
      </c>
      <c r="B353" s="232" t="s">
        <v>1574</v>
      </c>
      <c r="C353" s="232" t="s">
        <v>1574</v>
      </c>
      <c r="D353" s="232" t="s">
        <v>3265</v>
      </c>
      <c r="E353" s="232" t="s">
        <v>1572</v>
      </c>
      <c r="F353" s="232" t="s">
        <v>142</v>
      </c>
      <c r="G353" s="232"/>
      <c r="H353" s="232" t="s">
        <v>1576</v>
      </c>
      <c r="I353" s="232" t="s">
        <v>1577</v>
      </c>
      <c r="J353" s="233" t="str">
        <f t="shared" si="10"/>
        <v>TantalumMineracao Taboca S.A.</v>
      </c>
      <c r="K353" s="233" t="str">
        <f t="shared" si="11"/>
        <v>TantalumMineracao Taboca S.A.</v>
      </c>
    </row>
    <row r="354" spans="1:11">
      <c r="A354" s="232" t="s">
        <v>130</v>
      </c>
      <c r="B354" s="232" t="s">
        <v>2053</v>
      </c>
      <c r="C354" s="232" t="s">
        <v>1574</v>
      </c>
      <c r="D354" s="232" t="s">
        <v>3265</v>
      </c>
      <c r="E354" s="232" t="s">
        <v>1572</v>
      </c>
      <c r="F354" s="232" t="s">
        <v>142</v>
      </c>
      <c r="G354" s="232"/>
      <c r="H354" s="232" t="s">
        <v>1576</v>
      </c>
      <c r="I354" s="228" t="s">
        <v>1577</v>
      </c>
      <c r="J354" s="233" t="str">
        <f t="shared" si="10"/>
        <v>TantalumMineração Taboca S.A.</v>
      </c>
      <c r="K354" s="233" t="str">
        <f t="shared" si="11"/>
        <v>TantalumMineração Taboca S.A.</v>
      </c>
    </row>
    <row r="355" spans="1:11">
      <c r="A355" s="232" t="s">
        <v>130</v>
      </c>
      <c r="B355" s="232" t="s">
        <v>1573</v>
      </c>
      <c r="C355" s="232" t="s">
        <v>1574</v>
      </c>
      <c r="D355" s="232" t="s">
        <v>3265</v>
      </c>
      <c r="E355" s="232" t="s">
        <v>1572</v>
      </c>
      <c r="F355" s="232" t="s">
        <v>142</v>
      </c>
      <c r="G355" s="232"/>
      <c r="H355" s="232" t="s">
        <v>1576</v>
      </c>
      <c r="I355" s="228" t="s">
        <v>1577</v>
      </c>
      <c r="J355" s="233" t="str">
        <f t="shared" si="10"/>
        <v>TantalumMineracao Taboca SA</v>
      </c>
      <c r="K355" s="233" t="str">
        <f t="shared" si="11"/>
        <v>TantalumMineracao Taboca SA</v>
      </c>
    </row>
    <row r="356" spans="1:11">
      <c r="A356" s="232" t="s">
        <v>130</v>
      </c>
      <c r="B356" s="232" t="s">
        <v>1584</v>
      </c>
      <c r="C356" s="232" t="s">
        <v>1589</v>
      </c>
      <c r="D356" s="232" t="s">
        <v>3257</v>
      </c>
      <c r="E356" s="232" t="s">
        <v>1588</v>
      </c>
      <c r="F356" s="232" t="s">
        <v>142</v>
      </c>
      <c r="G356" s="232"/>
      <c r="H356" s="232" t="s">
        <v>1585</v>
      </c>
      <c r="I356" s="228" t="s">
        <v>1586</v>
      </c>
      <c r="J356" s="233" t="str">
        <f t="shared" si="10"/>
        <v>TantalumMitsui Mining &amp; Smelting</v>
      </c>
      <c r="K356" s="233" t="str">
        <f t="shared" si="11"/>
        <v>TantalumMitsui Mining &amp; Smelting</v>
      </c>
    </row>
    <row r="357" spans="1:11">
      <c r="A357" s="232" t="s">
        <v>130</v>
      </c>
      <c r="B357" s="232" t="s">
        <v>1589</v>
      </c>
      <c r="C357" s="232" t="s">
        <v>1589</v>
      </c>
      <c r="D357" s="232" t="s">
        <v>3257</v>
      </c>
      <c r="E357" s="232" t="s">
        <v>1588</v>
      </c>
      <c r="F357" s="232" t="s">
        <v>142</v>
      </c>
      <c r="G357" s="232"/>
      <c r="H357" s="232" t="s">
        <v>1585</v>
      </c>
      <c r="I357" s="228" t="s">
        <v>1586</v>
      </c>
      <c r="J357" s="233" t="str">
        <f t="shared" si="10"/>
        <v>TantalumMitsui Mining and Smelting Co., Ltd.</v>
      </c>
      <c r="K357" s="233" t="str">
        <f t="shared" si="11"/>
        <v>TantalumMitsui Mining and Smelting Co., Ltd.</v>
      </c>
    </row>
    <row r="358" spans="1:11">
      <c r="A358" s="232" t="s">
        <v>130</v>
      </c>
      <c r="B358" s="232" t="s">
        <v>3405</v>
      </c>
      <c r="C358" s="232" t="s">
        <v>3206</v>
      </c>
      <c r="D358" s="232" t="s">
        <v>3399</v>
      </c>
      <c r="E358" s="232" t="s">
        <v>3205</v>
      </c>
      <c r="F358" s="232" t="s">
        <v>142</v>
      </c>
      <c r="G358" s="232"/>
      <c r="H358" s="232" t="s">
        <v>3207</v>
      </c>
      <c r="I358" s="232" t="s">
        <v>3208</v>
      </c>
      <c r="J358" s="233" t="str">
        <f t="shared" si="10"/>
        <v>TantalumMolycorp Silmet A.S.</v>
      </c>
      <c r="K358" s="233" t="str">
        <f t="shared" si="11"/>
        <v>TantalumMolycorp Silmet A.S.</v>
      </c>
    </row>
    <row r="359" spans="1:11">
      <c r="A359" s="232" t="s">
        <v>130</v>
      </c>
      <c r="B359" s="232" t="s">
        <v>3406</v>
      </c>
      <c r="C359" s="232" t="s">
        <v>1598</v>
      </c>
      <c r="D359" s="232" t="s">
        <v>2818</v>
      </c>
      <c r="E359" s="232" t="s">
        <v>1597</v>
      </c>
      <c r="F359" s="232" t="s">
        <v>142</v>
      </c>
      <c r="G359" s="232"/>
      <c r="H359" s="232" t="s">
        <v>1600</v>
      </c>
      <c r="I359" s="232" t="s">
        <v>1601</v>
      </c>
      <c r="J359" s="233" t="str">
        <f t="shared" si="10"/>
        <v>TantalumNingxia Non-Ferrous Metal Smeltery</v>
      </c>
      <c r="K359" s="233" t="str">
        <f t="shared" si="11"/>
        <v>TantalumNingxia Non-Ferrous Metal Smeltery</v>
      </c>
    </row>
    <row r="360" spans="1:11">
      <c r="A360" s="232" t="s">
        <v>130</v>
      </c>
      <c r="B360" s="232" t="s">
        <v>1598</v>
      </c>
      <c r="C360" s="232" t="s">
        <v>1598</v>
      </c>
      <c r="D360" s="232" t="s">
        <v>2818</v>
      </c>
      <c r="E360" s="232" t="s">
        <v>1597</v>
      </c>
      <c r="F360" s="232" t="s">
        <v>142</v>
      </c>
      <c r="G360" s="232"/>
      <c r="H360" s="232" t="s">
        <v>1600</v>
      </c>
      <c r="I360" s="232" t="s">
        <v>1601</v>
      </c>
      <c r="J360" s="233" t="str">
        <f t="shared" si="10"/>
        <v>TantalumNingxia Orient Tantalum Industry Co., Ltd.</v>
      </c>
      <c r="K360" s="233" t="str">
        <f t="shared" si="11"/>
        <v>TantalumNingxia Orient Tantalum Industry Co., Ltd.</v>
      </c>
    </row>
    <row r="361" spans="1:11">
      <c r="A361" s="232" t="s">
        <v>130</v>
      </c>
      <c r="B361" s="232" t="s">
        <v>3206</v>
      </c>
      <c r="C361" s="232" t="s">
        <v>3206</v>
      </c>
      <c r="D361" s="232" t="s">
        <v>3399</v>
      </c>
      <c r="E361" s="232" t="s">
        <v>3205</v>
      </c>
      <c r="F361" s="232" t="s">
        <v>142</v>
      </c>
      <c r="G361" s="232"/>
      <c r="H361" s="232" t="s">
        <v>3207</v>
      </c>
      <c r="I361" s="232" t="s">
        <v>3208</v>
      </c>
      <c r="J361" s="233" t="str">
        <f t="shared" si="10"/>
        <v>TantalumNPM Silmet AS</v>
      </c>
      <c r="K361" s="233" t="str">
        <f t="shared" si="11"/>
        <v>TantalumNPM Silmet AS</v>
      </c>
    </row>
    <row r="362" spans="1:11">
      <c r="A362" s="232" t="s">
        <v>130</v>
      </c>
      <c r="B362" s="232" t="s">
        <v>998</v>
      </c>
      <c r="C362" s="232" t="s">
        <v>998</v>
      </c>
      <c r="D362" s="232" t="s">
        <v>3251</v>
      </c>
      <c r="E362" s="232" t="s">
        <v>997</v>
      </c>
      <c r="F362" s="232" t="s">
        <v>142</v>
      </c>
      <c r="G362" s="232"/>
      <c r="H362" s="232" t="s">
        <v>1000</v>
      </c>
      <c r="I362" s="232" t="s">
        <v>1001</v>
      </c>
      <c r="J362" s="233" t="str">
        <f t="shared" si="10"/>
        <v>TantalumQuantumClean</v>
      </c>
      <c r="K362" s="233" t="str">
        <f t="shared" si="11"/>
        <v>TantalumQuantumClean</v>
      </c>
    </row>
    <row r="363" spans="1:11">
      <c r="A363" s="232" t="s">
        <v>130</v>
      </c>
      <c r="B363" s="232" t="s">
        <v>3407</v>
      </c>
      <c r="C363" s="232" t="s">
        <v>1010</v>
      </c>
      <c r="D363" s="232" t="s">
        <v>3265</v>
      </c>
      <c r="E363" s="232" t="s">
        <v>1008</v>
      </c>
      <c r="F363" s="232" t="s">
        <v>142</v>
      </c>
      <c r="G363" s="232"/>
      <c r="H363" s="232" t="s">
        <v>721</v>
      </c>
      <c r="I363" s="232" t="s">
        <v>1012</v>
      </c>
      <c r="J363" s="233" t="str">
        <f t="shared" si="10"/>
        <v>TantalumResind Ind e Com Ltda.</v>
      </c>
      <c r="K363" s="233" t="str">
        <f t="shared" si="11"/>
        <v>TantalumResind Ind e Com Ltda.</v>
      </c>
    </row>
    <row r="364" spans="1:11">
      <c r="A364" s="232" t="s">
        <v>130</v>
      </c>
      <c r="B364" s="232" t="s">
        <v>1010</v>
      </c>
      <c r="C364" s="232" t="s">
        <v>1010</v>
      </c>
      <c r="D364" s="232" t="s">
        <v>3265</v>
      </c>
      <c r="E364" s="232" t="s">
        <v>1008</v>
      </c>
      <c r="F364" s="232" t="s">
        <v>142</v>
      </c>
      <c r="G364" s="232"/>
      <c r="H364" s="232" t="s">
        <v>721</v>
      </c>
      <c r="I364" s="232" t="s">
        <v>1012</v>
      </c>
      <c r="J364" s="233" t="str">
        <f t="shared" si="10"/>
        <v>TantalumResind Industria e Comercio Ltda.</v>
      </c>
      <c r="K364" s="233" t="str">
        <f t="shared" si="11"/>
        <v>TantalumResind Industria e Comercio Ltda.</v>
      </c>
    </row>
    <row r="365" spans="1:11">
      <c r="A365" s="232" t="s">
        <v>130</v>
      </c>
      <c r="B365" s="232" t="s">
        <v>1009</v>
      </c>
      <c r="C365" s="232" t="s">
        <v>1010</v>
      </c>
      <c r="D365" s="232" t="s">
        <v>3265</v>
      </c>
      <c r="E365" s="232" t="s">
        <v>1008</v>
      </c>
      <c r="F365" s="232" t="s">
        <v>142</v>
      </c>
      <c r="G365" s="232"/>
      <c r="H365" s="232" t="s">
        <v>721</v>
      </c>
      <c r="I365" s="232" t="s">
        <v>1012</v>
      </c>
      <c r="J365" s="233" t="str">
        <f t="shared" si="10"/>
        <v>TantalumResind Indústria e Comércio Ltda.</v>
      </c>
      <c r="K365" s="233" t="str">
        <f t="shared" si="11"/>
        <v>TantalumResind Indústria e Comércio Ltda.</v>
      </c>
    </row>
    <row r="366" spans="1:11">
      <c r="A366" s="232" t="s">
        <v>130</v>
      </c>
      <c r="B366" s="232" t="s">
        <v>1019</v>
      </c>
      <c r="C366" s="232" t="s">
        <v>1022</v>
      </c>
      <c r="D366" s="232" t="s">
        <v>2818</v>
      </c>
      <c r="E366" s="232" t="s">
        <v>1021</v>
      </c>
      <c r="F366" s="232" t="s">
        <v>142</v>
      </c>
      <c r="G366" s="232"/>
      <c r="H366" s="232" t="s">
        <v>708</v>
      </c>
      <c r="I366" s="232" t="s">
        <v>709</v>
      </c>
      <c r="J366" s="233" t="str">
        <f t="shared" si="10"/>
        <v>TantalumRFH</v>
      </c>
      <c r="K366" s="233" t="str">
        <f t="shared" si="11"/>
        <v>TantalumRFH</v>
      </c>
    </row>
    <row r="367" spans="1:11">
      <c r="A367" s="232" t="s">
        <v>130</v>
      </c>
      <c r="B367" s="232" t="s">
        <v>3408</v>
      </c>
      <c r="C367" s="232" t="s">
        <v>1022</v>
      </c>
      <c r="D367" s="232" t="s">
        <v>2818</v>
      </c>
      <c r="E367" s="232" t="s">
        <v>1021</v>
      </c>
      <c r="F367" s="232" t="s">
        <v>142</v>
      </c>
      <c r="G367" s="232"/>
      <c r="H367" s="232" t="s">
        <v>708</v>
      </c>
      <c r="I367" s="232" t="s">
        <v>709</v>
      </c>
      <c r="J367" s="233" t="str">
        <f t="shared" si="10"/>
        <v>TantalumRFH Tantalum Smeltry Co., Ltd.</v>
      </c>
      <c r="K367" s="233" t="str">
        <f t="shared" si="11"/>
        <v>TantalumRFH Tantalum Smeltry Co., Ltd.</v>
      </c>
    </row>
    <row r="368" spans="1:11">
      <c r="A368" s="232" t="s">
        <v>130</v>
      </c>
      <c r="B368" s="232" t="s">
        <v>3409</v>
      </c>
      <c r="C368" s="232" t="s">
        <v>3409</v>
      </c>
      <c r="D368" s="232" t="s">
        <v>2818</v>
      </c>
      <c r="E368" s="232" t="s">
        <v>1858</v>
      </c>
      <c r="F368" s="232" t="s">
        <v>142</v>
      </c>
      <c r="G368" s="232"/>
      <c r="H368" s="232" t="s">
        <v>1861</v>
      </c>
      <c r="I368" s="232" t="s">
        <v>194</v>
      </c>
      <c r="J368" s="233" t="str">
        <f t="shared" si="10"/>
        <v>TantalumRFH Yancheng Jinye New Material Technology Co., Ltd.</v>
      </c>
      <c r="K368" s="233" t="str">
        <f t="shared" si="11"/>
        <v>TantalumRFH Yancheng Jinye New Material Technology Co., Ltd.</v>
      </c>
    </row>
    <row r="369" spans="1:11">
      <c r="A369" s="232" t="s">
        <v>130</v>
      </c>
      <c r="B369" s="232" t="s">
        <v>1024</v>
      </c>
      <c r="C369" s="232" t="s">
        <v>1026</v>
      </c>
      <c r="D369" s="232" t="s">
        <v>3296</v>
      </c>
      <c r="E369" s="232" t="s">
        <v>1025</v>
      </c>
      <c r="F369" s="232" t="s">
        <v>142</v>
      </c>
      <c r="G369" s="232"/>
      <c r="H369" s="232" t="s">
        <v>1024</v>
      </c>
      <c r="I369" s="232" t="s">
        <v>1028</v>
      </c>
      <c r="J369" s="233" t="str">
        <f t="shared" si="10"/>
        <v>TantalumSolikamsk</v>
      </c>
      <c r="K369" s="233" t="str">
        <f t="shared" si="11"/>
        <v>TantalumSolikamsk</v>
      </c>
    </row>
    <row r="370" spans="1:11">
      <c r="A370" s="232" t="s">
        <v>130</v>
      </c>
      <c r="B370" s="232" t="s">
        <v>1026</v>
      </c>
      <c r="C370" s="232" t="s">
        <v>1026</v>
      </c>
      <c r="D370" s="232" t="s">
        <v>3296</v>
      </c>
      <c r="E370" s="232" t="s">
        <v>1025</v>
      </c>
      <c r="F370" s="232" t="s">
        <v>142</v>
      </c>
      <c r="G370" s="232"/>
      <c r="H370" s="232" t="s">
        <v>1024</v>
      </c>
      <c r="I370" s="232" t="s">
        <v>1028</v>
      </c>
      <c r="J370" s="233" t="str">
        <f t="shared" si="10"/>
        <v>TantalumSolikamsk Magnesium Works OAO</v>
      </c>
      <c r="K370" s="233" t="str">
        <f t="shared" si="11"/>
        <v>TantalumSolikamsk Magnesium Works OAO</v>
      </c>
    </row>
    <row r="371" spans="1:11">
      <c r="A371" s="232" t="s">
        <v>130</v>
      </c>
      <c r="B371" s="232" t="s">
        <v>1023</v>
      </c>
      <c r="C371" s="232" t="s">
        <v>1026</v>
      </c>
      <c r="D371" s="232" t="s">
        <v>3296</v>
      </c>
      <c r="E371" s="232" t="s">
        <v>1025</v>
      </c>
      <c r="F371" s="232" t="s">
        <v>142</v>
      </c>
      <c r="G371" s="232"/>
      <c r="H371" s="232" t="s">
        <v>1024</v>
      </c>
      <c r="I371" s="232" t="s">
        <v>1028</v>
      </c>
      <c r="J371" s="233" t="str">
        <f t="shared" si="10"/>
        <v>TantalumSolikamsk Metal Works</v>
      </c>
      <c r="K371" s="233" t="str">
        <f t="shared" si="11"/>
        <v>TantalumSolikamsk Metal Works</v>
      </c>
    </row>
    <row r="372" spans="1:11">
      <c r="A372" s="232" t="s">
        <v>130</v>
      </c>
      <c r="B372" s="232" t="s">
        <v>1037</v>
      </c>
      <c r="C372" s="232" t="s">
        <v>1037</v>
      </c>
      <c r="D372" s="232" t="s">
        <v>3257</v>
      </c>
      <c r="E372" s="232" t="s">
        <v>1035</v>
      </c>
      <c r="F372" s="232" t="s">
        <v>142</v>
      </c>
      <c r="G372" s="232"/>
      <c r="H372" s="232" t="s">
        <v>1039</v>
      </c>
      <c r="I372" s="232" t="s">
        <v>285</v>
      </c>
      <c r="J372" s="233" t="str">
        <f t="shared" si="10"/>
        <v>TantalumTaki Chemical Co., Ltd.</v>
      </c>
      <c r="K372" s="233" t="str">
        <f t="shared" si="11"/>
        <v>TantalumTaki Chemical Co., Ltd.</v>
      </c>
    </row>
    <row r="373" spans="1:11">
      <c r="A373" s="232" t="s">
        <v>130</v>
      </c>
      <c r="B373" s="232" t="s">
        <v>1036</v>
      </c>
      <c r="C373" s="232" t="s">
        <v>1037</v>
      </c>
      <c r="D373" s="232" t="s">
        <v>3257</v>
      </c>
      <c r="E373" s="232" t="s">
        <v>1035</v>
      </c>
      <c r="F373" s="232" t="s">
        <v>142</v>
      </c>
      <c r="G373" s="232"/>
      <c r="H373" s="232" t="s">
        <v>1039</v>
      </c>
      <c r="I373" s="232" t="s">
        <v>285</v>
      </c>
      <c r="J373" s="233" t="str">
        <f t="shared" si="10"/>
        <v>TantalumTaki Chemicals</v>
      </c>
      <c r="K373" s="233" t="str">
        <f t="shared" si="11"/>
        <v>TantalumTaki Chemicals</v>
      </c>
    </row>
    <row r="374" spans="1:11">
      <c r="A374" s="232" t="s">
        <v>130</v>
      </c>
      <c r="B374" s="232" t="s">
        <v>1046</v>
      </c>
      <c r="C374" s="232" t="s">
        <v>1046</v>
      </c>
      <c r="D374" s="232" t="s">
        <v>3384</v>
      </c>
      <c r="E374" s="232" t="s">
        <v>2722</v>
      </c>
      <c r="F374" s="232" t="s">
        <v>142</v>
      </c>
      <c r="G374" s="232"/>
      <c r="H374" s="232" t="s">
        <v>1048</v>
      </c>
      <c r="I374" s="232" t="s">
        <v>1049</v>
      </c>
      <c r="J374" s="233" t="str">
        <f t="shared" si="10"/>
        <v>TantalumTANIOBIS Co., Ltd.</v>
      </c>
      <c r="K374" s="233" t="str">
        <f t="shared" si="11"/>
        <v>TantalumTANIOBIS Co., Ltd.</v>
      </c>
    </row>
    <row r="375" spans="1:11">
      <c r="A375" s="232" t="s">
        <v>130</v>
      </c>
      <c r="B375" s="232" t="s">
        <v>1050</v>
      </c>
      <c r="C375" s="232" t="s">
        <v>1050</v>
      </c>
      <c r="D375" s="232" t="s">
        <v>3254</v>
      </c>
      <c r="E375" s="232" t="s">
        <v>1128</v>
      </c>
      <c r="F375" s="232" t="s">
        <v>142</v>
      </c>
      <c r="G375" s="232"/>
      <c r="H375" s="232" t="s">
        <v>1131</v>
      </c>
      <c r="I375" s="232" t="s">
        <v>1051</v>
      </c>
      <c r="J375" s="233" t="str">
        <f t="shared" si="10"/>
        <v>TantalumTANIOBIS GmbH</v>
      </c>
      <c r="K375" s="233" t="str">
        <f t="shared" si="11"/>
        <v>TantalumTANIOBIS GmbH</v>
      </c>
    </row>
    <row r="376" spans="1:11">
      <c r="A376" s="232" t="s">
        <v>130</v>
      </c>
      <c r="B376" s="232" t="s">
        <v>1212</v>
      </c>
      <c r="C376" s="232" t="s">
        <v>1212</v>
      </c>
      <c r="D376" s="232" t="s">
        <v>3257</v>
      </c>
      <c r="E376" s="232" t="s">
        <v>1211</v>
      </c>
      <c r="F376" s="232" t="s">
        <v>142</v>
      </c>
      <c r="G376" s="232"/>
      <c r="H376" s="232" t="s">
        <v>1214</v>
      </c>
      <c r="I376" s="232" t="s">
        <v>1215</v>
      </c>
      <c r="J376" s="233" t="str">
        <f t="shared" si="10"/>
        <v>TantalumTANIOBIS Japan Co., Ltd.</v>
      </c>
      <c r="K376" s="233" t="str">
        <f t="shared" si="11"/>
        <v>TantalumTANIOBIS Japan Co., Ltd.</v>
      </c>
    </row>
    <row r="377" spans="1:11">
      <c r="A377" s="232" t="s">
        <v>130</v>
      </c>
      <c r="B377" s="232" t="s">
        <v>1217</v>
      </c>
      <c r="C377" s="232" t="s">
        <v>1217</v>
      </c>
      <c r="D377" s="232" t="s">
        <v>3254</v>
      </c>
      <c r="E377" s="232" t="s">
        <v>1216</v>
      </c>
      <c r="F377" s="232" t="s">
        <v>142</v>
      </c>
      <c r="G377" s="232"/>
      <c r="H377" s="232" t="s">
        <v>1220</v>
      </c>
      <c r="I377" s="232" t="s">
        <v>182</v>
      </c>
      <c r="J377" s="233" t="str">
        <f t="shared" si="10"/>
        <v>TantalumTANIOBIS Smelting GmbH &amp; Co. KG</v>
      </c>
      <c r="K377" s="233" t="str">
        <f t="shared" si="11"/>
        <v>TantalumTANIOBIS Smelting GmbH &amp; Co. KG</v>
      </c>
    </row>
    <row r="378" spans="1:11">
      <c r="A378" s="232" t="s">
        <v>130</v>
      </c>
      <c r="B378" s="232" t="s">
        <v>3067</v>
      </c>
      <c r="C378" s="232" t="s">
        <v>3067</v>
      </c>
      <c r="D378" s="232" t="s">
        <v>3251</v>
      </c>
      <c r="E378" s="232" t="s">
        <v>3066</v>
      </c>
      <c r="F378" s="232" t="s">
        <v>142</v>
      </c>
      <c r="G378" s="232"/>
      <c r="H378" s="232" t="s">
        <v>3069</v>
      </c>
      <c r="I378" s="232" t="s">
        <v>480</v>
      </c>
      <c r="J378" s="233" t="str">
        <f t="shared" si="10"/>
        <v>TantalumTelex Metals</v>
      </c>
      <c r="K378" s="233" t="str">
        <f t="shared" si="11"/>
        <v>TantalumTelex Metals</v>
      </c>
    </row>
    <row r="379" spans="1:11">
      <c r="A379" s="232" t="s">
        <v>130</v>
      </c>
      <c r="B379" s="232" t="s">
        <v>3410</v>
      </c>
      <c r="C379" s="232" t="s">
        <v>1090</v>
      </c>
      <c r="D379" s="232" t="s">
        <v>3315</v>
      </c>
      <c r="E379" s="232" t="s">
        <v>1089</v>
      </c>
      <c r="F379" s="232" t="s">
        <v>142</v>
      </c>
      <c r="G379" s="232"/>
      <c r="H379" s="232" t="s">
        <v>1092</v>
      </c>
      <c r="I379" s="232" t="s">
        <v>363</v>
      </c>
      <c r="J379" s="233" t="str">
        <f t="shared" si="10"/>
        <v>TantalumULBA</v>
      </c>
      <c r="K379" s="233" t="str">
        <f t="shared" si="11"/>
        <v>TantalumULBA</v>
      </c>
    </row>
    <row r="380" spans="1:11">
      <c r="A380" s="232" t="s">
        <v>130</v>
      </c>
      <c r="B380" s="232" t="s">
        <v>1090</v>
      </c>
      <c r="C380" s="232" t="s">
        <v>1090</v>
      </c>
      <c r="D380" s="232" t="s">
        <v>3315</v>
      </c>
      <c r="E380" s="232" t="s">
        <v>1089</v>
      </c>
      <c r="F380" s="232" t="s">
        <v>142</v>
      </c>
      <c r="G380" s="232"/>
      <c r="H380" s="232" t="s">
        <v>1092</v>
      </c>
      <c r="I380" s="232" t="s">
        <v>363</v>
      </c>
      <c r="J380" s="233" t="str">
        <f t="shared" si="10"/>
        <v>TantalumUlba Metallurgical Plant JSC</v>
      </c>
      <c r="K380" s="233" t="str">
        <f t="shared" si="11"/>
        <v>TantalumUlba Metallurgical Plant JSC</v>
      </c>
    </row>
    <row r="381" spans="1:11">
      <c r="A381" s="232" t="s">
        <v>130</v>
      </c>
      <c r="B381" s="232" t="s">
        <v>1099</v>
      </c>
      <c r="C381" s="232" t="s">
        <v>1099</v>
      </c>
      <c r="D381" s="232" t="s">
        <v>2818</v>
      </c>
      <c r="E381" s="232" t="s">
        <v>2724</v>
      </c>
      <c r="F381" s="232" t="s">
        <v>142</v>
      </c>
      <c r="G381" s="232"/>
      <c r="H381" s="232" t="s">
        <v>1100</v>
      </c>
      <c r="I381" s="232" t="s">
        <v>382</v>
      </c>
      <c r="J381" s="233" t="str">
        <f t="shared" si="10"/>
        <v>TantalumXIMEI RESOURCES (GUANGDONG) LIMITED</v>
      </c>
      <c r="K381" s="233" t="str">
        <f t="shared" si="11"/>
        <v>TantalumXIMEI RESOURCES (GUANGDONG) LIMITED</v>
      </c>
    </row>
    <row r="382" spans="1:11">
      <c r="A382" s="232" t="s">
        <v>130</v>
      </c>
      <c r="B382" s="232" t="s">
        <v>1102</v>
      </c>
      <c r="C382" s="232" t="s">
        <v>1102</v>
      </c>
      <c r="D382" s="232" t="s">
        <v>2818</v>
      </c>
      <c r="E382" s="232" t="s">
        <v>1101</v>
      </c>
      <c r="F382" s="232" t="s">
        <v>142</v>
      </c>
      <c r="G382" s="232"/>
      <c r="H382" s="232" t="s">
        <v>1104</v>
      </c>
      <c r="I382" s="232" t="s">
        <v>382</v>
      </c>
      <c r="J382" s="233" t="str">
        <f t="shared" si="10"/>
        <v>TantalumXinXing HaoRong Electronic Material Co., Ltd.</v>
      </c>
      <c r="K382" s="233" t="str">
        <f t="shared" si="11"/>
        <v>TantalumXinXing HaoRong Electronic Material Co., Ltd.</v>
      </c>
    </row>
    <row r="383" spans="1:11">
      <c r="A383" s="232" t="s">
        <v>130</v>
      </c>
      <c r="B383" s="232" t="s">
        <v>1859</v>
      </c>
      <c r="C383" s="232" t="s">
        <v>3409</v>
      </c>
      <c r="D383" s="232" t="s">
        <v>2818</v>
      </c>
      <c r="E383" s="232" t="s">
        <v>1858</v>
      </c>
      <c r="F383" s="232" t="s">
        <v>142</v>
      </c>
      <c r="G383" s="232"/>
      <c r="H383" s="232" t="s">
        <v>1861</v>
      </c>
      <c r="I383" s="228" t="s">
        <v>194</v>
      </c>
      <c r="J383" s="233" t="str">
        <f t="shared" si="10"/>
        <v>TantalumYancheng Jinye New Material Technology Co., Ltd.</v>
      </c>
      <c r="K383" s="233" t="str">
        <f t="shared" si="11"/>
        <v>TantalumYancheng Jinye New Material Technology Co., Ltd.</v>
      </c>
    </row>
    <row r="384" spans="1:11">
      <c r="A384" s="232" t="s">
        <v>130</v>
      </c>
      <c r="B384" s="232" t="s">
        <v>1022</v>
      </c>
      <c r="C384" s="232" t="s">
        <v>1022</v>
      </c>
      <c r="D384" s="232" t="s">
        <v>2818</v>
      </c>
      <c r="E384" s="232" t="s">
        <v>1021</v>
      </c>
      <c r="F384" s="232" t="s">
        <v>142</v>
      </c>
      <c r="G384" s="232"/>
      <c r="H384" s="232" t="s">
        <v>708</v>
      </c>
      <c r="I384" s="228" t="s">
        <v>709</v>
      </c>
      <c r="J384" s="233" t="str">
        <f t="shared" si="10"/>
        <v>TantalumYanling Jincheng Tantalum &amp; Niobium Co., Ltd.</v>
      </c>
      <c r="K384" s="233" t="str">
        <f t="shared" si="11"/>
        <v>TantalumYanling Jincheng Tantalum &amp; Niobium Co., Ltd.</v>
      </c>
    </row>
    <row r="385" spans="1:11">
      <c r="A385" s="232" t="s">
        <v>130</v>
      </c>
      <c r="B385" s="232" t="s">
        <v>3411</v>
      </c>
      <c r="C385" s="232" t="s">
        <v>1022</v>
      </c>
      <c r="D385" s="232" t="s">
        <v>2818</v>
      </c>
      <c r="E385" s="232" t="s">
        <v>1021</v>
      </c>
      <c r="F385" s="232" t="s">
        <v>142</v>
      </c>
      <c r="G385" s="232"/>
      <c r="H385" s="232" t="s">
        <v>708</v>
      </c>
      <c r="I385" s="232" t="s">
        <v>709</v>
      </c>
      <c r="J385" s="233" t="str">
        <f t="shared" si="10"/>
        <v>TantalumYanling Jincheng Tantalum Co., Ltd.</v>
      </c>
      <c r="K385" s="233" t="str">
        <f t="shared" si="11"/>
        <v>TantalumYanling Jincheng Tantalum Co., Ltd.</v>
      </c>
    </row>
    <row r="386" spans="1:11">
      <c r="A386" s="232" t="s">
        <v>130</v>
      </c>
      <c r="B386" s="232" t="s">
        <v>3412</v>
      </c>
      <c r="C386" s="232" t="s">
        <v>1212</v>
      </c>
      <c r="D386" s="232" t="s">
        <v>3257</v>
      </c>
      <c r="E386" s="232" t="s">
        <v>1211</v>
      </c>
      <c r="F386" s="232" t="s">
        <v>142</v>
      </c>
      <c r="G386" s="232"/>
      <c r="H386" s="232" t="s">
        <v>1214</v>
      </c>
      <c r="I386" s="232" t="s">
        <v>1215</v>
      </c>
      <c r="J386" s="233" t="str">
        <f t="shared" si="10"/>
        <v>Tantalumタニオビス・ジャパン株式会社</v>
      </c>
      <c r="K386" s="233" t="str">
        <f t="shared" si="11"/>
        <v>Tantalumタニオビス・ジャパン株式会社</v>
      </c>
    </row>
    <row r="387" spans="1:11">
      <c r="A387" s="232" t="s">
        <v>130</v>
      </c>
      <c r="B387" s="232" t="s">
        <v>209</v>
      </c>
      <c r="C387" s="232"/>
      <c r="D387" s="232"/>
      <c r="E387" s="232"/>
      <c r="F387" s="232"/>
      <c r="G387" s="232"/>
      <c r="H387" s="232"/>
      <c r="I387" s="232"/>
      <c r="J387" s="233" t="str">
        <f t="shared" si="10"/>
        <v>TantalumSmelter not listed</v>
      </c>
      <c r="K387" s="233" t="str">
        <f t="shared" si="11"/>
        <v>TantalumSmelter not listed</v>
      </c>
    </row>
    <row r="388" spans="1:11">
      <c r="A388" s="232" t="s">
        <v>130</v>
      </c>
      <c r="B388" s="232" t="s">
        <v>137</v>
      </c>
      <c r="C388" s="232" t="s">
        <v>121</v>
      </c>
      <c r="D388" s="232" t="s">
        <v>121</v>
      </c>
      <c r="E388" s="232"/>
      <c r="F388" s="232"/>
      <c r="G388" s="232"/>
      <c r="H388" s="232"/>
      <c r="I388" s="232"/>
      <c r="J388" s="233" t="str">
        <f t="shared" si="10"/>
        <v>TantalumSmelter not yet identified</v>
      </c>
      <c r="K388" s="233" t="str">
        <f t="shared" si="11"/>
        <v>TantalumSmelter not yet identified</v>
      </c>
    </row>
    <row r="389" spans="1:11">
      <c r="A389" s="232" t="s">
        <v>131</v>
      </c>
      <c r="B389" s="232" t="s">
        <v>3413</v>
      </c>
      <c r="C389" s="232" t="s">
        <v>3414</v>
      </c>
      <c r="D389" s="232" t="s">
        <v>3251</v>
      </c>
      <c r="E389" s="232" t="s">
        <v>1111</v>
      </c>
      <c r="F389" s="232" t="s">
        <v>142</v>
      </c>
      <c r="G389" s="232"/>
      <c r="H389" s="232" t="s">
        <v>1114</v>
      </c>
      <c r="I389" s="232" t="s">
        <v>480</v>
      </c>
      <c r="J389" s="233" t="str">
        <f t="shared" ref="J389:J452" si="12">A389&amp;B389</f>
        <v>TinAlent plc</v>
      </c>
      <c r="K389" s="233" t="str">
        <f t="shared" ref="K389:K452" si="13">A389&amp;B389</f>
        <v>TinAlent plc</v>
      </c>
    </row>
    <row r="390" spans="1:11">
      <c r="A390" s="232" t="s">
        <v>131</v>
      </c>
      <c r="B390" s="232" t="s">
        <v>3414</v>
      </c>
      <c r="C390" s="232" t="s">
        <v>3414</v>
      </c>
      <c r="D390" s="232" t="s">
        <v>3251</v>
      </c>
      <c r="E390" s="232" t="s">
        <v>1111</v>
      </c>
      <c r="F390" s="232" t="s">
        <v>142</v>
      </c>
      <c r="G390" s="232"/>
      <c r="H390" s="232" t="s">
        <v>1114</v>
      </c>
      <c r="I390" s="232" t="s">
        <v>480</v>
      </c>
      <c r="J390" s="233" t="str">
        <f t="shared" si="12"/>
        <v>TinAlpha</v>
      </c>
      <c r="K390" s="233" t="str">
        <f t="shared" si="13"/>
        <v>TinAlpha</v>
      </c>
    </row>
    <row r="391" spans="1:11">
      <c r="A391" s="232" t="s">
        <v>131</v>
      </c>
      <c r="B391" s="232" t="s">
        <v>1113</v>
      </c>
      <c r="C391" s="232" t="s">
        <v>3414</v>
      </c>
      <c r="D391" s="232" t="s">
        <v>3251</v>
      </c>
      <c r="E391" s="232" t="s">
        <v>1111</v>
      </c>
      <c r="F391" s="232" t="s">
        <v>142</v>
      </c>
      <c r="G391" s="232"/>
      <c r="H391" s="232" t="s">
        <v>1114</v>
      </c>
      <c r="I391" s="232" t="s">
        <v>480</v>
      </c>
      <c r="J391" s="233" t="str">
        <f t="shared" si="12"/>
        <v>TinAlpha Metals</v>
      </c>
      <c r="K391" s="233" t="str">
        <f t="shared" si="13"/>
        <v>TinAlpha Metals</v>
      </c>
    </row>
    <row r="392" spans="1:11">
      <c r="A392" s="232" t="s">
        <v>131</v>
      </c>
      <c r="B392" s="232" t="s">
        <v>3415</v>
      </c>
      <c r="C392" s="232" t="s">
        <v>3414</v>
      </c>
      <c r="D392" s="232" t="s">
        <v>3251</v>
      </c>
      <c r="E392" s="232" t="s">
        <v>1111</v>
      </c>
      <c r="F392" s="232" t="s">
        <v>142</v>
      </c>
      <c r="G392" s="232"/>
      <c r="H392" s="232" t="s">
        <v>1114</v>
      </c>
      <c r="I392" s="232" t="s">
        <v>480</v>
      </c>
      <c r="J392" s="233" t="str">
        <f t="shared" si="12"/>
        <v>TinAlpha Metals Korea Ltd.</v>
      </c>
      <c r="K392" s="233" t="str">
        <f t="shared" si="13"/>
        <v>TinAlpha Metals Korea Ltd.</v>
      </c>
    </row>
    <row r="393" spans="1:11">
      <c r="A393" s="232" t="s">
        <v>131</v>
      </c>
      <c r="B393" s="232" t="s">
        <v>1122</v>
      </c>
      <c r="C393" s="232" t="s">
        <v>3414</v>
      </c>
      <c r="D393" s="232" t="s">
        <v>3251</v>
      </c>
      <c r="E393" s="232" t="s">
        <v>1111</v>
      </c>
      <c r="F393" s="232" t="s">
        <v>142</v>
      </c>
      <c r="G393" s="232"/>
      <c r="H393" s="232" t="s">
        <v>1114</v>
      </c>
      <c r="I393" s="232" t="s">
        <v>480</v>
      </c>
      <c r="J393" s="233" t="str">
        <f t="shared" si="12"/>
        <v>TinAlpha Metals Taiwan</v>
      </c>
      <c r="K393" s="233" t="str">
        <f t="shared" si="13"/>
        <v>TinAlpha Metals Taiwan</v>
      </c>
    </row>
    <row r="394" spans="1:11">
      <c r="A394" s="232" t="s">
        <v>131</v>
      </c>
      <c r="B394" s="232" t="s">
        <v>2746</v>
      </c>
      <c r="C394" s="232" t="s">
        <v>2746</v>
      </c>
      <c r="D394" s="232" t="s">
        <v>3416</v>
      </c>
      <c r="E394" s="232" t="s">
        <v>2745</v>
      </c>
      <c r="F394" s="232" t="s">
        <v>142</v>
      </c>
      <c r="G394" s="232"/>
      <c r="H394" s="232" t="s">
        <v>1126</v>
      </c>
      <c r="I394" s="232" t="s">
        <v>1127</v>
      </c>
      <c r="J394" s="233" t="str">
        <f t="shared" si="12"/>
        <v>TinAn Vinh Joint Stock Mineral Processing Company</v>
      </c>
      <c r="K394" s="233" t="str">
        <f t="shared" si="13"/>
        <v>TinAn Vinh Joint Stock Mineral Processing Company</v>
      </c>
    </row>
    <row r="395" spans="1:11">
      <c r="A395" s="232" t="s">
        <v>131</v>
      </c>
      <c r="B395" s="232" t="s">
        <v>3417</v>
      </c>
      <c r="C395" s="232" t="s">
        <v>1309</v>
      </c>
      <c r="D395" s="232" t="s">
        <v>1075</v>
      </c>
      <c r="E395" s="232" t="s">
        <v>1308</v>
      </c>
      <c r="F395" s="232" t="s">
        <v>142</v>
      </c>
      <c r="G395" s="232"/>
      <c r="H395" s="232" t="s">
        <v>1071</v>
      </c>
      <c r="I395" s="232" t="s">
        <v>833</v>
      </c>
      <c r="J395" s="233" t="str">
        <f t="shared" si="12"/>
        <v>TinBrand IMLI</v>
      </c>
      <c r="K395" s="233" t="str">
        <f t="shared" si="13"/>
        <v>TinBrand IMLI</v>
      </c>
    </row>
    <row r="396" spans="1:11">
      <c r="A396" s="232" t="s">
        <v>131</v>
      </c>
      <c r="B396" s="232" t="s">
        <v>3210</v>
      </c>
      <c r="C396" s="232" t="s">
        <v>2475</v>
      </c>
      <c r="D396" s="232" t="s">
        <v>1075</v>
      </c>
      <c r="E396" s="232" t="s">
        <v>3209</v>
      </c>
      <c r="F396" s="232" t="s">
        <v>142</v>
      </c>
      <c r="G396" s="232"/>
      <c r="H396" s="232" t="s">
        <v>1056</v>
      </c>
      <c r="I396" s="232" t="s">
        <v>833</v>
      </c>
      <c r="J396" s="233" t="str">
        <f t="shared" si="12"/>
        <v>TinBrand RBT</v>
      </c>
      <c r="K396" s="233" t="str">
        <f t="shared" si="13"/>
        <v>TinBrand RBT</v>
      </c>
    </row>
    <row r="397" spans="1:11">
      <c r="A397" s="232" t="s">
        <v>131</v>
      </c>
      <c r="B397" s="232" t="s">
        <v>3418</v>
      </c>
      <c r="C397" s="232" t="s">
        <v>2795</v>
      </c>
      <c r="D397" s="232" t="s">
        <v>2818</v>
      </c>
      <c r="E397" s="232" t="s">
        <v>2793</v>
      </c>
      <c r="F397" s="232" t="s">
        <v>142</v>
      </c>
      <c r="G397" s="232"/>
      <c r="H397" s="232" t="s">
        <v>1147</v>
      </c>
      <c r="I397" s="232" t="s">
        <v>1148</v>
      </c>
      <c r="J397" s="233" t="str">
        <f t="shared" si="12"/>
        <v>TinChengfeng Metals Co Pte Ltd</v>
      </c>
      <c r="K397" s="233" t="str">
        <f t="shared" si="13"/>
        <v>TinChengfeng Metals Co Pte Ltd</v>
      </c>
    </row>
    <row r="398" spans="1:11">
      <c r="A398" s="232" t="s">
        <v>131</v>
      </c>
      <c r="B398" s="232" t="s">
        <v>3419</v>
      </c>
      <c r="C398" s="232" t="s">
        <v>3218</v>
      </c>
      <c r="D398" s="232" t="s">
        <v>2818</v>
      </c>
      <c r="E398" s="232" t="s">
        <v>3217</v>
      </c>
      <c r="F398" s="232" t="s">
        <v>142</v>
      </c>
      <c r="G398" s="232"/>
      <c r="H398" s="232" t="s">
        <v>1921</v>
      </c>
      <c r="I398" s="232" t="s">
        <v>709</v>
      </c>
      <c r="J398" s="233" t="str">
        <f t="shared" si="12"/>
        <v>TinChenzhou Yun Xiang mining limited liability company</v>
      </c>
      <c r="K398" s="233" t="str">
        <f t="shared" si="13"/>
        <v>TinChenzhou Yun Xiang mining limited liability company</v>
      </c>
    </row>
    <row r="399" spans="1:11">
      <c r="A399" s="232" t="s">
        <v>131</v>
      </c>
      <c r="B399" s="232" t="s">
        <v>3218</v>
      </c>
      <c r="C399" s="232" t="s">
        <v>3218</v>
      </c>
      <c r="D399" s="232" t="s">
        <v>2818</v>
      </c>
      <c r="E399" s="232" t="s">
        <v>3217</v>
      </c>
      <c r="F399" s="232" t="s">
        <v>142</v>
      </c>
      <c r="G399" s="232"/>
      <c r="H399" s="232" t="s">
        <v>1921</v>
      </c>
      <c r="I399" s="232" t="s">
        <v>709</v>
      </c>
      <c r="J399" s="233" t="str">
        <f t="shared" si="12"/>
        <v>TinChenzhou Yunxiang Mining and Metallurgy Co., Ltd.</v>
      </c>
      <c r="K399" s="233" t="str">
        <f t="shared" si="13"/>
        <v>TinChenzhou Yunxiang Mining and Metallurgy Co., Ltd.</v>
      </c>
    </row>
    <row r="400" spans="1:11">
      <c r="A400" s="232" t="s">
        <v>131</v>
      </c>
      <c r="B400" s="232" t="s">
        <v>3220</v>
      </c>
      <c r="C400" s="232" t="s">
        <v>3220</v>
      </c>
      <c r="D400" s="232" t="s">
        <v>2818</v>
      </c>
      <c r="E400" s="232" t="s">
        <v>3219</v>
      </c>
      <c r="F400" s="232" t="s">
        <v>142</v>
      </c>
      <c r="G400" s="232"/>
      <c r="H400" s="232" t="s">
        <v>3222</v>
      </c>
      <c r="I400" s="232" t="s">
        <v>1927</v>
      </c>
      <c r="J400" s="233" t="str">
        <f t="shared" si="12"/>
        <v>TinChifeng Dajingzi Tin Industry Co., Ltd.</v>
      </c>
      <c r="K400" s="233" t="str">
        <f t="shared" si="13"/>
        <v>TinChifeng Dajingzi Tin Industry Co., Ltd.</v>
      </c>
    </row>
    <row r="401" spans="1:11">
      <c r="A401" s="232" t="s">
        <v>131</v>
      </c>
      <c r="B401" s="232" t="s">
        <v>3420</v>
      </c>
      <c r="C401" s="232" t="s">
        <v>1982</v>
      </c>
      <c r="D401" s="232" t="s">
        <v>2818</v>
      </c>
      <c r="E401" s="232" t="s">
        <v>1981</v>
      </c>
      <c r="F401" s="232" t="s">
        <v>142</v>
      </c>
      <c r="G401" s="232"/>
      <c r="H401" s="232" t="s">
        <v>1983</v>
      </c>
      <c r="I401" s="232" t="s">
        <v>995</v>
      </c>
      <c r="J401" s="233" t="str">
        <f t="shared" si="12"/>
        <v>TinChina Tin (Hechi)</v>
      </c>
      <c r="K401" s="233" t="str">
        <f t="shared" si="13"/>
        <v>TinChina Tin (Hechi)</v>
      </c>
    </row>
    <row r="402" spans="1:11">
      <c r="A402" s="232" t="s">
        <v>131</v>
      </c>
      <c r="B402" s="232" t="s">
        <v>1982</v>
      </c>
      <c r="C402" s="232" t="s">
        <v>1982</v>
      </c>
      <c r="D402" s="232" t="s">
        <v>2818</v>
      </c>
      <c r="E402" s="232" t="s">
        <v>1981</v>
      </c>
      <c r="F402" s="232" t="s">
        <v>142</v>
      </c>
      <c r="G402" s="232"/>
      <c r="H402" s="232" t="s">
        <v>1983</v>
      </c>
      <c r="I402" s="232" t="s">
        <v>995</v>
      </c>
      <c r="J402" s="233" t="str">
        <f t="shared" si="12"/>
        <v>TinChina Tin Group Co., Ltd.</v>
      </c>
      <c r="K402" s="233" t="str">
        <f t="shared" si="13"/>
        <v>TinChina Tin Group Co., Ltd.</v>
      </c>
    </row>
    <row r="403" spans="1:11">
      <c r="A403" s="232" t="s">
        <v>131</v>
      </c>
      <c r="B403" s="232" t="s">
        <v>3421</v>
      </c>
      <c r="C403" s="232" t="s">
        <v>1982</v>
      </c>
      <c r="D403" s="232" t="s">
        <v>2818</v>
      </c>
      <c r="E403" s="232" t="s">
        <v>1981</v>
      </c>
      <c r="F403" s="232" t="s">
        <v>142</v>
      </c>
      <c r="G403" s="232"/>
      <c r="H403" s="232" t="s">
        <v>1983</v>
      </c>
      <c r="I403" s="232" t="s">
        <v>995</v>
      </c>
      <c r="J403" s="233" t="str">
        <f t="shared" si="12"/>
        <v>TinChina Tin Lai Ben Smelter Co., Ltd.</v>
      </c>
      <c r="K403" s="233" t="str">
        <f t="shared" si="13"/>
        <v>TinChina Tin Lai Ben Smelter Co., Ltd.</v>
      </c>
    </row>
    <row r="404" spans="1:11">
      <c r="A404" s="232" t="s">
        <v>131</v>
      </c>
      <c r="B404" s="232" t="s">
        <v>1985</v>
      </c>
      <c r="C404" s="232" t="s">
        <v>3422</v>
      </c>
      <c r="D404" s="232" t="s">
        <v>2818</v>
      </c>
      <c r="E404" s="232" t="s">
        <v>1143</v>
      </c>
      <c r="F404" s="232" t="s">
        <v>142</v>
      </c>
      <c r="G404" s="232"/>
      <c r="H404" s="232" t="s">
        <v>1147</v>
      </c>
      <c r="I404" s="232" t="s">
        <v>1148</v>
      </c>
      <c r="J404" s="233" t="str">
        <f t="shared" si="12"/>
        <v>TinChina Yunnan Tin Co Ltd.</v>
      </c>
      <c r="K404" s="233" t="str">
        <f t="shared" si="13"/>
        <v>TinChina Yunnan Tin Co Ltd.</v>
      </c>
    </row>
    <row r="405" spans="1:11">
      <c r="A405" s="232" t="s">
        <v>131</v>
      </c>
      <c r="B405" s="232" t="s">
        <v>1121</v>
      </c>
      <c r="C405" s="232" t="s">
        <v>3414</v>
      </c>
      <c r="D405" s="232" t="s">
        <v>3251</v>
      </c>
      <c r="E405" s="232" t="s">
        <v>1111</v>
      </c>
      <c r="F405" s="232" t="s">
        <v>142</v>
      </c>
      <c r="G405" s="232"/>
      <c r="H405" s="232" t="s">
        <v>1114</v>
      </c>
      <c r="I405" s="232" t="s">
        <v>480</v>
      </c>
      <c r="J405" s="233" t="str">
        <f t="shared" si="12"/>
        <v>TinCookson</v>
      </c>
      <c r="K405" s="233" t="str">
        <f t="shared" si="13"/>
        <v>TinCookson</v>
      </c>
    </row>
    <row r="406" spans="1:11">
      <c r="A406" s="232" t="s">
        <v>131</v>
      </c>
      <c r="B406" s="232" t="s">
        <v>1112</v>
      </c>
      <c r="C406" s="232" t="s">
        <v>3414</v>
      </c>
      <c r="D406" s="232" t="s">
        <v>3251</v>
      </c>
      <c r="E406" s="232" t="s">
        <v>1111</v>
      </c>
      <c r="F406" s="232" t="s">
        <v>142</v>
      </c>
      <c r="G406" s="232"/>
      <c r="H406" s="232" t="s">
        <v>1114</v>
      </c>
      <c r="I406" s="232" t="s">
        <v>480</v>
      </c>
      <c r="J406" s="233" t="str">
        <f t="shared" si="12"/>
        <v>TinCookson (Alpha Metals Taiwan)</v>
      </c>
      <c r="K406" s="233" t="str">
        <f t="shared" si="13"/>
        <v>TinCookson (Alpha Metals Taiwan)</v>
      </c>
    </row>
    <row r="407" spans="1:11">
      <c r="A407" s="232" t="s">
        <v>131</v>
      </c>
      <c r="B407" s="232" t="s">
        <v>3423</v>
      </c>
      <c r="C407" s="232" t="s">
        <v>3414</v>
      </c>
      <c r="D407" s="232" t="s">
        <v>3251</v>
      </c>
      <c r="E407" s="232" t="s">
        <v>1111</v>
      </c>
      <c r="F407" s="232" t="s">
        <v>142</v>
      </c>
      <c r="G407" s="232"/>
      <c r="H407" s="232" t="s">
        <v>1114</v>
      </c>
      <c r="I407" s="232" t="s">
        <v>480</v>
      </c>
      <c r="J407" s="233" t="str">
        <f t="shared" si="12"/>
        <v>TinCookson Alpha Metals (Shenzhen) Co., Ltd.</v>
      </c>
      <c r="K407" s="233" t="str">
        <f t="shared" si="13"/>
        <v>TinCookson Alpha Metals (Shenzhen) Co., Ltd.</v>
      </c>
    </row>
    <row r="408" spans="1:11">
      <c r="A408" s="232" t="s">
        <v>131</v>
      </c>
      <c r="B408" s="232" t="s">
        <v>3230</v>
      </c>
      <c r="C408" s="232" t="s">
        <v>3230</v>
      </c>
      <c r="D408" s="232" t="s">
        <v>3265</v>
      </c>
      <c r="E408" s="232" t="s">
        <v>3229</v>
      </c>
      <c r="F408" s="232" t="s">
        <v>142</v>
      </c>
      <c r="G408" s="232"/>
      <c r="H408" s="232" t="s">
        <v>3231</v>
      </c>
      <c r="I408" s="232" t="s">
        <v>1431</v>
      </c>
      <c r="J408" s="233" t="str">
        <f t="shared" si="12"/>
        <v>TinCRM Fundicao De Metais E Comercio De Equipamentos Eletronicos Do Brasil Ltda</v>
      </c>
      <c r="K408" s="233" t="str">
        <f t="shared" si="13"/>
        <v>TinCRM Fundicao De Metais E Comercio De Equipamentos Eletronicos Do Brasil Ltda</v>
      </c>
    </row>
    <row r="409" spans="1:11">
      <c r="A409" s="232" t="s">
        <v>131</v>
      </c>
      <c r="B409" s="232" t="s">
        <v>3424</v>
      </c>
      <c r="C409" s="232" t="s">
        <v>3230</v>
      </c>
      <c r="D409" s="232" t="s">
        <v>3265</v>
      </c>
      <c r="E409" s="232" t="s">
        <v>3229</v>
      </c>
      <c r="F409" s="232" t="s">
        <v>142</v>
      </c>
      <c r="G409" s="232"/>
      <c r="H409" s="232" t="s">
        <v>3231</v>
      </c>
      <c r="I409" s="232" t="s">
        <v>1431</v>
      </c>
      <c r="J409" s="233" t="str">
        <f t="shared" si="12"/>
        <v>TinCRM Fundição De Metais E Comércio De Equipamentos Eletrônicos Do Brasil Ltda</v>
      </c>
      <c r="K409" s="233" t="str">
        <f t="shared" si="13"/>
        <v>TinCRM Fundição De Metais E Comércio De Equipamentos Eletrônicos Do Brasil Ltda</v>
      </c>
    </row>
    <row r="410" spans="1:11">
      <c r="A410" s="232" t="s">
        <v>131</v>
      </c>
      <c r="B410" s="232" t="s">
        <v>3082</v>
      </c>
      <c r="C410" s="232" t="s">
        <v>3082</v>
      </c>
      <c r="D410" s="232" t="s">
        <v>3353</v>
      </c>
      <c r="E410" s="232" t="s">
        <v>3081</v>
      </c>
      <c r="F410" s="232" t="s">
        <v>142</v>
      </c>
      <c r="G410" s="232"/>
      <c r="H410" s="232" t="s">
        <v>3083</v>
      </c>
      <c r="I410" s="232" t="s">
        <v>3083</v>
      </c>
      <c r="J410" s="233" t="str">
        <f t="shared" si="12"/>
        <v>TinCRM Synergies</v>
      </c>
      <c r="K410" s="233" t="str">
        <f t="shared" si="13"/>
        <v>TinCRM Synergies</v>
      </c>
    </row>
    <row r="411" spans="1:11">
      <c r="A411" s="232" t="s">
        <v>131</v>
      </c>
      <c r="B411" s="232" t="s">
        <v>1228</v>
      </c>
      <c r="C411" s="232" t="s">
        <v>1475</v>
      </c>
      <c r="D411" s="232" t="s">
        <v>1075</v>
      </c>
      <c r="E411" s="232" t="s">
        <v>1474</v>
      </c>
      <c r="F411" s="232" t="s">
        <v>142</v>
      </c>
      <c r="G411" s="232"/>
      <c r="H411" s="232" t="s">
        <v>3425</v>
      </c>
      <c r="I411" s="232" t="s">
        <v>833</v>
      </c>
      <c r="J411" s="233" t="str">
        <f t="shared" si="12"/>
        <v>TinCV Nurjanah</v>
      </c>
      <c r="K411" s="233" t="str">
        <f t="shared" si="13"/>
        <v>TinCV Nurjanah</v>
      </c>
    </row>
    <row r="412" spans="1:11">
      <c r="A412" s="232" t="s">
        <v>131</v>
      </c>
      <c r="B412" s="232" t="s">
        <v>1988</v>
      </c>
      <c r="C412" s="232" t="s">
        <v>1988</v>
      </c>
      <c r="D412" s="232" t="s">
        <v>1075</v>
      </c>
      <c r="E412" s="232" t="s">
        <v>1987</v>
      </c>
      <c r="F412" s="232" t="s">
        <v>142</v>
      </c>
      <c r="G412" s="232"/>
      <c r="H412" s="232" t="s">
        <v>1071</v>
      </c>
      <c r="I412" s="232" t="s">
        <v>833</v>
      </c>
      <c r="J412" s="233" t="str">
        <f t="shared" si="12"/>
        <v>TinCV Venus Inti Perkasa</v>
      </c>
      <c r="K412" s="233" t="str">
        <f t="shared" si="13"/>
        <v>TinCV Venus Inti Perkasa</v>
      </c>
    </row>
    <row r="413" spans="1:11">
      <c r="A413" s="232" t="s">
        <v>131</v>
      </c>
      <c r="B413" s="232" t="s">
        <v>2153</v>
      </c>
      <c r="C413" s="232" t="s">
        <v>2153</v>
      </c>
      <c r="D413" s="232" t="s">
        <v>2818</v>
      </c>
      <c r="E413" s="232" t="s">
        <v>2152</v>
      </c>
      <c r="F413" s="232" t="s">
        <v>142</v>
      </c>
      <c r="G413" s="232"/>
      <c r="H413" s="232" t="s">
        <v>2155</v>
      </c>
      <c r="I413" s="232" t="s">
        <v>382</v>
      </c>
      <c r="J413" s="233" t="str">
        <f t="shared" si="12"/>
        <v>TinDongguan CiEXPO Environmental Engineering Co., Ltd.</v>
      </c>
      <c r="K413" s="233" t="str">
        <f t="shared" si="13"/>
        <v>TinDongguan CiEXPO Environmental Engineering Co., Ltd.</v>
      </c>
    </row>
    <row r="414" spans="1:11">
      <c r="A414" s="232" t="s">
        <v>131</v>
      </c>
      <c r="B414" s="232" t="s">
        <v>1346</v>
      </c>
      <c r="C414" s="232" t="s">
        <v>1346</v>
      </c>
      <c r="D414" s="232" t="s">
        <v>3257</v>
      </c>
      <c r="E414" s="232" t="s">
        <v>1994</v>
      </c>
      <c r="F414" s="232" t="s">
        <v>142</v>
      </c>
      <c r="G414" s="232"/>
      <c r="H414" s="232" t="s">
        <v>1348</v>
      </c>
      <c r="I414" s="232" t="s">
        <v>235</v>
      </c>
      <c r="J414" s="233" t="str">
        <f t="shared" si="12"/>
        <v>TinDowa</v>
      </c>
      <c r="K414" s="233" t="str">
        <f t="shared" si="13"/>
        <v>TinDowa</v>
      </c>
    </row>
    <row r="415" spans="1:11">
      <c r="A415" s="232" t="s">
        <v>131</v>
      </c>
      <c r="B415" s="232" t="s">
        <v>1995</v>
      </c>
      <c r="C415" s="232" t="s">
        <v>1346</v>
      </c>
      <c r="D415" s="232" t="s">
        <v>3257</v>
      </c>
      <c r="E415" s="232" t="s">
        <v>1994</v>
      </c>
      <c r="F415" s="232" t="s">
        <v>142</v>
      </c>
      <c r="G415" s="232"/>
      <c r="H415" s="232" t="s">
        <v>1348</v>
      </c>
      <c r="I415" s="232" t="s">
        <v>235</v>
      </c>
      <c r="J415" s="233" t="str">
        <f t="shared" si="12"/>
        <v>TinDowa Metaltech Co., Ltd.</v>
      </c>
      <c r="K415" s="233" t="str">
        <f t="shared" si="13"/>
        <v>TinDowa Metaltech Co., Ltd.</v>
      </c>
    </row>
    <row r="416" spans="1:11">
      <c r="A416" s="232" t="s">
        <v>131</v>
      </c>
      <c r="B416" s="232" t="s">
        <v>2005</v>
      </c>
      <c r="C416" s="232" t="s">
        <v>2005</v>
      </c>
      <c r="D416" s="232" t="s">
        <v>3426</v>
      </c>
      <c r="E416" s="232" t="s">
        <v>2004</v>
      </c>
      <c r="F416" s="232" t="s">
        <v>142</v>
      </c>
      <c r="G416" s="232"/>
      <c r="H416" s="232" t="s">
        <v>1460</v>
      </c>
      <c r="I416" s="232" t="s">
        <v>1460</v>
      </c>
      <c r="J416" s="233" t="str">
        <f t="shared" si="12"/>
        <v>TinDS Myanmar</v>
      </c>
      <c r="K416" s="233" t="str">
        <f t="shared" si="13"/>
        <v>TinDS Myanmar</v>
      </c>
    </row>
    <row r="417" spans="1:11">
      <c r="A417" s="232" t="s">
        <v>131</v>
      </c>
      <c r="B417" s="232" t="s">
        <v>2014</v>
      </c>
      <c r="C417" s="232" t="s">
        <v>2014</v>
      </c>
      <c r="D417" s="232" t="s">
        <v>3416</v>
      </c>
      <c r="E417" s="232" t="s">
        <v>2013</v>
      </c>
      <c r="F417" s="232" t="s">
        <v>142</v>
      </c>
      <c r="G417" s="232"/>
      <c r="H417" s="232" t="s">
        <v>2016</v>
      </c>
      <c r="I417" s="232" t="s">
        <v>2017</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32" t="s">
        <v>131</v>
      </c>
      <c r="B418" s="232" t="s">
        <v>2023</v>
      </c>
      <c r="C418" s="232" t="s">
        <v>2023</v>
      </c>
      <c r="D418" s="232" t="s">
        <v>3427</v>
      </c>
      <c r="E418" s="232" t="s">
        <v>3084</v>
      </c>
      <c r="F418" s="232" t="s">
        <v>142</v>
      </c>
      <c r="G418" s="232"/>
      <c r="H418" s="232" t="s">
        <v>2452</v>
      </c>
      <c r="I418" s="232" t="s">
        <v>2452</v>
      </c>
      <c r="J418" s="233" t="str">
        <f t="shared" si="12"/>
        <v>TinEM Vinto</v>
      </c>
      <c r="K418" s="233" t="str">
        <f t="shared" si="13"/>
        <v>TinEM Vinto</v>
      </c>
    </row>
    <row r="419" spans="1:11">
      <c r="A419" s="232" t="s">
        <v>131</v>
      </c>
      <c r="B419" s="232" t="s">
        <v>3428</v>
      </c>
      <c r="C419" s="232" t="s">
        <v>2023</v>
      </c>
      <c r="D419" s="232" t="s">
        <v>3427</v>
      </c>
      <c r="E419" s="232" t="s">
        <v>3084</v>
      </c>
      <c r="F419" s="232" t="s">
        <v>142</v>
      </c>
      <c r="G419" s="232"/>
      <c r="H419" s="232" t="s">
        <v>2452</v>
      </c>
      <c r="I419" s="232" t="s">
        <v>2452</v>
      </c>
      <c r="J419" s="233" t="str">
        <f t="shared" si="12"/>
        <v>TinEmpresa Metalúrgica Vinto</v>
      </c>
      <c r="K419" s="233" t="str">
        <f t="shared" si="13"/>
        <v>TinEmpresa Metalúrgica Vinto</v>
      </c>
    </row>
    <row r="420" spans="1:11">
      <c r="A420" s="232" t="s">
        <v>131</v>
      </c>
      <c r="B420" s="232" t="s">
        <v>3429</v>
      </c>
      <c r="C420" s="232" t="s">
        <v>2023</v>
      </c>
      <c r="D420" s="232" t="s">
        <v>3427</v>
      </c>
      <c r="E420" s="232" t="s">
        <v>3084</v>
      </c>
      <c r="F420" s="232" t="s">
        <v>142</v>
      </c>
      <c r="G420" s="232"/>
      <c r="H420" s="232" t="s">
        <v>2452</v>
      </c>
      <c r="I420" s="232" t="s">
        <v>2452</v>
      </c>
      <c r="J420" s="233" t="str">
        <f t="shared" si="12"/>
        <v>TinEmpressa Nacional de Fundiciones (ENAF)</v>
      </c>
      <c r="K420" s="233" t="str">
        <f t="shared" si="13"/>
        <v>TinEmpressa Nacional de Fundiciones (ENAF)</v>
      </c>
    </row>
    <row r="421" spans="1:11">
      <c r="A421" s="232" t="s">
        <v>131</v>
      </c>
      <c r="B421" s="232" t="s">
        <v>3085</v>
      </c>
      <c r="C421" s="232" t="s">
        <v>2023</v>
      </c>
      <c r="D421" s="232" t="s">
        <v>3427</v>
      </c>
      <c r="E421" s="232" t="s">
        <v>3084</v>
      </c>
      <c r="F421" s="232" t="s">
        <v>142</v>
      </c>
      <c r="G421" s="232"/>
      <c r="H421" s="232" t="s">
        <v>2452</v>
      </c>
      <c r="I421" s="232" t="s">
        <v>2452</v>
      </c>
      <c r="J421" s="233" t="str">
        <f t="shared" si="12"/>
        <v>TinENAF</v>
      </c>
      <c r="K421" s="233" t="str">
        <f t="shared" si="13"/>
        <v>TinENAF</v>
      </c>
    </row>
    <row r="422" spans="1:11">
      <c r="A422" s="232" t="s">
        <v>131</v>
      </c>
      <c r="B422" s="232" t="s">
        <v>2026</v>
      </c>
      <c r="C422" s="232" t="s">
        <v>2026</v>
      </c>
      <c r="D422" s="232" t="s">
        <v>3265</v>
      </c>
      <c r="E422" s="232" t="s">
        <v>2024</v>
      </c>
      <c r="F422" s="232" t="s">
        <v>142</v>
      </c>
      <c r="G422" s="232"/>
      <c r="H422" s="232" t="s">
        <v>512</v>
      </c>
      <c r="I422" s="232" t="s">
        <v>838</v>
      </c>
      <c r="J422" s="233" t="str">
        <f t="shared" si="12"/>
        <v>TinEstanho de Rondonia S.A.</v>
      </c>
      <c r="K422" s="233" t="str">
        <f t="shared" si="13"/>
        <v>TinEstanho de Rondonia S.A.</v>
      </c>
    </row>
    <row r="423" spans="1:11">
      <c r="A423" s="232" t="s">
        <v>131</v>
      </c>
      <c r="B423" s="232" t="s">
        <v>2025</v>
      </c>
      <c r="C423" s="232" t="s">
        <v>2026</v>
      </c>
      <c r="D423" s="232" t="s">
        <v>3265</v>
      </c>
      <c r="E423" s="232" t="s">
        <v>2024</v>
      </c>
      <c r="F423" s="232" t="s">
        <v>142</v>
      </c>
      <c r="G423" s="232"/>
      <c r="H423" s="232" t="s">
        <v>512</v>
      </c>
      <c r="I423" s="232" t="s">
        <v>838</v>
      </c>
      <c r="J423" s="233" t="str">
        <f t="shared" si="12"/>
        <v>TinEstanho de Rondônia S.A.</v>
      </c>
      <c r="K423" s="233" t="str">
        <f t="shared" si="13"/>
        <v>TinEstanho de Rondônia S.A.</v>
      </c>
    </row>
    <row r="424" spans="1:11">
      <c r="A424" s="232" t="s">
        <v>131</v>
      </c>
      <c r="B424" s="232" t="s">
        <v>3430</v>
      </c>
      <c r="C424" s="232" t="s">
        <v>2034</v>
      </c>
      <c r="D424" s="232" t="s">
        <v>3265</v>
      </c>
      <c r="E424" s="232" t="s">
        <v>2033</v>
      </c>
      <c r="F424" s="232" t="s">
        <v>142</v>
      </c>
      <c r="G424" s="232"/>
      <c r="H424" s="232" t="s">
        <v>2035</v>
      </c>
      <c r="I424" s="232" t="s">
        <v>594</v>
      </c>
      <c r="J424" s="233" t="str">
        <f t="shared" si="12"/>
        <v>TinFabrica Auricchio</v>
      </c>
      <c r="K424" s="233" t="str">
        <f t="shared" si="13"/>
        <v>TinFabrica Auricchio</v>
      </c>
    </row>
    <row r="425" spans="1:11">
      <c r="A425" s="232" t="s">
        <v>131</v>
      </c>
      <c r="B425" s="232" t="s">
        <v>3431</v>
      </c>
      <c r="C425" s="232" t="s">
        <v>2034</v>
      </c>
      <c r="D425" s="232" t="s">
        <v>3265</v>
      </c>
      <c r="E425" s="232" t="s">
        <v>2033</v>
      </c>
      <c r="F425" s="232" t="s">
        <v>142</v>
      </c>
      <c r="G425" s="232"/>
      <c r="H425" s="232" t="s">
        <v>2035</v>
      </c>
      <c r="I425" s="232" t="s">
        <v>594</v>
      </c>
      <c r="J425" s="233" t="str">
        <f t="shared" si="12"/>
        <v>TinFábrica Auricchio</v>
      </c>
      <c r="K425" s="233" t="str">
        <f t="shared" si="13"/>
        <v>TinFábrica Auricchio</v>
      </c>
    </row>
    <row r="426" spans="1:11">
      <c r="A426" s="232" t="s">
        <v>131</v>
      </c>
      <c r="B426" s="232" t="s">
        <v>2034</v>
      </c>
      <c r="C426" s="232" t="s">
        <v>2034</v>
      </c>
      <c r="D426" s="232" t="s">
        <v>3265</v>
      </c>
      <c r="E426" s="232" t="s">
        <v>2033</v>
      </c>
      <c r="F426" s="232" t="s">
        <v>142</v>
      </c>
      <c r="G426" s="232"/>
      <c r="H426" s="232" t="s">
        <v>2035</v>
      </c>
      <c r="I426" s="232" t="s">
        <v>594</v>
      </c>
      <c r="J426" s="233" t="str">
        <f t="shared" si="12"/>
        <v>TinFabrica Auricchio Industria e Comercio Ltda.</v>
      </c>
      <c r="K426" s="233" t="str">
        <f t="shared" si="13"/>
        <v>TinFabrica Auricchio Industria e Comercio Ltda.</v>
      </c>
    </row>
    <row r="427" spans="1:11">
      <c r="A427" s="232" t="s">
        <v>131</v>
      </c>
      <c r="B427" s="232" t="s">
        <v>2042</v>
      </c>
      <c r="C427" s="232" t="s">
        <v>2042</v>
      </c>
      <c r="D427" s="232" t="s">
        <v>3317</v>
      </c>
      <c r="E427" s="232" t="s">
        <v>2044</v>
      </c>
      <c r="F427" s="232" t="s">
        <v>142</v>
      </c>
      <c r="G427" s="232"/>
      <c r="H427" s="232" t="s">
        <v>2043</v>
      </c>
      <c r="I427" s="232" t="s">
        <v>2045</v>
      </c>
      <c r="J427" s="233" t="str">
        <f t="shared" si="12"/>
        <v>TinFenix Metals</v>
      </c>
      <c r="K427" s="233" t="str">
        <f t="shared" si="13"/>
        <v>TinFenix Metals</v>
      </c>
    </row>
    <row r="428" spans="1:11">
      <c r="A428" s="232" t="s">
        <v>131</v>
      </c>
      <c r="B428" s="232" t="s">
        <v>3432</v>
      </c>
      <c r="C428" s="232" t="s">
        <v>831</v>
      </c>
      <c r="D428" s="232" t="s">
        <v>3433</v>
      </c>
      <c r="E428" s="232" t="s">
        <v>2332</v>
      </c>
      <c r="F428" s="232" t="s">
        <v>142</v>
      </c>
      <c r="G428" s="232"/>
      <c r="H428" s="232" t="s">
        <v>2046</v>
      </c>
      <c r="I428" s="232" t="s">
        <v>2334</v>
      </c>
      <c r="J428" s="233" t="str">
        <f t="shared" si="12"/>
        <v>TinFunsur Smelter</v>
      </c>
      <c r="K428" s="233" t="str">
        <f t="shared" si="13"/>
        <v>TinFunsur Smelter</v>
      </c>
    </row>
    <row r="429" spans="1:11">
      <c r="A429" s="232" t="s">
        <v>131</v>
      </c>
      <c r="B429" s="232" t="s">
        <v>3434</v>
      </c>
      <c r="C429" s="232" t="s">
        <v>2795</v>
      </c>
      <c r="D429" s="232" t="s">
        <v>2818</v>
      </c>
      <c r="E429" s="232" t="s">
        <v>2793</v>
      </c>
      <c r="F429" s="232" t="s">
        <v>142</v>
      </c>
      <c r="G429" s="232"/>
      <c r="H429" s="232" t="s">
        <v>1147</v>
      </c>
      <c r="I429" s="232" t="s">
        <v>1148</v>
      </c>
      <c r="J429" s="233" t="str">
        <f t="shared" si="12"/>
        <v>TinGejiu City Datun Chengfeng Smelter</v>
      </c>
      <c r="K429" s="233" t="str">
        <f t="shared" si="13"/>
        <v>TinGejiu City Datun Chengfeng Smelter</v>
      </c>
    </row>
    <row r="430" spans="1:11">
      <c r="A430" s="232" t="s">
        <v>131</v>
      </c>
      <c r="B430" s="232" t="s">
        <v>2008</v>
      </c>
      <c r="C430" s="232" t="s">
        <v>2008</v>
      </c>
      <c r="D430" s="232" t="s">
        <v>2818</v>
      </c>
      <c r="E430" s="232" t="s">
        <v>2006</v>
      </c>
      <c r="F430" s="232" t="s">
        <v>142</v>
      </c>
      <c r="G430" s="232"/>
      <c r="H430" s="232" t="s">
        <v>1147</v>
      </c>
      <c r="I430" s="232" t="s">
        <v>1148</v>
      </c>
      <c r="J430" s="233" t="str">
        <f t="shared" si="12"/>
        <v>TinGejiu City Fuxiang Industry and Trade Co., Ltd.</v>
      </c>
      <c r="K430" s="233" t="str">
        <f t="shared" si="13"/>
        <v>TinGejiu City Fuxiang Industry and Trade Co., Ltd.</v>
      </c>
    </row>
    <row r="431" spans="1:11">
      <c r="A431" s="232" t="s">
        <v>131</v>
      </c>
      <c r="B431" s="232" t="s">
        <v>3435</v>
      </c>
      <c r="C431" s="232" t="s">
        <v>2008</v>
      </c>
      <c r="D431" s="232" t="s">
        <v>2818</v>
      </c>
      <c r="E431" s="232" t="s">
        <v>2006</v>
      </c>
      <c r="F431" s="232" t="s">
        <v>142</v>
      </c>
      <c r="G431" s="232"/>
      <c r="H431" s="232" t="s">
        <v>1147</v>
      </c>
      <c r="I431" s="232" t="s">
        <v>1148</v>
      </c>
      <c r="J431" s="233" t="str">
        <f t="shared" si="12"/>
        <v>TinGejiu Fuxiang Gongmao Co., Ltd.</v>
      </c>
      <c r="K431" s="233" t="str">
        <f t="shared" si="13"/>
        <v>TinGejiu Fuxiang Gongmao Co., Ltd.</v>
      </c>
    </row>
    <row r="432" spans="1:11">
      <c r="A432" s="232" t="s">
        <v>131</v>
      </c>
      <c r="B432" s="232" t="s">
        <v>3089</v>
      </c>
      <c r="C432" s="232" t="s">
        <v>3089</v>
      </c>
      <c r="D432" s="232" t="s">
        <v>2818</v>
      </c>
      <c r="E432" s="232" t="s">
        <v>3088</v>
      </c>
      <c r="F432" s="232" t="s">
        <v>142</v>
      </c>
      <c r="G432" s="232"/>
      <c r="H432" s="232" t="s">
        <v>1147</v>
      </c>
      <c r="I432" s="232" t="s">
        <v>1148</v>
      </c>
      <c r="J432" s="233" t="str">
        <f t="shared" si="12"/>
        <v>TinGejiu Kai Meng Industry and Trade LLC</v>
      </c>
      <c r="K432" s="233" t="str">
        <f t="shared" si="13"/>
        <v>TinGejiu Kai Meng Industry and Trade LLC</v>
      </c>
    </row>
    <row r="433" spans="1:11">
      <c r="A433" s="232" t="s">
        <v>131</v>
      </c>
      <c r="B433" s="232" t="s">
        <v>1237</v>
      </c>
      <c r="C433" s="232" t="s">
        <v>1237</v>
      </c>
      <c r="D433" s="232" t="s">
        <v>2818</v>
      </c>
      <c r="E433" s="232" t="s">
        <v>1236</v>
      </c>
      <c r="F433" s="232" t="s">
        <v>142</v>
      </c>
      <c r="G433" s="232"/>
      <c r="H433" s="232" t="s">
        <v>1147</v>
      </c>
      <c r="I433" s="232" t="s">
        <v>1148</v>
      </c>
      <c r="J433" s="233" t="str">
        <f t="shared" si="12"/>
        <v>TinGejiu Non-Ferrous Metal Processing Co., Ltd.</v>
      </c>
      <c r="K433" s="233" t="str">
        <f t="shared" si="13"/>
        <v>TinGejiu Non-Ferrous Metal Processing Co., Ltd.</v>
      </c>
    </row>
    <row r="434" spans="1:11">
      <c r="A434" s="232" t="s">
        <v>131</v>
      </c>
      <c r="B434" s="232" t="s">
        <v>3092</v>
      </c>
      <c r="C434" s="232" t="s">
        <v>3092</v>
      </c>
      <c r="D434" s="232" t="s">
        <v>2818</v>
      </c>
      <c r="E434" s="232" t="s">
        <v>3090</v>
      </c>
      <c r="F434" s="232" t="s">
        <v>142</v>
      </c>
      <c r="G434" s="232"/>
      <c r="H434" s="232" t="s">
        <v>1147</v>
      </c>
      <c r="I434" s="232" t="s">
        <v>1148</v>
      </c>
      <c r="J434" s="233" t="str">
        <f t="shared" si="12"/>
        <v>TinGejiu Yunxin Nonferrous Electrolysis Co., Ltd.</v>
      </c>
      <c r="K434" s="233" t="str">
        <f t="shared" si="13"/>
        <v>TinGejiu Yunxin Nonferrous Electrolysis Co., Ltd.</v>
      </c>
    </row>
    <row r="435" spans="1:11">
      <c r="A435" s="232" t="s">
        <v>131</v>
      </c>
      <c r="B435" s="232" t="s">
        <v>3100</v>
      </c>
      <c r="C435" s="232" t="s">
        <v>1379</v>
      </c>
      <c r="D435" s="232" t="s">
        <v>2818</v>
      </c>
      <c r="E435" s="232" t="s">
        <v>1378</v>
      </c>
      <c r="F435" s="232" t="s">
        <v>142</v>
      </c>
      <c r="G435" s="232"/>
      <c r="H435" s="232" t="s">
        <v>1147</v>
      </c>
      <c r="I435" s="232" t="s">
        <v>1148</v>
      </c>
      <c r="J435" s="233" t="str">
        <f t="shared" si="12"/>
        <v>TinGejiu Zi-Li</v>
      </c>
      <c r="K435" s="233" t="str">
        <f t="shared" si="13"/>
        <v>TinGejiu Zi-Li</v>
      </c>
    </row>
    <row r="436" spans="1:11">
      <c r="A436" s="232" t="s">
        <v>131</v>
      </c>
      <c r="B436" s="232" t="s">
        <v>1379</v>
      </c>
      <c r="C436" s="232" t="s">
        <v>1379</v>
      </c>
      <c r="D436" s="232" t="s">
        <v>2818</v>
      </c>
      <c r="E436" s="232" t="s">
        <v>1378</v>
      </c>
      <c r="F436" s="232" t="s">
        <v>142</v>
      </c>
      <c r="G436" s="232"/>
      <c r="H436" s="232" t="s">
        <v>1147</v>
      </c>
      <c r="I436" s="232" t="s">
        <v>1148</v>
      </c>
      <c r="J436" s="233" t="str">
        <f t="shared" si="12"/>
        <v>TinGejiu Zili Mining And Metallurgy Co., Ltd.</v>
      </c>
      <c r="K436" s="233" t="str">
        <f t="shared" si="13"/>
        <v>TinGejiu Zili Mining And Metallurgy Co., Ltd.</v>
      </c>
    </row>
    <row r="437" spans="1:11">
      <c r="A437" s="232" t="s">
        <v>131</v>
      </c>
      <c r="B437" s="232" t="s">
        <v>3436</v>
      </c>
      <c r="C437" s="232" t="s">
        <v>1982</v>
      </c>
      <c r="D437" s="232" t="s">
        <v>2818</v>
      </c>
      <c r="E437" s="232" t="s">
        <v>1981</v>
      </c>
      <c r="F437" s="232" t="s">
        <v>142</v>
      </c>
      <c r="G437" s="232"/>
      <c r="H437" s="232" t="s">
        <v>1983</v>
      </c>
      <c r="I437" s="232" t="s">
        <v>995</v>
      </c>
      <c r="J437" s="233" t="str">
        <f t="shared" si="12"/>
        <v>TinGuang Xi Liu Xhou</v>
      </c>
      <c r="K437" s="233" t="str">
        <f t="shared" si="13"/>
        <v>TinGuang Xi Liu Xhou</v>
      </c>
    </row>
    <row r="438" spans="1:11">
      <c r="A438" s="232" t="s">
        <v>131</v>
      </c>
      <c r="B438" s="232" t="s">
        <v>3437</v>
      </c>
      <c r="C438" s="232" t="s">
        <v>1982</v>
      </c>
      <c r="D438" s="232" t="s">
        <v>2818</v>
      </c>
      <c r="E438" s="232" t="s">
        <v>1981</v>
      </c>
      <c r="F438" s="232" t="s">
        <v>142</v>
      </c>
      <c r="G438" s="232"/>
      <c r="H438" s="232" t="s">
        <v>1983</v>
      </c>
      <c r="I438" s="232" t="s">
        <v>995</v>
      </c>
      <c r="J438" s="233" t="str">
        <f t="shared" si="12"/>
        <v>TinGuang Xi Liu Zhou</v>
      </c>
      <c r="K438" s="233" t="str">
        <f t="shared" si="13"/>
        <v>TinGuang Xi Liu Zhou</v>
      </c>
    </row>
    <row r="439" spans="1:11">
      <c r="A439" s="232" t="s">
        <v>131</v>
      </c>
      <c r="B439" s="232" t="s">
        <v>380</v>
      </c>
      <c r="C439" s="232" t="s">
        <v>380</v>
      </c>
      <c r="D439" s="232" t="s">
        <v>2818</v>
      </c>
      <c r="E439" s="232" t="s">
        <v>1387</v>
      </c>
      <c r="F439" s="232" t="s">
        <v>142</v>
      </c>
      <c r="G439" s="232"/>
      <c r="H439" s="232" t="s">
        <v>381</v>
      </c>
      <c r="I439" s="232" t="s">
        <v>382</v>
      </c>
      <c r="J439" s="233" t="str">
        <f t="shared" si="12"/>
        <v>TinGuangdong Hanhe Non-Ferrous Metal Co., Ltd.</v>
      </c>
      <c r="K439" s="233" t="str">
        <f t="shared" si="13"/>
        <v>TinGuangdong Hanhe Non-Ferrous Metal Co., Ltd.</v>
      </c>
    </row>
    <row r="440" spans="1:11">
      <c r="A440" s="232" t="s">
        <v>131</v>
      </c>
      <c r="B440" s="232" t="s">
        <v>3438</v>
      </c>
      <c r="C440" s="232" t="s">
        <v>1982</v>
      </c>
      <c r="D440" s="232" t="s">
        <v>2818</v>
      </c>
      <c r="E440" s="232" t="s">
        <v>1981</v>
      </c>
      <c r="F440" s="232" t="s">
        <v>142</v>
      </c>
      <c r="G440" s="232"/>
      <c r="H440" s="232" t="s">
        <v>1983</v>
      </c>
      <c r="I440" s="232" t="s">
        <v>995</v>
      </c>
      <c r="J440" s="233" t="str">
        <f t="shared" si="12"/>
        <v>TinGuangXi China Tin</v>
      </c>
      <c r="K440" s="233" t="str">
        <f t="shared" si="13"/>
        <v>TinGuangXi China Tin</v>
      </c>
    </row>
    <row r="441" spans="1:11">
      <c r="A441" s="232" t="s">
        <v>131</v>
      </c>
      <c r="B441" s="232" t="s">
        <v>3439</v>
      </c>
      <c r="C441" s="232" t="s">
        <v>1982</v>
      </c>
      <c r="D441" s="232" t="s">
        <v>2818</v>
      </c>
      <c r="E441" s="232" t="s">
        <v>1981</v>
      </c>
      <c r="F441" s="232" t="s">
        <v>142</v>
      </c>
      <c r="G441" s="232"/>
      <c r="H441" s="232" t="s">
        <v>1983</v>
      </c>
      <c r="I441" s="232" t="s">
        <v>995</v>
      </c>
      <c r="J441" s="233" t="str">
        <f t="shared" si="12"/>
        <v>TinGuangxi Hua Shu Dan CO., LTD.</v>
      </c>
      <c r="K441" s="233" t="str">
        <f t="shared" si="13"/>
        <v>TinGuangxi Hua Shu Dan CO., LTD.</v>
      </c>
    </row>
    <row r="442" spans="1:11">
      <c r="A442" s="232" t="s">
        <v>131</v>
      </c>
      <c r="B442" s="232" t="s">
        <v>2751</v>
      </c>
      <c r="C442" s="232" t="s">
        <v>2751</v>
      </c>
      <c r="D442" s="232" t="s">
        <v>2818</v>
      </c>
      <c r="E442" s="232" t="s">
        <v>2750</v>
      </c>
      <c r="F442" s="232" t="s">
        <v>142</v>
      </c>
      <c r="G442" s="232"/>
      <c r="H442" s="232" t="s">
        <v>985</v>
      </c>
      <c r="I442" s="232" t="s">
        <v>771</v>
      </c>
      <c r="J442" s="233" t="str">
        <f t="shared" si="12"/>
        <v>TinHuiChang Hill Tin Industry Co., Ltd.</v>
      </c>
      <c r="K442" s="233" t="str">
        <f t="shared" si="13"/>
        <v>TinHuiChang Hill Tin Industry Co., Ltd.</v>
      </c>
    </row>
    <row r="443" spans="1:11">
      <c r="A443" s="232" t="s">
        <v>131</v>
      </c>
      <c r="B443" s="232" t="s">
        <v>2817</v>
      </c>
      <c r="C443" s="232" t="s">
        <v>2172</v>
      </c>
      <c r="D443" s="232" t="s">
        <v>3336</v>
      </c>
      <c r="E443" s="232" t="s">
        <v>2274</v>
      </c>
      <c r="F443" s="232" t="s">
        <v>142</v>
      </c>
      <c r="G443" s="232"/>
      <c r="H443" s="232" t="s">
        <v>2173</v>
      </c>
      <c r="I443" s="232" t="s">
        <v>2275</v>
      </c>
      <c r="J443" s="233" t="str">
        <f t="shared" si="12"/>
        <v>TinHulterworth Smelter</v>
      </c>
      <c r="K443" s="233" t="str">
        <f t="shared" si="13"/>
        <v>TinHulterworth Smelter</v>
      </c>
    </row>
    <row r="444" spans="1:11">
      <c r="A444" s="232" t="s">
        <v>131</v>
      </c>
      <c r="B444" s="232" t="s">
        <v>3440</v>
      </c>
      <c r="C444" s="232" t="s">
        <v>1426</v>
      </c>
      <c r="D444" s="232" t="s">
        <v>3257</v>
      </c>
      <c r="E444" s="232" t="s">
        <v>2160</v>
      </c>
      <c r="F444" s="232" t="s">
        <v>142</v>
      </c>
      <c r="G444" s="232"/>
      <c r="H444" s="232" t="s">
        <v>277</v>
      </c>
      <c r="I444" s="232" t="s">
        <v>277</v>
      </c>
      <c r="J444" s="233" t="str">
        <f t="shared" si="12"/>
        <v>TinIkuno Tin Smelter</v>
      </c>
      <c r="K444" s="233" t="str">
        <f t="shared" si="13"/>
        <v>TinIkuno Tin Smelter</v>
      </c>
    </row>
    <row r="445" spans="1:11">
      <c r="A445" s="232" t="s">
        <v>131</v>
      </c>
      <c r="B445" s="232" t="s">
        <v>3441</v>
      </c>
      <c r="C445" s="232" t="s">
        <v>1134</v>
      </c>
      <c r="D445" s="232" t="s">
        <v>1075</v>
      </c>
      <c r="E445" s="232" t="s">
        <v>1132</v>
      </c>
      <c r="F445" s="232" t="s">
        <v>142</v>
      </c>
      <c r="G445" s="232"/>
      <c r="H445" s="232" t="s">
        <v>1136</v>
      </c>
      <c r="I445" s="232" t="s">
        <v>833</v>
      </c>
      <c r="J445" s="233" t="str">
        <f t="shared" si="12"/>
        <v>TinINDONESIAN STATE TIN CORPORATION MENTOK SMELTER</v>
      </c>
      <c r="K445" s="233" t="str">
        <f t="shared" si="13"/>
        <v>TinINDONESIAN STATE TIN CORPORATION MENTOK SMELTER</v>
      </c>
    </row>
    <row r="446" spans="1:11">
      <c r="A446" s="232" t="s">
        <v>131</v>
      </c>
      <c r="B446" s="232" t="s">
        <v>3442</v>
      </c>
      <c r="C446" s="232" t="s">
        <v>1309</v>
      </c>
      <c r="D446" s="232" t="s">
        <v>1075</v>
      </c>
      <c r="E446" s="232" t="s">
        <v>1308</v>
      </c>
      <c r="F446" s="232" t="s">
        <v>142</v>
      </c>
      <c r="G446" s="232"/>
      <c r="H446" s="232" t="s">
        <v>1071</v>
      </c>
      <c r="I446" s="232" t="s">
        <v>833</v>
      </c>
      <c r="J446" s="233" t="str">
        <f t="shared" si="12"/>
        <v>TinIndra Eramulti Logam</v>
      </c>
      <c r="K446" s="233" t="str">
        <f t="shared" si="13"/>
        <v>TinIndra Eramulti Logam</v>
      </c>
    </row>
    <row r="447" spans="1:11">
      <c r="A447" s="232" t="s">
        <v>131</v>
      </c>
      <c r="B447" s="232" t="s">
        <v>261</v>
      </c>
      <c r="C447" s="232" t="s">
        <v>2761</v>
      </c>
      <c r="D447" s="232" t="s">
        <v>2818</v>
      </c>
      <c r="E447" s="232" t="s">
        <v>2759</v>
      </c>
      <c r="F447" s="232" t="s">
        <v>142</v>
      </c>
      <c r="G447" s="232"/>
      <c r="H447" s="232" t="s">
        <v>985</v>
      </c>
      <c r="I447" s="232" t="s">
        <v>771</v>
      </c>
      <c r="J447" s="233" t="str">
        <f t="shared" si="12"/>
        <v>TinJiangxi Nanshan</v>
      </c>
      <c r="K447" s="233" t="str">
        <f t="shared" si="13"/>
        <v>TinJiangxi Nanshan</v>
      </c>
    </row>
    <row r="448" spans="1:11">
      <c r="A448" s="232" t="s">
        <v>131</v>
      </c>
      <c r="B448" s="232" t="s">
        <v>2761</v>
      </c>
      <c r="C448" s="232" t="s">
        <v>2761</v>
      </c>
      <c r="D448" s="232" t="s">
        <v>2818</v>
      </c>
      <c r="E448" s="232" t="s">
        <v>2759</v>
      </c>
      <c r="F448" s="232" t="s">
        <v>142</v>
      </c>
      <c r="G448" s="232"/>
      <c r="H448" s="232" t="s">
        <v>985</v>
      </c>
      <c r="I448" s="232" t="s">
        <v>771</v>
      </c>
      <c r="J448" s="233" t="str">
        <f t="shared" si="12"/>
        <v>TinJiangxi New Nanshan Technology Ltd.</v>
      </c>
      <c r="K448" s="233" t="str">
        <f t="shared" si="13"/>
        <v>TinJiangxi New Nanshan Technology Ltd.</v>
      </c>
    </row>
    <row r="449" spans="1:11">
      <c r="A449" s="232" t="s">
        <v>131</v>
      </c>
      <c r="B449" s="232" t="s">
        <v>3443</v>
      </c>
      <c r="C449" s="232" t="s">
        <v>3089</v>
      </c>
      <c r="D449" s="232" t="s">
        <v>2818</v>
      </c>
      <c r="E449" s="232" t="s">
        <v>3088</v>
      </c>
      <c r="F449" s="232" t="s">
        <v>142</v>
      </c>
      <c r="G449" s="232"/>
      <c r="H449" s="232" t="s">
        <v>1147</v>
      </c>
      <c r="I449" s="232" t="s">
        <v>1148</v>
      </c>
      <c r="J449" s="233" t="str">
        <f t="shared" si="12"/>
        <v>TinKai Union Industry and Trade Co., Ltd. (China)</v>
      </c>
      <c r="K449" s="233" t="str">
        <f t="shared" si="13"/>
        <v>TinKai Union Industry and Trade Co., Ltd. (China)</v>
      </c>
    </row>
    <row r="450" spans="1:11">
      <c r="A450" s="232" t="s">
        <v>131</v>
      </c>
      <c r="B450" s="232" t="s">
        <v>2763</v>
      </c>
      <c r="C450" s="232" t="s">
        <v>3089</v>
      </c>
      <c r="D450" s="232" t="s">
        <v>2818</v>
      </c>
      <c r="E450" s="232" t="s">
        <v>3088</v>
      </c>
      <c r="F450" s="232" t="s">
        <v>142</v>
      </c>
      <c r="G450" s="232"/>
      <c r="H450" s="232" t="s">
        <v>1147</v>
      </c>
      <c r="I450" s="232" t="s">
        <v>1148</v>
      </c>
      <c r="J450" s="233" t="str">
        <f t="shared" si="12"/>
        <v>TinKai Unita Trade Limited Liability Company</v>
      </c>
      <c r="K450" s="233" t="str">
        <f t="shared" si="13"/>
        <v>TinKai Unita Trade Limited Liability Company</v>
      </c>
    </row>
    <row r="451" spans="1:11">
      <c r="A451" s="232" t="s">
        <v>131</v>
      </c>
      <c r="B451" s="232" t="s">
        <v>3444</v>
      </c>
      <c r="C451" s="232" t="s">
        <v>3089</v>
      </c>
      <c r="D451" s="232" t="s">
        <v>2818</v>
      </c>
      <c r="E451" s="232" t="s">
        <v>3088</v>
      </c>
      <c r="F451" s="232" t="s">
        <v>142</v>
      </c>
      <c r="G451" s="232"/>
      <c r="H451" s="232" t="s">
        <v>1147</v>
      </c>
      <c r="I451" s="232" t="s">
        <v>1148</v>
      </c>
      <c r="J451" s="233" t="str">
        <f t="shared" si="12"/>
        <v>TinKaimeng (Gejiu) Industry and Trade Co., Ltd.</v>
      </c>
      <c r="K451" s="233" t="str">
        <f t="shared" si="13"/>
        <v>TinKaimeng (Gejiu) Industry and Trade Co., Ltd.</v>
      </c>
    </row>
    <row r="452" spans="1:11">
      <c r="A452" s="232" t="s">
        <v>131</v>
      </c>
      <c r="B452" s="232" t="s">
        <v>3445</v>
      </c>
      <c r="C452" s="232" t="s">
        <v>2483</v>
      </c>
      <c r="D452" s="232" t="s">
        <v>1075</v>
      </c>
      <c r="E452" s="232" t="s">
        <v>2481</v>
      </c>
      <c r="F452" s="232" t="s">
        <v>142</v>
      </c>
      <c r="G452" s="232"/>
      <c r="H452" s="232" t="s">
        <v>2484</v>
      </c>
      <c r="I452" s="232" t="s">
        <v>2485</v>
      </c>
      <c r="J452" s="233" t="str">
        <f t="shared" si="12"/>
        <v>TinKundur Smelter</v>
      </c>
      <c r="K452" s="233" t="str">
        <f t="shared" si="13"/>
        <v>TinKundur Smelter</v>
      </c>
    </row>
    <row r="453" spans="1:11">
      <c r="A453" s="232" t="s">
        <v>131</v>
      </c>
      <c r="B453" s="232" t="s">
        <v>3446</v>
      </c>
      <c r="C453" s="232" t="s">
        <v>1982</v>
      </c>
      <c r="D453" s="232" t="s">
        <v>2818</v>
      </c>
      <c r="E453" s="232" t="s">
        <v>1981</v>
      </c>
      <c r="F453" s="232" t="s">
        <v>142</v>
      </c>
      <c r="G453" s="232"/>
      <c r="H453" s="232" t="s">
        <v>1983</v>
      </c>
      <c r="I453" s="232" t="s">
        <v>995</v>
      </c>
      <c r="J453" s="233" t="str">
        <f t="shared" ref="J453:J516" si="14">A453&amp;B453</f>
        <v>TinLiuzhhou China Tin</v>
      </c>
      <c r="K453" s="233" t="str">
        <f t="shared" ref="K453:K516" si="15">A453&amp;B453</f>
        <v>TinLiuzhhou China Tin</v>
      </c>
    </row>
    <row r="454" spans="1:11">
      <c r="A454" s="232" t="s">
        <v>131</v>
      </c>
      <c r="B454" s="232" t="s">
        <v>2825</v>
      </c>
      <c r="C454" s="232" t="s">
        <v>2825</v>
      </c>
      <c r="D454" s="232" t="s">
        <v>3447</v>
      </c>
      <c r="E454" s="232" t="s">
        <v>2824</v>
      </c>
      <c r="F454" s="232" t="s">
        <v>142</v>
      </c>
      <c r="G454" s="232"/>
      <c r="H454" s="232" t="s">
        <v>2461</v>
      </c>
      <c r="I454" s="232" t="s">
        <v>2826</v>
      </c>
      <c r="J454" s="233" t="str">
        <f t="shared" si="14"/>
        <v>TinLuna Smelter, Ltd.</v>
      </c>
      <c r="K454" s="233" t="str">
        <f t="shared" si="15"/>
        <v>TinLuna Smelter, Ltd.</v>
      </c>
    </row>
    <row r="455" spans="1:11">
      <c r="A455" s="232" t="s">
        <v>131</v>
      </c>
      <c r="B455" s="232" t="s">
        <v>2829</v>
      </c>
      <c r="C455" s="232" t="s">
        <v>2829</v>
      </c>
      <c r="D455" s="232" t="s">
        <v>2818</v>
      </c>
      <c r="E455" s="232" t="s">
        <v>2828</v>
      </c>
      <c r="F455" s="232" t="s">
        <v>142</v>
      </c>
      <c r="G455" s="232"/>
      <c r="H455" s="232" t="s">
        <v>2831</v>
      </c>
      <c r="I455" s="232" t="s">
        <v>2094</v>
      </c>
      <c r="J455" s="233" t="str">
        <f t="shared" si="14"/>
        <v>TinMa'anshan Weitai Tin Co., Ltd.</v>
      </c>
      <c r="K455" s="233" t="str">
        <f t="shared" si="15"/>
        <v>TinMa'anshan Weitai Tin Co., Ltd.</v>
      </c>
    </row>
    <row r="456" spans="1:11">
      <c r="A456" s="232" t="s">
        <v>131</v>
      </c>
      <c r="B456" s="232" t="s">
        <v>2840</v>
      </c>
      <c r="C456" s="232" t="s">
        <v>2840</v>
      </c>
      <c r="D456" s="232" t="s">
        <v>3265</v>
      </c>
      <c r="E456" s="232" t="s">
        <v>2839</v>
      </c>
      <c r="F456" s="232" t="s">
        <v>142</v>
      </c>
      <c r="G456" s="232"/>
      <c r="H456" s="232" t="s">
        <v>721</v>
      </c>
      <c r="I456" s="232" t="s">
        <v>435</v>
      </c>
      <c r="J456" s="233" t="str">
        <f t="shared" si="14"/>
        <v>TinMagnu's Minerais Metais e Ligas Ltda.</v>
      </c>
      <c r="K456" s="233" t="str">
        <f t="shared" si="15"/>
        <v>TinMagnu's Minerais Metais e Ligas Ltda.</v>
      </c>
    </row>
    <row r="457" spans="1:11">
      <c r="A457" s="232" t="s">
        <v>131</v>
      </c>
      <c r="B457" s="232" t="s">
        <v>2172</v>
      </c>
      <c r="C457" s="232" t="s">
        <v>2172</v>
      </c>
      <c r="D457" s="232" t="s">
        <v>3336</v>
      </c>
      <c r="E457" s="232" t="s">
        <v>2274</v>
      </c>
      <c r="F457" s="232" t="s">
        <v>142</v>
      </c>
      <c r="G457" s="232"/>
      <c r="H457" s="232" t="s">
        <v>2173</v>
      </c>
      <c r="I457" s="232" t="s">
        <v>2275</v>
      </c>
      <c r="J457" s="233" t="str">
        <f t="shared" si="14"/>
        <v>TinMalaysia Smelting Corporation (MSC)</v>
      </c>
      <c r="K457" s="233" t="str">
        <f t="shared" si="15"/>
        <v>TinMalaysia Smelting Corporation (MSC)</v>
      </c>
    </row>
    <row r="458" spans="1:11">
      <c r="A458" s="232" t="s">
        <v>131</v>
      </c>
      <c r="B458" s="232" t="s">
        <v>836</v>
      </c>
      <c r="C458" s="232" t="s">
        <v>836</v>
      </c>
      <c r="D458" s="232" t="s">
        <v>3265</v>
      </c>
      <c r="E458" s="232" t="s">
        <v>834</v>
      </c>
      <c r="F458" s="232" t="s">
        <v>142</v>
      </c>
      <c r="G458" s="232"/>
      <c r="H458" s="232" t="s">
        <v>512</v>
      </c>
      <c r="I458" s="232" t="s">
        <v>838</v>
      </c>
      <c r="J458" s="233" t="str">
        <f t="shared" si="14"/>
        <v>TinMelt Metais e Ligas S.A.</v>
      </c>
      <c r="K458" s="233" t="str">
        <f t="shared" si="15"/>
        <v>TinMelt Metais e Ligas S.A.</v>
      </c>
    </row>
    <row r="459" spans="1:11">
      <c r="A459" s="232" t="s">
        <v>131</v>
      </c>
      <c r="B459" s="232" t="s">
        <v>3448</v>
      </c>
      <c r="C459" s="232" t="s">
        <v>1134</v>
      </c>
      <c r="D459" s="232" t="s">
        <v>1075</v>
      </c>
      <c r="E459" s="232" t="s">
        <v>1132</v>
      </c>
      <c r="F459" s="232" t="s">
        <v>142</v>
      </c>
      <c r="G459" s="232"/>
      <c r="H459" s="232" t="s">
        <v>1136</v>
      </c>
      <c r="I459" s="232" t="s">
        <v>833</v>
      </c>
      <c r="J459" s="233" t="str">
        <f t="shared" si="14"/>
        <v>TinMentok Smelter</v>
      </c>
      <c r="K459" s="233" t="str">
        <f t="shared" si="15"/>
        <v>TinMentok Smelter</v>
      </c>
    </row>
    <row r="460" spans="1:11">
      <c r="A460" s="232" t="s">
        <v>131</v>
      </c>
      <c r="B460" s="232" t="s">
        <v>3449</v>
      </c>
      <c r="C460" s="232" t="s">
        <v>1982</v>
      </c>
      <c r="D460" s="232" t="s">
        <v>2818</v>
      </c>
      <c r="E460" s="232" t="s">
        <v>1981</v>
      </c>
      <c r="F460" s="232" t="s">
        <v>142</v>
      </c>
      <c r="G460" s="232"/>
      <c r="H460" s="232" t="s">
        <v>1983</v>
      </c>
      <c r="I460" s="232" t="s">
        <v>995</v>
      </c>
      <c r="J460" s="233" t="str">
        <f t="shared" si="14"/>
        <v>TinMetallic Materials Branch of Guangxi China Tin Group Co.,Ltd.</v>
      </c>
      <c r="K460" s="233" t="str">
        <f t="shared" si="15"/>
        <v>TinMetallic Materials Branch of Guangxi China Tin Group Co.,Ltd.</v>
      </c>
    </row>
    <row r="461" spans="1:11">
      <c r="A461" s="232" t="s">
        <v>131</v>
      </c>
      <c r="B461" s="232" t="s">
        <v>822</v>
      </c>
      <c r="C461" s="232" t="s">
        <v>822</v>
      </c>
      <c r="D461" s="232" t="s">
        <v>3251</v>
      </c>
      <c r="E461" s="232" t="s">
        <v>821</v>
      </c>
      <c r="F461" s="232" t="s">
        <v>142</v>
      </c>
      <c r="G461" s="232"/>
      <c r="H461" s="232" t="s">
        <v>824</v>
      </c>
      <c r="I461" s="232" t="s">
        <v>218</v>
      </c>
      <c r="J461" s="233" t="str">
        <f t="shared" si="14"/>
        <v>TinMetallic Resources, Inc.</v>
      </c>
      <c r="K461" s="233" t="str">
        <f t="shared" si="15"/>
        <v>TinMetallic Resources, Inc.</v>
      </c>
    </row>
    <row r="462" spans="1:11">
      <c r="A462" s="232" t="s">
        <v>131</v>
      </c>
      <c r="B462" s="232" t="s">
        <v>3016</v>
      </c>
      <c r="C462" s="232" t="s">
        <v>3016</v>
      </c>
      <c r="D462" s="232" t="s">
        <v>3312</v>
      </c>
      <c r="E462" s="232" t="s">
        <v>3014</v>
      </c>
      <c r="F462" s="232" t="s">
        <v>142</v>
      </c>
      <c r="G462" s="232"/>
      <c r="H462" s="232" t="s">
        <v>3018</v>
      </c>
      <c r="I462" s="232" t="s">
        <v>1793</v>
      </c>
      <c r="J462" s="233" t="str">
        <f t="shared" si="14"/>
        <v>TinMetallo Belgium N.V.</v>
      </c>
      <c r="K462" s="233" t="str">
        <f t="shared" si="15"/>
        <v>TinMetallo Belgium N.V.</v>
      </c>
    </row>
    <row r="463" spans="1:11">
      <c r="A463" s="232" t="s">
        <v>131</v>
      </c>
      <c r="B463" s="232" t="s">
        <v>3026</v>
      </c>
      <c r="C463" s="232" t="s">
        <v>3026</v>
      </c>
      <c r="D463" s="232" t="s">
        <v>3353</v>
      </c>
      <c r="E463" s="232" t="s">
        <v>3025</v>
      </c>
      <c r="F463" s="232" t="s">
        <v>142</v>
      </c>
      <c r="G463" s="232"/>
      <c r="H463" s="232" t="s">
        <v>3028</v>
      </c>
      <c r="I463" s="232" t="s">
        <v>3029</v>
      </c>
      <c r="J463" s="233" t="str">
        <f t="shared" si="14"/>
        <v>TinMetallo Spain S.L.U.</v>
      </c>
      <c r="K463" s="233" t="str">
        <f t="shared" si="15"/>
        <v>TinMetallo Spain S.L.U.</v>
      </c>
    </row>
    <row r="464" spans="1:11">
      <c r="A464" s="232" t="s">
        <v>131</v>
      </c>
      <c r="B464" s="232" t="s">
        <v>1574</v>
      </c>
      <c r="C464" s="232" t="s">
        <v>1574</v>
      </c>
      <c r="D464" s="232" t="s">
        <v>3265</v>
      </c>
      <c r="E464" s="232" t="s">
        <v>2050</v>
      </c>
      <c r="F464" s="232" t="s">
        <v>142</v>
      </c>
      <c r="G464" s="232"/>
      <c r="H464" s="232" t="s">
        <v>2052</v>
      </c>
      <c r="I464" s="232" t="s">
        <v>594</v>
      </c>
      <c r="J464" s="233" t="str">
        <f t="shared" si="14"/>
        <v>TinMineracao Taboca S.A.</v>
      </c>
      <c r="K464" s="233" t="str">
        <f t="shared" si="15"/>
        <v>TinMineracao Taboca S.A.</v>
      </c>
    </row>
    <row r="465" spans="1:11">
      <c r="A465" s="232" t="s">
        <v>131</v>
      </c>
      <c r="B465" s="232" t="s">
        <v>2053</v>
      </c>
      <c r="C465" s="232" t="s">
        <v>1574</v>
      </c>
      <c r="D465" s="232" t="s">
        <v>3265</v>
      </c>
      <c r="E465" s="232" t="s">
        <v>2050</v>
      </c>
      <c r="F465" s="232" t="s">
        <v>142</v>
      </c>
      <c r="G465" s="232"/>
      <c r="H465" s="232" t="s">
        <v>2052</v>
      </c>
      <c r="I465" s="232" t="s">
        <v>594</v>
      </c>
      <c r="J465" s="233" t="str">
        <f t="shared" si="14"/>
        <v>TinMineração Taboca S.A.</v>
      </c>
      <c r="K465" s="233" t="str">
        <f t="shared" si="15"/>
        <v>TinMineração Taboca S.A.</v>
      </c>
    </row>
    <row r="466" spans="1:11">
      <c r="A466" s="232" t="s">
        <v>131</v>
      </c>
      <c r="B466" s="232" t="s">
        <v>1573</v>
      </c>
      <c r="C466" s="232" t="s">
        <v>1574</v>
      </c>
      <c r="D466" s="232" t="s">
        <v>3265</v>
      </c>
      <c r="E466" s="232" t="s">
        <v>2050</v>
      </c>
      <c r="F466" s="232" t="s">
        <v>142</v>
      </c>
      <c r="G466" s="232"/>
      <c r="H466" s="232" t="s">
        <v>2052</v>
      </c>
      <c r="I466" s="232" t="s">
        <v>594</v>
      </c>
      <c r="J466" s="233" t="str">
        <f t="shared" si="14"/>
        <v>TinMineracao Taboca SA</v>
      </c>
      <c r="K466" s="233" t="str">
        <f t="shared" si="15"/>
        <v>TinMineracao Taboca SA</v>
      </c>
    </row>
    <row r="467" spans="1:11">
      <c r="A467" s="232" t="s">
        <v>131</v>
      </c>
      <c r="B467" s="232" t="s">
        <v>3450</v>
      </c>
      <c r="C467" s="232" t="s">
        <v>2784</v>
      </c>
      <c r="D467" s="232" t="s">
        <v>3416</v>
      </c>
      <c r="E467" s="232" t="s">
        <v>2783</v>
      </c>
      <c r="F467" s="232" t="s">
        <v>142</v>
      </c>
      <c r="G467" s="232"/>
      <c r="H467" s="232" t="s">
        <v>2785</v>
      </c>
      <c r="I467" s="232" t="s">
        <v>2786</v>
      </c>
      <c r="J467" s="233" t="str">
        <f t="shared" si="14"/>
        <v>TinMining and processing tin-tungsten ore Giang Son - VQB Co., Ltd.</v>
      </c>
      <c r="K467" s="233" t="str">
        <f t="shared" si="15"/>
        <v>TinMining and processing tin-tungsten ore Giang Son - VQB Co., Ltd.</v>
      </c>
    </row>
    <row r="468" spans="1:11">
      <c r="A468" s="232" t="s">
        <v>131</v>
      </c>
      <c r="B468" s="232" t="s">
        <v>831</v>
      </c>
      <c r="C468" s="232" t="s">
        <v>831</v>
      </c>
      <c r="D468" s="232" t="s">
        <v>3433</v>
      </c>
      <c r="E468" s="232" t="s">
        <v>2332</v>
      </c>
      <c r="F468" s="232" t="s">
        <v>142</v>
      </c>
      <c r="G468" s="232"/>
      <c r="H468" s="232" t="s">
        <v>2046</v>
      </c>
      <c r="I468" s="232" t="s">
        <v>2334</v>
      </c>
      <c r="J468" s="233" t="str">
        <f t="shared" si="14"/>
        <v>TinMinsur</v>
      </c>
      <c r="K468" s="233" t="str">
        <f t="shared" si="15"/>
        <v>TinMinsur</v>
      </c>
    </row>
    <row r="469" spans="1:11">
      <c r="A469" s="232" t="s">
        <v>131</v>
      </c>
      <c r="B469" s="232" t="s">
        <v>1426</v>
      </c>
      <c r="C469" s="232" t="s">
        <v>1426</v>
      </c>
      <c r="D469" s="232" t="s">
        <v>3257</v>
      </c>
      <c r="E469" s="232" t="s">
        <v>2160</v>
      </c>
      <c r="F469" s="232" t="s">
        <v>142</v>
      </c>
      <c r="G469" s="232"/>
      <c r="H469" s="232" t="s">
        <v>277</v>
      </c>
      <c r="I469" s="232" t="s">
        <v>277</v>
      </c>
      <c r="J469" s="233" t="str">
        <f t="shared" si="14"/>
        <v>TinMitsubishi Materials Corporation</v>
      </c>
      <c r="K469" s="233" t="str">
        <f t="shared" si="15"/>
        <v>TinMitsubishi Materials Corporation</v>
      </c>
    </row>
    <row r="470" spans="1:11">
      <c r="A470" s="232" t="s">
        <v>131</v>
      </c>
      <c r="B470" s="232" t="s">
        <v>1974</v>
      </c>
      <c r="C470" s="232" t="s">
        <v>1974</v>
      </c>
      <c r="D470" s="232" t="s">
        <v>3336</v>
      </c>
      <c r="E470" s="232" t="s">
        <v>2168</v>
      </c>
      <c r="F470" s="232" t="s">
        <v>142</v>
      </c>
      <c r="G470" s="232"/>
      <c r="H470" s="232" t="s">
        <v>1976</v>
      </c>
      <c r="I470" s="232" t="s">
        <v>1977</v>
      </c>
      <c r="J470" s="233" t="str">
        <f t="shared" si="14"/>
        <v>TinModeltech Sdn Bhd</v>
      </c>
      <c r="K470" s="233" t="str">
        <f t="shared" si="15"/>
        <v>TinModeltech Sdn Bhd</v>
      </c>
    </row>
    <row r="471" spans="1:11">
      <c r="A471" s="232" t="s">
        <v>131</v>
      </c>
      <c r="B471" s="232" t="s">
        <v>2171</v>
      </c>
      <c r="C471" s="232" t="s">
        <v>2172</v>
      </c>
      <c r="D471" s="232" t="s">
        <v>3336</v>
      </c>
      <c r="E471" s="232" t="s">
        <v>2274</v>
      </c>
      <c r="F471" s="232" t="s">
        <v>142</v>
      </c>
      <c r="G471" s="232"/>
      <c r="H471" s="232" t="s">
        <v>2173</v>
      </c>
      <c r="I471" s="232" t="s">
        <v>2275</v>
      </c>
      <c r="J471" s="233" t="str">
        <f t="shared" si="14"/>
        <v>TinMSC</v>
      </c>
      <c r="K471" s="233" t="str">
        <f t="shared" si="15"/>
        <v>TinMSC</v>
      </c>
    </row>
    <row r="472" spans="1:11">
      <c r="A472" s="232" t="s">
        <v>131</v>
      </c>
      <c r="B472" s="232" t="s">
        <v>2760</v>
      </c>
      <c r="C472" s="232" t="s">
        <v>2761</v>
      </c>
      <c r="D472" s="232" t="s">
        <v>2818</v>
      </c>
      <c r="E472" s="232" t="s">
        <v>2759</v>
      </c>
      <c r="F472" s="232" t="s">
        <v>142</v>
      </c>
      <c r="G472" s="232"/>
      <c r="H472" s="232" t="s">
        <v>985</v>
      </c>
      <c r="I472" s="232" t="s">
        <v>771</v>
      </c>
      <c r="J472" s="233" t="str">
        <f t="shared" si="14"/>
        <v>TinNankang Nanshan Tin Manufactory Co., Ltd.</v>
      </c>
      <c r="K472" s="233" t="str">
        <f t="shared" si="15"/>
        <v>TinNankang Nanshan Tin Manufactory Co., Ltd.</v>
      </c>
    </row>
    <row r="473" spans="1:11">
      <c r="A473" s="232" t="s">
        <v>131</v>
      </c>
      <c r="B473" s="232" t="s">
        <v>3451</v>
      </c>
      <c r="C473" s="232" t="s">
        <v>2761</v>
      </c>
      <c r="D473" s="232" t="s">
        <v>2818</v>
      </c>
      <c r="E473" s="232" t="s">
        <v>2759</v>
      </c>
      <c r="F473" s="232" t="s">
        <v>142</v>
      </c>
      <c r="G473" s="232"/>
      <c r="H473" s="232" t="s">
        <v>985</v>
      </c>
      <c r="I473" s="232" t="s">
        <v>771</v>
      </c>
      <c r="J473" s="233" t="str">
        <f t="shared" si="14"/>
        <v>TinNanshan Tin Co. Ltd.</v>
      </c>
      <c r="K473" s="233" t="str">
        <f t="shared" si="15"/>
        <v>TinNanshan Tin Co. Ltd.</v>
      </c>
    </row>
    <row r="474" spans="1:11">
      <c r="A474" s="232" t="s">
        <v>131</v>
      </c>
      <c r="B474" s="232" t="s">
        <v>2175</v>
      </c>
      <c r="C474" s="232" t="s">
        <v>2175</v>
      </c>
      <c r="D474" s="232" t="s">
        <v>3416</v>
      </c>
      <c r="E474" s="232" t="s">
        <v>2174</v>
      </c>
      <c r="F474" s="232" t="s">
        <v>142</v>
      </c>
      <c r="G474" s="232"/>
      <c r="H474" s="232" t="s">
        <v>1126</v>
      </c>
      <c r="I474" s="232" t="s">
        <v>1127</v>
      </c>
      <c r="J474" s="233" t="str">
        <f t="shared" si="14"/>
        <v>TinNghe Tinh Non-Ferrous Metals Joint Stock Company</v>
      </c>
      <c r="K474" s="233" t="str">
        <f t="shared" si="15"/>
        <v>TinNghe Tinh Non-Ferrous Metals Joint Stock Company</v>
      </c>
    </row>
    <row r="475" spans="1:11">
      <c r="A475" s="232" t="s">
        <v>131</v>
      </c>
      <c r="B475" s="232" t="s">
        <v>2182</v>
      </c>
      <c r="C475" s="232" t="s">
        <v>2182</v>
      </c>
      <c r="D475" s="232" t="s">
        <v>3296</v>
      </c>
      <c r="E475" s="232" t="s">
        <v>2181</v>
      </c>
      <c r="F475" s="232" t="s">
        <v>142</v>
      </c>
      <c r="G475" s="232"/>
      <c r="H475" s="232" t="s">
        <v>684</v>
      </c>
      <c r="I475" s="232" t="s">
        <v>1730</v>
      </c>
      <c r="J475" s="233" t="str">
        <f t="shared" si="14"/>
        <v>TinNovosibirsk Processing Plant Ltd.</v>
      </c>
      <c r="K475" s="233" t="str">
        <f t="shared" si="15"/>
        <v>TinNovosibirsk Processing Plant Ltd.</v>
      </c>
    </row>
    <row r="476" spans="1:11">
      <c r="A476" s="232" t="s">
        <v>131</v>
      </c>
      <c r="B476" s="232" t="s">
        <v>2184</v>
      </c>
      <c r="C476" s="232" t="s">
        <v>2184</v>
      </c>
      <c r="D476" s="232" t="s">
        <v>3384</v>
      </c>
      <c r="E476" s="232" t="s">
        <v>2183</v>
      </c>
      <c r="F476" s="232" t="s">
        <v>142</v>
      </c>
      <c r="G476" s="232"/>
      <c r="H476" s="232" t="s">
        <v>2186</v>
      </c>
      <c r="I476" s="232" t="s">
        <v>2187</v>
      </c>
      <c r="J476" s="233" t="str">
        <f t="shared" si="14"/>
        <v>TinO.M. Manufacturing (Thailand) Co., Ltd.</v>
      </c>
      <c r="K476" s="233" t="str">
        <f t="shared" si="15"/>
        <v>TinO.M. Manufacturing (Thailand) Co., Ltd.</v>
      </c>
    </row>
    <row r="477" spans="1:11">
      <c r="A477" s="232" t="s">
        <v>131</v>
      </c>
      <c r="B477" s="232" t="s">
        <v>2441</v>
      </c>
      <c r="C477" s="232" t="s">
        <v>2441</v>
      </c>
      <c r="D477" s="232" t="s">
        <v>3278</v>
      </c>
      <c r="E477" s="232" t="s">
        <v>2440</v>
      </c>
      <c r="F477" s="232" t="s">
        <v>142</v>
      </c>
      <c r="G477" s="232"/>
      <c r="H477" s="232" t="s">
        <v>2443</v>
      </c>
      <c r="I477" s="232" t="s">
        <v>2444</v>
      </c>
      <c r="J477" s="233" t="str">
        <f t="shared" si="14"/>
        <v>TinO.M. Manufacturing Philippines, Inc.</v>
      </c>
      <c r="K477" s="233" t="str">
        <f t="shared" si="15"/>
        <v>TinO.M. Manufacturing Philippines, Inc.</v>
      </c>
    </row>
    <row r="478" spans="1:11">
      <c r="A478" s="232" t="s">
        <v>131</v>
      </c>
      <c r="B478" s="232" t="s">
        <v>2451</v>
      </c>
      <c r="C478" s="232" t="s">
        <v>2456</v>
      </c>
      <c r="D478" s="232" t="s">
        <v>3427</v>
      </c>
      <c r="E478" s="232" t="s">
        <v>2454</v>
      </c>
      <c r="F478" s="232" t="s">
        <v>142</v>
      </c>
      <c r="G478" s="232"/>
      <c r="H478" s="232" t="s">
        <v>2452</v>
      </c>
      <c r="I478" s="232" t="s">
        <v>2452</v>
      </c>
      <c r="J478" s="233" t="str">
        <f t="shared" si="14"/>
        <v>TinOMSA</v>
      </c>
      <c r="K478" s="233" t="str">
        <f t="shared" si="15"/>
        <v>TinOMSA</v>
      </c>
    </row>
    <row r="479" spans="1:11">
      <c r="A479" s="232" t="s">
        <v>131</v>
      </c>
      <c r="B479" s="232" t="s">
        <v>2456</v>
      </c>
      <c r="C479" s="232" t="s">
        <v>2456</v>
      </c>
      <c r="D479" s="232" t="s">
        <v>3427</v>
      </c>
      <c r="E479" s="232" t="s">
        <v>2454</v>
      </c>
      <c r="F479" s="232" t="s">
        <v>142</v>
      </c>
      <c r="G479" s="232"/>
      <c r="H479" s="232" t="s">
        <v>2452</v>
      </c>
      <c r="I479" s="232" t="s">
        <v>2452</v>
      </c>
      <c r="J479" s="233" t="str">
        <f t="shared" si="14"/>
        <v>TinOperaciones Metalurgicas S.A.</v>
      </c>
      <c r="K479" s="233" t="str">
        <f t="shared" si="15"/>
        <v>TinOperaciones Metalurgicas S.A.</v>
      </c>
    </row>
    <row r="480" spans="1:11">
      <c r="A480" s="232" t="s">
        <v>131</v>
      </c>
      <c r="B480" s="232" t="s">
        <v>2455</v>
      </c>
      <c r="C480" s="232" t="s">
        <v>2456</v>
      </c>
      <c r="D480" s="232" t="s">
        <v>3427</v>
      </c>
      <c r="E480" s="232" t="s">
        <v>2454</v>
      </c>
      <c r="F480" s="232" t="s">
        <v>142</v>
      </c>
      <c r="G480" s="232"/>
      <c r="H480" s="232" t="s">
        <v>2452</v>
      </c>
      <c r="I480" s="232" t="s">
        <v>2452</v>
      </c>
      <c r="J480" s="233" t="str">
        <f t="shared" si="14"/>
        <v>TinOperaciones Metalúrgicas S.A.</v>
      </c>
      <c r="K480" s="233" t="str">
        <f t="shared" si="15"/>
        <v>TinOperaciones Metalúrgicas S.A.</v>
      </c>
    </row>
    <row r="481" spans="1:11">
      <c r="A481" s="232" t="s">
        <v>131</v>
      </c>
      <c r="B481" s="232" t="s">
        <v>1457</v>
      </c>
      <c r="C481" s="232" t="s">
        <v>1457</v>
      </c>
      <c r="D481" s="232" t="s">
        <v>3426</v>
      </c>
      <c r="E481" s="232" t="s">
        <v>1456</v>
      </c>
      <c r="F481" s="232" t="s">
        <v>142</v>
      </c>
      <c r="G481" s="232"/>
      <c r="H481" s="232" t="s">
        <v>1460</v>
      </c>
      <c r="I481" s="232" t="s">
        <v>1460</v>
      </c>
      <c r="J481" s="233" t="str">
        <f t="shared" si="14"/>
        <v>TinPongpipat Company Limited</v>
      </c>
      <c r="K481" s="233" t="str">
        <f t="shared" si="15"/>
        <v>TinPongpipat Company Limited</v>
      </c>
    </row>
    <row r="482" spans="1:11">
      <c r="A482" s="232" t="s">
        <v>131</v>
      </c>
      <c r="B482" s="232" t="s">
        <v>1465</v>
      </c>
      <c r="C482" s="232" t="s">
        <v>1465</v>
      </c>
      <c r="D482" s="232" t="s">
        <v>3275</v>
      </c>
      <c r="E482" s="232" t="s">
        <v>1464</v>
      </c>
      <c r="F482" s="232" t="s">
        <v>142</v>
      </c>
      <c r="G482" s="232"/>
      <c r="H482" s="232" t="s">
        <v>1467</v>
      </c>
      <c r="I482" s="232" t="s">
        <v>1468</v>
      </c>
      <c r="J482" s="233" t="str">
        <f t="shared" si="14"/>
        <v>TinPrecious Minerals and Smelting Limited</v>
      </c>
      <c r="K482" s="233" t="str">
        <f t="shared" si="15"/>
        <v>TinPrecious Minerals and Smelting Limited</v>
      </c>
    </row>
    <row r="483" spans="1:11">
      <c r="A483" s="232" t="s">
        <v>131</v>
      </c>
      <c r="B483" s="232" t="s">
        <v>1475</v>
      </c>
      <c r="C483" s="232" t="s">
        <v>1475</v>
      </c>
      <c r="D483" s="232" t="s">
        <v>1075</v>
      </c>
      <c r="E483" s="232" t="s">
        <v>1474</v>
      </c>
      <c r="F483" s="232" t="s">
        <v>142</v>
      </c>
      <c r="G483" s="232"/>
      <c r="H483" s="232" t="s">
        <v>3425</v>
      </c>
      <c r="I483" s="232" t="s">
        <v>833</v>
      </c>
      <c r="J483" s="233" t="str">
        <f t="shared" si="14"/>
        <v>TinPT Aries Kencana Sejahtera</v>
      </c>
      <c r="K483" s="233" t="str">
        <f t="shared" si="15"/>
        <v>TinPT Aries Kencana Sejahtera</v>
      </c>
    </row>
    <row r="484" spans="1:11">
      <c r="A484" s="232" t="s">
        <v>131</v>
      </c>
      <c r="B484" s="232" t="s">
        <v>1054</v>
      </c>
      <c r="C484" s="232" t="s">
        <v>1054</v>
      </c>
      <c r="D484" s="232" t="s">
        <v>1075</v>
      </c>
      <c r="E484" s="232" t="s">
        <v>1052</v>
      </c>
      <c r="F484" s="232" t="s">
        <v>142</v>
      </c>
      <c r="G484" s="232"/>
      <c r="H484" s="232" t="s">
        <v>1056</v>
      </c>
      <c r="I484" s="232" t="s">
        <v>833</v>
      </c>
      <c r="J484" s="233" t="str">
        <f t="shared" si="14"/>
        <v>TinPT Artha Cipta Langgeng</v>
      </c>
      <c r="K484" s="233" t="str">
        <f t="shared" si="15"/>
        <v>TinPT Artha Cipta Langgeng</v>
      </c>
    </row>
    <row r="485" spans="1:11">
      <c r="A485" s="232" t="s">
        <v>131</v>
      </c>
      <c r="B485" s="232" t="s">
        <v>1065</v>
      </c>
      <c r="C485" s="232" t="s">
        <v>1065</v>
      </c>
      <c r="D485" s="232" t="s">
        <v>1075</v>
      </c>
      <c r="E485" s="232" t="s">
        <v>1281</v>
      </c>
      <c r="F485" s="232" t="s">
        <v>142</v>
      </c>
      <c r="G485" s="232"/>
      <c r="H485" s="232" t="s">
        <v>1056</v>
      </c>
      <c r="I485" s="232" t="s">
        <v>833</v>
      </c>
      <c r="J485" s="233" t="str">
        <f t="shared" si="14"/>
        <v>TinPT ATD Makmur Mandiri Jaya</v>
      </c>
      <c r="K485" s="233" t="str">
        <f t="shared" si="15"/>
        <v>TinPT ATD Makmur Mandiri Jaya</v>
      </c>
    </row>
    <row r="486" spans="1:11">
      <c r="A486" s="232" t="s">
        <v>131</v>
      </c>
      <c r="B486" s="232" t="s">
        <v>1053</v>
      </c>
      <c r="C486" s="232" t="s">
        <v>1053</v>
      </c>
      <c r="D486" s="232" t="s">
        <v>1075</v>
      </c>
      <c r="E486" s="232" t="s">
        <v>1290</v>
      </c>
      <c r="F486" s="232" t="s">
        <v>142</v>
      </c>
      <c r="G486" s="232"/>
      <c r="H486" s="232" t="s">
        <v>1289</v>
      </c>
      <c r="I486" s="232" t="s">
        <v>833</v>
      </c>
      <c r="J486" s="233" t="str">
        <f t="shared" si="14"/>
        <v>TinPT Babel Inti Perkasa</v>
      </c>
      <c r="K486" s="233" t="str">
        <f t="shared" si="15"/>
        <v>TinPT Babel Inti Perkasa</v>
      </c>
    </row>
    <row r="487" spans="1:11">
      <c r="A487" s="232" t="s">
        <v>131</v>
      </c>
      <c r="B487" s="232" t="s">
        <v>1291</v>
      </c>
      <c r="C487" s="232" t="s">
        <v>1291</v>
      </c>
      <c r="D487" s="232" t="s">
        <v>1075</v>
      </c>
      <c r="E487" s="232" t="s">
        <v>1292</v>
      </c>
      <c r="F487" s="232" t="s">
        <v>142</v>
      </c>
      <c r="G487" s="232"/>
      <c r="H487" s="232" t="s">
        <v>1293</v>
      </c>
      <c r="I487" s="232" t="s">
        <v>833</v>
      </c>
      <c r="J487" s="233" t="str">
        <f t="shared" si="14"/>
        <v>TinPT Babel Surya Alam Lestari</v>
      </c>
      <c r="K487" s="233" t="str">
        <f t="shared" si="15"/>
        <v>TinPT Babel Surya Alam Lestari</v>
      </c>
    </row>
    <row r="488" spans="1:11">
      <c r="A488" s="232" t="s">
        <v>131</v>
      </c>
      <c r="B488" s="232" t="s">
        <v>1295</v>
      </c>
      <c r="C488" s="232" t="s">
        <v>1295</v>
      </c>
      <c r="D488" s="232" t="s">
        <v>1075</v>
      </c>
      <c r="E488" s="232" t="s">
        <v>1294</v>
      </c>
      <c r="F488" s="232" t="s">
        <v>142</v>
      </c>
      <c r="G488" s="232"/>
      <c r="H488" s="232" t="s">
        <v>1297</v>
      </c>
      <c r="I488" s="232" t="s">
        <v>833</v>
      </c>
      <c r="J488" s="233" t="str">
        <f t="shared" si="14"/>
        <v>TinPT Bangka Serumpun</v>
      </c>
      <c r="K488" s="233" t="str">
        <f t="shared" si="15"/>
        <v>TinPT Bangka Serumpun</v>
      </c>
    </row>
    <row r="489" spans="1:11">
      <c r="A489" s="232" t="s">
        <v>131</v>
      </c>
      <c r="B489" s="232" t="s">
        <v>1307</v>
      </c>
      <c r="C489" s="232" t="s">
        <v>1307</v>
      </c>
      <c r="D489" s="232" t="s">
        <v>1075</v>
      </c>
      <c r="E489" s="232" t="s">
        <v>2462</v>
      </c>
      <c r="F489" s="232" t="s">
        <v>142</v>
      </c>
      <c r="G489" s="232"/>
      <c r="H489" s="232" t="s">
        <v>3452</v>
      </c>
      <c r="I489" s="232" t="s">
        <v>833</v>
      </c>
      <c r="J489" s="233" t="str">
        <f t="shared" si="14"/>
        <v>TinPT Belitung Industri Sejahtera</v>
      </c>
      <c r="K489" s="233" t="str">
        <f t="shared" si="15"/>
        <v>TinPT Belitung Industri Sejahtera</v>
      </c>
    </row>
    <row r="490" spans="1:11">
      <c r="A490" s="232" t="s">
        <v>131</v>
      </c>
      <c r="B490" s="232" t="s">
        <v>1309</v>
      </c>
      <c r="C490" s="232" t="s">
        <v>1309</v>
      </c>
      <c r="D490" s="232" t="s">
        <v>1075</v>
      </c>
      <c r="E490" s="232" t="s">
        <v>1308</v>
      </c>
      <c r="F490" s="232" t="s">
        <v>142</v>
      </c>
      <c r="G490" s="232"/>
      <c r="H490" s="232" t="s">
        <v>1071</v>
      </c>
      <c r="I490" s="228" t="s">
        <v>833</v>
      </c>
      <c r="J490" s="233" t="str">
        <f t="shared" si="14"/>
        <v>TinPT Bukit Timah</v>
      </c>
      <c r="K490" s="233" t="str">
        <f t="shared" si="15"/>
        <v>TinPT Bukit Timah</v>
      </c>
    </row>
    <row r="491" spans="1:11">
      <c r="A491" s="232" t="s">
        <v>131</v>
      </c>
      <c r="B491" s="232" t="s">
        <v>2464</v>
      </c>
      <c r="C491" s="232" t="s">
        <v>2464</v>
      </c>
      <c r="D491" s="232" t="s">
        <v>1075</v>
      </c>
      <c r="E491" s="232" t="s">
        <v>2463</v>
      </c>
      <c r="F491" s="232" t="s">
        <v>142</v>
      </c>
      <c r="G491" s="232"/>
      <c r="H491" s="232" t="s">
        <v>3453</v>
      </c>
      <c r="I491" s="228" t="s">
        <v>1310</v>
      </c>
      <c r="J491" s="233" t="str">
        <f t="shared" si="14"/>
        <v>TinPT Cipta Persada Mulia</v>
      </c>
      <c r="K491" s="233" t="str">
        <f t="shared" si="15"/>
        <v>TinPT Cipta Persada Mulia</v>
      </c>
    </row>
    <row r="492" spans="1:11">
      <c r="A492" s="232" t="s">
        <v>131</v>
      </c>
      <c r="B492" s="232" t="s">
        <v>3454</v>
      </c>
      <c r="C492" s="232" t="s">
        <v>1309</v>
      </c>
      <c r="D492" s="232" t="s">
        <v>1075</v>
      </c>
      <c r="E492" s="232" t="s">
        <v>1308</v>
      </c>
      <c r="F492" s="232" t="s">
        <v>142</v>
      </c>
      <c r="G492" s="232"/>
      <c r="H492" s="232" t="s">
        <v>1071</v>
      </c>
      <c r="I492" s="232" t="s">
        <v>833</v>
      </c>
      <c r="J492" s="233" t="str">
        <f t="shared" si="14"/>
        <v>TinPT Indora Ermulti</v>
      </c>
      <c r="K492" s="233" t="str">
        <f t="shared" si="15"/>
        <v>TinPT Indora Ermulti</v>
      </c>
    </row>
    <row r="493" spans="1:11">
      <c r="A493" s="232" t="s">
        <v>131</v>
      </c>
      <c r="B493" s="232" t="s">
        <v>3455</v>
      </c>
      <c r="C493" s="232" t="s">
        <v>1309</v>
      </c>
      <c r="D493" s="232" t="s">
        <v>1075</v>
      </c>
      <c r="E493" s="232" t="s">
        <v>1308</v>
      </c>
      <c r="F493" s="232" t="s">
        <v>142</v>
      </c>
      <c r="G493" s="232"/>
      <c r="H493" s="232" t="s">
        <v>1071</v>
      </c>
      <c r="I493" s="232" t="s">
        <v>833</v>
      </c>
      <c r="J493" s="233" t="str">
        <f t="shared" si="14"/>
        <v>TinPT Indra Eramult Logam Industri</v>
      </c>
      <c r="K493" s="233" t="str">
        <f t="shared" si="15"/>
        <v>TinPT Indra Eramult Logam Industri</v>
      </c>
    </row>
    <row r="494" spans="1:11">
      <c r="A494" s="232" t="s">
        <v>131</v>
      </c>
      <c r="B494" s="232" t="s">
        <v>2534</v>
      </c>
      <c r="C494" s="232" t="s">
        <v>2534</v>
      </c>
      <c r="D494" s="232" t="s">
        <v>1075</v>
      </c>
      <c r="E494" s="232" t="s">
        <v>2533</v>
      </c>
      <c r="F494" s="232" t="s">
        <v>142</v>
      </c>
      <c r="G494" s="232"/>
      <c r="H494" s="232" t="s">
        <v>1056</v>
      </c>
      <c r="I494" s="232" t="s">
        <v>833</v>
      </c>
      <c r="J494" s="233" t="str">
        <f t="shared" si="14"/>
        <v>TinPT Masbro Alam Stania</v>
      </c>
      <c r="K494" s="233" t="str">
        <f t="shared" si="15"/>
        <v>TinPT Masbro Alam Stania</v>
      </c>
    </row>
    <row r="495" spans="1:11">
      <c r="A495" s="232" t="s">
        <v>131</v>
      </c>
      <c r="B495" s="232" t="s">
        <v>2535</v>
      </c>
      <c r="C495" s="232" t="s">
        <v>2535</v>
      </c>
      <c r="D495" s="232" t="s">
        <v>1075</v>
      </c>
      <c r="E495" s="232" t="s">
        <v>3037</v>
      </c>
      <c r="F495" s="232" t="s">
        <v>142</v>
      </c>
      <c r="G495" s="232"/>
      <c r="H495" s="232" t="s">
        <v>3038</v>
      </c>
      <c r="I495" s="232" t="s">
        <v>833</v>
      </c>
      <c r="J495" s="233" t="str">
        <f t="shared" si="14"/>
        <v>TinPT Menara Cipta Mulia</v>
      </c>
      <c r="K495" s="233" t="str">
        <f t="shared" si="15"/>
        <v>TinPT Menara Cipta Mulia</v>
      </c>
    </row>
    <row r="496" spans="1:11">
      <c r="A496" s="232" t="s">
        <v>131</v>
      </c>
      <c r="B496" s="232" t="s">
        <v>2536</v>
      </c>
      <c r="C496" s="232" t="s">
        <v>2536</v>
      </c>
      <c r="D496" s="232" t="s">
        <v>1075</v>
      </c>
      <c r="E496" s="232" t="s">
        <v>3039</v>
      </c>
      <c r="F496" s="232" t="s">
        <v>142</v>
      </c>
      <c r="G496" s="232"/>
      <c r="H496" s="232" t="s">
        <v>1056</v>
      </c>
      <c r="I496" s="232" t="s">
        <v>833</v>
      </c>
      <c r="J496" s="233" t="str">
        <f t="shared" si="14"/>
        <v>TinPT Mitra Stania Prima</v>
      </c>
      <c r="K496" s="233" t="str">
        <f t="shared" si="15"/>
        <v>TinPT Mitra Stania Prima</v>
      </c>
    </row>
    <row r="497" spans="1:11">
      <c r="A497" s="232" t="s">
        <v>131</v>
      </c>
      <c r="B497" s="232" t="s">
        <v>3049</v>
      </c>
      <c r="C497" s="232" t="s">
        <v>3049</v>
      </c>
      <c r="D497" s="232" t="s">
        <v>1075</v>
      </c>
      <c r="E497" s="232" t="s">
        <v>3048</v>
      </c>
      <c r="F497" s="232" t="s">
        <v>142</v>
      </c>
      <c r="G497" s="232"/>
      <c r="H497" s="232" t="s">
        <v>1297</v>
      </c>
      <c r="I497" s="232" t="s">
        <v>833</v>
      </c>
      <c r="J497" s="233" t="str">
        <f t="shared" si="14"/>
        <v>TinPT Mitra Sukses Globalindo</v>
      </c>
      <c r="K497" s="233" t="str">
        <f t="shared" si="15"/>
        <v>TinPT Mitra Sukses Globalindo</v>
      </c>
    </row>
    <row r="498" spans="1:11">
      <c r="A498" s="232" t="s">
        <v>131</v>
      </c>
      <c r="B498" s="232" t="s">
        <v>2470</v>
      </c>
      <c r="C498" s="232" t="s">
        <v>2470</v>
      </c>
      <c r="D498" s="232" t="s">
        <v>1075</v>
      </c>
      <c r="E498" s="232" t="s">
        <v>2469</v>
      </c>
      <c r="F498" s="232" t="s">
        <v>142</v>
      </c>
      <c r="G498" s="232"/>
      <c r="H498" s="232" t="s">
        <v>1056</v>
      </c>
      <c r="I498" s="232" t="s">
        <v>833</v>
      </c>
      <c r="J498" s="233" t="str">
        <f t="shared" si="14"/>
        <v>TinPT Panca Mega Persada</v>
      </c>
      <c r="K498" s="233" t="str">
        <f t="shared" si="15"/>
        <v>TinPT Panca Mega Persada</v>
      </c>
    </row>
    <row r="499" spans="1:11">
      <c r="A499" s="232" t="s">
        <v>131</v>
      </c>
      <c r="B499" s="232" t="s">
        <v>2472</v>
      </c>
      <c r="C499" s="232" t="s">
        <v>2472</v>
      </c>
      <c r="D499" s="232" t="s">
        <v>1075</v>
      </c>
      <c r="E499" s="232" t="s">
        <v>2471</v>
      </c>
      <c r="F499" s="232" t="s">
        <v>142</v>
      </c>
      <c r="G499" s="232"/>
      <c r="H499" s="232" t="s">
        <v>1071</v>
      </c>
      <c r="I499" s="232" t="s">
        <v>833</v>
      </c>
      <c r="J499" s="233" t="str">
        <f t="shared" si="14"/>
        <v>TinPT Prima Timah Utama</v>
      </c>
      <c r="K499" s="233" t="str">
        <f t="shared" si="15"/>
        <v>TinPT Prima Timah Utama</v>
      </c>
    </row>
    <row r="500" spans="1:11">
      <c r="A500" s="232" t="s">
        <v>131</v>
      </c>
      <c r="B500" s="232" t="s">
        <v>2474</v>
      </c>
      <c r="C500" s="232" t="s">
        <v>2474</v>
      </c>
      <c r="D500" s="232" t="s">
        <v>1075</v>
      </c>
      <c r="E500" s="232" t="s">
        <v>2473</v>
      </c>
      <c r="F500" s="232" t="s">
        <v>142</v>
      </c>
      <c r="G500" s="232"/>
      <c r="H500" s="232" t="s">
        <v>1056</v>
      </c>
      <c r="I500" s="232" t="s">
        <v>833</v>
      </c>
      <c r="J500" s="233" t="str">
        <f t="shared" si="14"/>
        <v>TinPT Putera Sarana Shakti (PT PSS)</v>
      </c>
      <c r="K500" s="233" t="str">
        <f t="shared" si="15"/>
        <v>TinPT Putera Sarana Shakti (PT PSS)</v>
      </c>
    </row>
    <row r="501" spans="1:11">
      <c r="A501" s="232" t="s">
        <v>131</v>
      </c>
      <c r="B501" s="232" t="s">
        <v>3058</v>
      </c>
      <c r="C501" s="232" t="s">
        <v>3058</v>
      </c>
      <c r="D501" s="232" t="s">
        <v>1075</v>
      </c>
      <c r="E501" s="232" t="s">
        <v>3057</v>
      </c>
      <c r="F501" s="232" t="s">
        <v>142</v>
      </c>
      <c r="G501" s="232"/>
      <c r="H501" s="232" t="s">
        <v>3059</v>
      </c>
      <c r="I501" s="232" t="s">
        <v>833</v>
      </c>
      <c r="J501" s="233" t="str">
        <f t="shared" si="14"/>
        <v>TinPT Rajawali Rimba Perkasa</v>
      </c>
      <c r="K501" s="233" t="str">
        <f t="shared" si="15"/>
        <v>TinPT Rajawali Rimba Perkasa</v>
      </c>
    </row>
    <row r="502" spans="1:11">
      <c r="A502" s="232" t="s">
        <v>131</v>
      </c>
      <c r="B502" s="232" t="s">
        <v>2475</v>
      </c>
      <c r="C502" s="232" t="s">
        <v>2475</v>
      </c>
      <c r="D502" s="232" t="s">
        <v>1075</v>
      </c>
      <c r="E502" s="232" t="s">
        <v>3209</v>
      </c>
      <c r="F502" s="232" t="s">
        <v>142</v>
      </c>
      <c r="G502" s="232"/>
      <c r="H502" s="232" t="s">
        <v>1056</v>
      </c>
      <c r="I502" s="232" t="s">
        <v>833</v>
      </c>
      <c r="J502" s="233" t="str">
        <f t="shared" si="14"/>
        <v>TinPT Refined Bangka Tin</v>
      </c>
      <c r="K502" s="233" t="str">
        <f t="shared" si="15"/>
        <v>TinPT Refined Bangka Tin</v>
      </c>
    </row>
    <row r="503" spans="1:11">
      <c r="A503" s="232" t="s">
        <v>131</v>
      </c>
      <c r="B503" s="232" t="s">
        <v>2478</v>
      </c>
      <c r="C503" s="232" t="s">
        <v>2478</v>
      </c>
      <c r="D503" s="232" t="s">
        <v>1075</v>
      </c>
      <c r="E503" s="232" t="s">
        <v>3061</v>
      </c>
      <c r="F503" s="232" t="s">
        <v>142</v>
      </c>
      <c r="G503" s="232"/>
      <c r="H503" s="232" t="s">
        <v>1071</v>
      </c>
      <c r="I503" s="232" t="s">
        <v>833</v>
      </c>
      <c r="J503" s="233" t="str">
        <f t="shared" si="14"/>
        <v>TinPT Sariwiguna Binasentosa</v>
      </c>
      <c r="K503" s="233" t="str">
        <f t="shared" si="15"/>
        <v>TinPT Sariwiguna Binasentosa</v>
      </c>
    </row>
    <row r="504" spans="1:11">
      <c r="A504" s="232" t="s">
        <v>131</v>
      </c>
      <c r="B504" s="232" t="s">
        <v>1986</v>
      </c>
      <c r="C504" s="232" t="s">
        <v>1986</v>
      </c>
      <c r="D504" s="232" t="s">
        <v>1075</v>
      </c>
      <c r="E504" s="232" t="s">
        <v>3065</v>
      </c>
      <c r="F504" s="232" t="s">
        <v>142</v>
      </c>
      <c r="G504" s="232"/>
      <c r="H504" s="232" t="s">
        <v>1071</v>
      </c>
      <c r="I504" s="232" t="s">
        <v>833</v>
      </c>
      <c r="J504" s="233" t="str">
        <f t="shared" si="14"/>
        <v>TinPT Stanindo Inti Perkasa</v>
      </c>
      <c r="K504" s="233" t="str">
        <f t="shared" si="15"/>
        <v>TinPT Stanindo Inti Perkasa</v>
      </c>
    </row>
    <row r="505" spans="1:11">
      <c r="A505" s="232" t="s">
        <v>131</v>
      </c>
      <c r="B505" s="232" t="s">
        <v>1477</v>
      </c>
      <c r="C505" s="232" t="s">
        <v>1477</v>
      </c>
      <c r="D505" s="232" t="s">
        <v>1075</v>
      </c>
      <c r="E505" s="232" t="s">
        <v>1476</v>
      </c>
      <c r="F505" s="232" t="s">
        <v>142</v>
      </c>
      <c r="G505" s="232"/>
      <c r="H505" s="232" t="s">
        <v>3456</v>
      </c>
      <c r="I505" s="232" t="s">
        <v>833</v>
      </c>
      <c r="J505" s="233" t="str">
        <f t="shared" si="14"/>
        <v>TinPT Sukses Inti Makmur</v>
      </c>
      <c r="K505" s="233" t="str">
        <f t="shared" si="15"/>
        <v>TinPT Sukses Inti Makmur</v>
      </c>
    </row>
    <row r="506" spans="1:11">
      <c r="A506" s="232" t="s">
        <v>131</v>
      </c>
      <c r="B506" s="232" t="s">
        <v>1074</v>
      </c>
      <c r="C506" s="232" t="s">
        <v>2483</v>
      </c>
      <c r="D506" s="232" t="s">
        <v>1075</v>
      </c>
      <c r="E506" s="232" t="s">
        <v>2481</v>
      </c>
      <c r="F506" s="232" t="s">
        <v>142</v>
      </c>
      <c r="G506" s="232"/>
      <c r="H506" s="232" t="s">
        <v>2484</v>
      </c>
      <c r="I506" s="232" t="s">
        <v>2485</v>
      </c>
      <c r="J506" s="233" t="str">
        <f t="shared" si="14"/>
        <v>TinPT Tambang Timah</v>
      </c>
      <c r="K506" s="233" t="str">
        <f t="shared" si="15"/>
        <v>TinPT Tambang Timah</v>
      </c>
    </row>
    <row r="507" spans="1:11">
      <c r="A507" s="232" t="s">
        <v>131</v>
      </c>
      <c r="B507" s="232" t="s">
        <v>1076</v>
      </c>
      <c r="C507" s="232" t="s">
        <v>1076</v>
      </c>
      <c r="D507" s="232" t="s">
        <v>1075</v>
      </c>
      <c r="E507" s="232" t="s">
        <v>2479</v>
      </c>
      <c r="F507" s="232" t="s">
        <v>142</v>
      </c>
      <c r="G507" s="232"/>
      <c r="H507" s="232" t="s">
        <v>2480</v>
      </c>
      <c r="I507" s="232" t="s">
        <v>833</v>
      </c>
      <c r="J507" s="233" t="str">
        <f t="shared" si="14"/>
        <v>TinPT Timah Nusantara</v>
      </c>
      <c r="K507" s="233" t="str">
        <f t="shared" si="15"/>
        <v>TinPT Timah Nusantara</v>
      </c>
    </row>
    <row r="508" spans="1:11">
      <c r="A508" s="232" t="s">
        <v>131</v>
      </c>
      <c r="B508" s="232" t="s">
        <v>2483</v>
      </c>
      <c r="C508" s="232" t="s">
        <v>2483</v>
      </c>
      <c r="D508" s="232" t="s">
        <v>1075</v>
      </c>
      <c r="E508" s="232" t="s">
        <v>2481</v>
      </c>
      <c r="F508" s="232" t="s">
        <v>142</v>
      </c>
      <c r="G508" s="232"/>
      <c r="H508" s="232" t="s">
        <v>2484</v>
      </c>
      <c r="I508" s="232" t="s">
        <v>2485</v>
      </c>
      <c r="J508" s="233" t="str">
        <f t="shared" si="14"/>
        <v>TinPT Timah Tbk Kundur</v>
      </c>
      <c r="K508" s="233" t="str">
        <f t="shared" si="15"/>
        <v>TinPT Timah Tbk Kundur</v>
      </c>
    </row>
    <row r="509" spans="1:11">
      <c r="A509" s="232" t="s">
        <v>131</v>
      </c>
      <c r="B509" s="232" t="s">
        <v>1134</v>
      </c>
      <c r="C509" s="232" t="s">
        <v>1134</v>
      </c>
      <c r="D509" s="232" t="s">
        <v>1075</v>
      </c>
      <c r="E509" s="232" t="s">
        <v>1132</v>
      </c>
      <c r="F509" s="232" t="s">
        <v>142</v>
      </c>
      <c r="G509" s="232"/>
      <c r="H509" s="232" t="s">
        <v>1136</v>
      </c>
      <c r="I509" s="232" t="s">
        <v>833</v>
      </c>
      <c r="J509" s="233" t="str">
        <f t="shared" si="14"/>
        <v>TinPT Timah Tbk Mentok</v>
      </c>
      <c r="K509" s="233" t="str">
        <f t="shared" si="15"/>
        <v>TinPT Timah Tbk Mentok</v>
      </c>
    </row>
    <row r="510" spans="1:11">
      <c r="A510" s="232" t="s">
        <v>131</v>
      </c>
      <c r="B510" s="232" t="s">
        <v>1608</v>
      </c>
      <c r="C510" s="232" t="s">
        <v>1608</v>
      </c>
      <c r="D510" s="232" t="s">
        <v>1075</v>
      </c>
      <c r="E510" s="232" t="s">
        <v>2492</v>
      </c>
      <c r="F510" s="232" t="s">
        <v>142</v>
      </c>
      <c r="G510" s="232"/>
      <c r="H510" s="232" t="s">
        <v>1071</v>
      </c>
      <c r="I510" s="232" t="s">
        <v>833</v>
      </c>
      <c r="J510" s="233" t="str">
        <f t="shared" si="14"/>
        <v>TinPT Tinindo Inter Nusa</v>
      </c>
      <c r="K510" s="233" t="str">
        <f t="shared" si="15"/>
        <v>TinPT Tinindo Inter Nusa</v>
      </c>
    </row>
    <row r="511" spans="1:11">
      <c r="A511" s="232" t="s">
        <v>131</v>
      </c>
      <c r="B511" s="232" t="s">
        <v>1610</v>
      </c>
      <c r="C511" s="232" t="s">
        <v>1610</v>
      </c>
      <c r="D511" s="232" t="s">
        <v>1075</v>
      </c>
      <c r="E511" s="232" t="s">
        <v>1609</v>
      </c>
      <c r="F511" s="232" t="s">
        <v>142</v>
      </c>
      <c r="G511" s="232"/>
      <c r="H511" s="232" t="s">
        <v>3457</v>
      </c>
      <c r="I511" s="232" t="s">
        <v>2537</v>
      </c>
      <c r="J511" s="233" t="str">
        <f t="shared" si="14"/>
        <v>TinPT Tirus Putra Mandiri</v>
      </c>
      <c r="K511" s="233" t="str">
        <f t="shared" si="15"/>
        <v>TinPT Tirus Putra Mandiri</v>
      </c>
    </row>
    <row r="512" spans="1:11">
      <c r="A512" s="232" t="s">
        <v>131</v>
      </c>
      <c r="B512" s="232" t="s">
        <v>1611</v>
      </c>
      <c r="C512" s="232" t="s">
        <v>1611</v>
      </c>
      <c r="D512" s="232" t="s">
        <v>1075</v>
      </c>
      <c r="E512" s="232" t="s">
        <v>1612</v>
      </c>
      <c r="F512" s="232" t="s">
        <v>142</v>
      </c>
      <c r="G512" s="232"/>
      <c r="H512" s="232" t="s">
        <v>1613</v>
      </c>
      <c r="I512" s="232" t="s">
        <v>833</v>
      </c>
      <c r="J512" s="233" t="str">
        <f t="shared" si="14"/>
        <v>TinPT Tommy Utama</v>
      </c>
      <c r="K512" s="233" t="str">
        <f t="shared" si="15"/>
        <v>TinPT Tommy Utama</v>
      </c>
    </row>
    <row r="513" spans="1:11">
      <c r="A513" s="232" t="s">
        <v>131</v>
      </c>
      <c r="B513" s="232" t="s">
        <v>3407</v>
      </c>
      <c r="C513" s="232" t="s">
        <v>1010</v>
      </c>
      <c r="D513" s="232" t="s">
        <v>3265</v>
      </c>
      <c r="E513" s="232" t="s">
        <v>1229</v>
      </c>
      <c r="F513" s="232" t="s">
        <v>142</v>
      </c>
      <c r="G513" s="232"/>
      <c r="H513" s="232" t="s">
        <v>721</v>
      </c>
      <c r="I513" s="232" t="s">
        <v>1012</v>
      </c>
      <c r="J513" s="233" t="str">
        <f t="shared" si="14"/>
        <v>TinResind Ind e Com Ltda.</v>
      </c>
      <c r="K513" s="233" t="str">
        <f t="shared" si="15"/>
        <v>TinResind Ind e Com Ltda.</v>
      </c>
    </row>
    <row r="514" spans="1:11">
      <c r="A514" s="232" t="s">
        <v>131</v>
      </c>
      <c r="B514" s="232" t="s">
        <v>1010</v>
      </c>
      <c r="C514" s="232" t="s">
        <v>1010</v>
      </c>
      <c r="D514" s="232" t="s">
        <v>3265</v>
      </c>
      <c r="E514" s="232" t="s">
        <v>1229</v>
      </c>
      <c r="F514" s="232" t="s">
        <v>142</v>
      </c>
      <c r="G514" s="232"/>
      <c r="H514" s="232" t="s">
        <v>721</v>
      </c>
      <c r="I514" s="232" t="s">
        <v>1012</v>
      </c>
      <c r="J514" s="233" t="str">
        <f t="shared" si="14"/>
        <v>TinResind Industria e Comercio Ltda.</v>
      </c>
      <c r="K514" s="233" t="str">
        <f t="shared" si="15"/>
        <v>TinResind Industria e Comercio Ltda.</v>
      </c>
    </row>
    <row r="515" spans="1:11">
      <c r="A515" s="232" t="s">
        <v>131</v>
      </c>
      <c r="B515" s="232" t="s">
        <v>1009</v>
      </c>
      <c r="C515" s="232" t="s">
        <v>1010</v>
      </c>
      <c r="D515" s="232" t="s">
        <v>3265</v>
      </c>
      <c r="E515" s="232" t="s">
        <v>1229</v>
      </c>
      <c r="F515" s="232" t="s">
        <v>142</v>
      </c>
      <c r="G515" s="232"/>
      <c r="H515" s="232" t="s">
        <v>721</v>
      </c>
      <c r="I515" s="232" t="s">
        <v>1012</v>
      </c>
      <c r="J515" s="233" t="str">
        <f t="shared" si="14"/>
        <v>TinResind Indústria e Comércio Ltda.</v>
      </c>
      <c r="K515" s="233" t="str">
        <f t="shared" si="15"/>
        <v>TinResind Indústria e Comércio Ltda.</v>
      </c>
    </row>
    <row r="516" spans="1:11">
      <c r="A516" s="232" t="s">
        <v>131</v>
      </c>
      <c r="B516" s="232" t="s">
        <v>1618</v>
      </c>
      <c r="C516" s="232" t="s">
        <v>1618</v>
      </c>
      <c r="D516" s="232" t="s">
        <v>3363</v>
      </c>
      <c r="E516" s="232" t="s">
        <v>1617</v>
      </c>
      <c r="F516" s="232" t="s">
        <v>142</v>
      </c>
      <c r="G516" s="232"/>
      <c r="H516" s="232" t="s">
        <v>1620</v>
      </c>
      <c r="I516" s="232" t="s">
        <v>370</v>
      </c>
      <c r="J516" s="233" t="str">
        <f t="shared" si="14"/>
        <v>TinRui Da Hung</v>
      </c>
      <c r="K516" s="233" t="str">
        <f t="shared" si="15"/>
        <v>TinRui Da Hung</v>
      </c>
    </row>
    <row r="517" spans="1:11">
      <c r="A517" s="232" t="s">
        <v>131</v>
      </c>
      <c r="B517" s="232" t="s">
        <v>3458</v>
      </c>
      <c r="C517" s="232" t="s">
        <v>3422</v>
      </c>
      <c r="D517" s="232" t="s">
        <v>2818</v>
      </c>
      <c r="E517" s="232" t="s">
        <v>1143</v>
      </c>
      <c r="F517" s="232" t="s">
        <v>142</v>
      </c>
      <c r="G517" s="232"/>
      <c r="H517" s="232" t="s">
        <v>1147</v>
      </c>
      <c r="I517" s="232" t="s">
        <v>1148</v>
      </c>
      <c r="J517" s="233" t="str">
        <f t="shared" ref="J517:J580" si="16">A517&amp;B517</f>
        <v>TinSmelting Branch of Yunnan Tin Company Ltd</v>
      </c>
      <c r="K517" s="233" t="str">
        <f t="shared" ref="K517:K580" si="17">A517&amp;B517</f>
        <v>TinSmelting Branch of Yunnan Tin Company Ltd</v>
      </c>
    </row>
    <row r="518" spans="1:11">
      <c r="A518" s="232" t="s">
        <v>131</v>
      </c>
      <c r="B518" s="232" t="s">
        <v>1638</v>
      </c>
      <c r="C518" s="232" t="s">
        <v>1638</v>
      </c>
      <c r="D518" s="232" t="s">
        <v>3265</v>
      </c>
      <c r="E518" s="232" t="s">
        <v>1637</v>
      </c>
      <c r="F518" s="232" t="s">
        <v>142</v>
      </c>
      <c r="G518" s="232"/>
      <c r="H518" s="232" t="s">
        <v>1640</v>
      </c>
      <c r="I518" s="232" t="s">
        <v>594</v>
      </c>
      <c r="J518" s="233" t="str">
        <f t="shared" si="16"/>
        <v>TinSoft Metais Ltda.</v>
      </c>
      <c r="K518" s="233" t="str">
        <f t="shared" si="17"/>
        <v>TinSoft Metais Ltda.</v>
      </c>
    </row>
    <row r="519" spans="1:11">
      <c r="A519" s="232" t="s">
        <v>131</v>
      </c>
      <c r="B519" s="232" t="s">
        <v>2277</v>
      </c>
      <c r="C519" s="232" t="s">
        <v>2277</v>
      </c>
      <c r="D519" s="232" t="s">
        <v>3265</v>
      </c>
      <c r="E519" s="232" t="s">
        <v>2276</v>
      </c>
      <c r="F519" s="232" t="s">
        <v>142</v>
      </c>
      <c r="G519" s="232"/>
      <c r="H519" s="232" t="s">
        <v>2279</v>
      </c>
      <c r="I519" s="232" t="s">
        <v>594</v>
      </c>
      <c r="J519" s="233" t="str">
        <f t="shared" si="16"/>
        <v>TinSuper Ligas</v>
      </c>
      <c r="K519" s="233" t="str">
        <f t="shared" si="17"/>
        <v>TinSuper Ligas</v>
      </c>
    </row>
    <row r="520" spans="1:11">
      <c r="A520" s="232" t="s">
        <v>131</v>
      </c>
      <c r="B520" s="232" t="s">
        <v>2305</v>
      </c>
      <c r="C520" s="232" t="s">
        <v>2305</v>
      </c>
      <c r="D520" s="232" t="s">
        <v>3416</v>
      </c>
      <c r="E520" s="232" t="s">
        <v>2304</v>
      </c>
      <c r="F520" s="232" t="s">
        <v>142</v>
      </c>
      <c r="G520" s="232"/>
      <c r="H520" s="232" t="s">
        <v>2307</v>
      </c>
      <c r="I520" s="232" t="s">
        <v>1422</v>
      </c>
      <c r="J520" s="233" t="str">
        <f t="shared" si="16"/>
        <v>TinThai Nguyen Mining and Metallurgy Co., Ltd.</v>
      </c>
      <c r="K520" s="233" t="str">
        <f t="shared" si="17"/>
        <v>TinThai Nguyen Mining and Metallurgy Co., Ltd.</v>
      </c>
    </row>
    <row r="521" spans="1:11">
      <c r="A521" s="232" t="s">
        <v>131</v>
      </c>
      <c r="B521" s="232" t="s">
        <v>3459</v>
      </c>
      <c r="C521" s="232" t="s">
        <v>2316</v>
      </c>
      <c r="D521" s="232" t="s">
        <v>3384</v>
      </c>
      <c r="E521" s="232" t="s">
        <v>2319</v>
      </c>
      <c r="F521" s="232" t="s">
        <v>142</v>
      </c>
      <c r="G521" s="232"/>
      <c r="H521" s="232" t="s">
        <v>2317</v>
      </c>
      <c r="I521" s="232" t="s">
        <v>2318</v>
      </c>
      <c r="J521" s="233" t="str">
        <f t="shared" si="16"/>
        <v>TinThai Solder Industry Corp., Ltd.</v>
      </c>
      <c r="K521" s="233" t="str">
        <f t="shared" si="17"/>
        <v>TinThai Solder Industry Corp., Ltd.</v>
      </c>
    </row>
    <row r="522" spans="1:11">
      <c r="A522" s="232" t="s">
        <v>131</v>
      </c>
      <c r="B522" s="232" t="s">
        <v>3460</v>
      </c>
      <c r="C522" s="232" t="s">
        <v>2316</v>
      </c>
      <c r="D522" s="232" t="s">
        <v>3384</v>
      </c>
      <c r="E522" s="232" t="s">
        <v>2319</v>
      </c>
      <c r="F522" s="232" t="s">
        <v>142</v>
      </c>
      <c r="G522" s="232"/>
      <c r="H522" s="232" t="s">
        <v>2317</v>
      </c>
      <c r="I522" s="228" t="s">
        <v>2318</v>
      </c>
      <c r="J522" s="233" t="str">
        <f t="shared" si="16"/>
        <v>TinThailand Smelting &amp; Refining Co Ltd</v>
      </c>
      <c r="K522" s="233" t="str">
        <f t="shared" si="17"/>
        <v>TinThailand Smelting &amp; Refining Co Ltd</v>
      </c>
    </row>
    <row r="523" spans="1:11">
      <c r="A523" s="232" t="s">
        <v>131</v>
      </c>
      <c r="B523" s="232" t="s">
        <v>2316</v>
      </c>
      <c r="C523" s="232" t="s">
        <v>2316</v>
      </c>
      <c r="D523" s="232" t="s">
        <v>3384</v>
      </c>
      <c r="E523" s="232" t="s">
        <v>2319</v>
      </c>
      <c r="F523" s="232" t="s">
        <v>142</v>
      </c>
      <c r="G523" s="232"/>
      <c r="H523" s="232" t="s">
        <v>2317</v>
      </c>
      <c r="I523" s="228" t="s">
        <v>2318</v>
      </c>
      <c r="J523" s="233" t="str">
        <f t="shared" si="16"/>
        <v>TinThaisarco</v>
      </c>
      <c r="K523" s="233" t="str">
        <f t="shared" si="17"/>
        <v>TinThaisarco</v>
      </c>
    </row>
    <row r="524" spans="1:11">
      <c r="A524" s="232" t="s">
        <v>131</v>
      </c>
      <c r="B524" s="232" t="s">
        <v>3461</v>
      </c>
      <c r="C524" s="232" t="s">
        <v>3092</v>
      </c>
      <c r="D524" s="232" t="s">
        <v>2818</v>
      </c>
      <c r="E524" s="232" t="s">
        <v>3090</v>
      </c>
      <c r="F524" s="232" t="s">
        <v>142</v>
      </c>
      <c r="G524" s="232"/>
      <c r="H524" s="232" t="s">
        <v>1147</v>
      </c>
      <c r="I524" s="228" t="s">
        <v>1148</v>
      </c>
      <c r="J524" s="233" t="str">
        <f t="shared" si="16"/>
        <v>TinThe Gejiu cloud new colored electrolytic</v>
      </c>
      <c r="K524" s="233" t="str">
        <f t="shared" si="17"/>
        <v>TinThe Gejiu cloud new colored electrolytic</v>
      </c>
    </row>
    <row r="525" spans="1:11">
      <c r="A525" s="232" t="s">
        <v>131</v>
      </c>
      <c r="B525" s="232" t="s">
        <v>3462</v>
      </c>
      <c r="C525" s="232" t="s">
        <v>3422</v>
      </c>
      <c r="D525" s="232" t="s">
        <v>2818</v>
      </c>
      <c r="E525" s="232" t="s">
        <v>1143</v>
      </c>
      <c r="F525" s="232" t="s">
        <v>142</v>
      </c>
      <c r="G525" s="232"/>
      <c r="H525" s="232" t="s">
        <v>1147</v>
      </c>
      <c r="I525" s="228" t="s">
        <v>1148</v>
      </c>
      <c r="J525" s="233" t="str">
        <f t="shared" si="16"/>
        <v>TinTin Products Manufacturing Co.LTD. of YTCL</v>
      </c>
      <c r="K525" s="233" t="str">
        <f t="shared" si="17"/>
        <v>TinTin Products Manufacturing Co.LTD. of YTCL</v>
      </c>
    </row>
    <row r="526" spans="1:11">
      <c r="A526" s="232" t="s">
        <v>131</v>
      </c>
      <c r="B526" s="232" t="s">
        <v>3422</v>
      </c>
      <c r="C526" s="232" t="s">
        <v>3422</v>
      </c>
      <c r="D526" s="232" t="s">
        <v>2818</v>
      </c>
      <c r="E526" s="232" t="s">
        <v>1143</v>
      </c>
      <c r="F526" s="232" t="s">
        <v>142</v>
      </c>
      <c r="G526" s="232"/>
      <c r="H526" s="232" t="s">
        <v>1147</v>
      </c>
      <c r="I526" s="232" t="s">
        <v>1148</v>
      </c>
      <c r="J526" s="233" t="str">
        <f t="shared" si="16"/>
        <v>TinTin Smelting Branch of Yunnan Tin Co., Ltd.</v>
      </c>
      <c r="K526" s="233" t="str">
        <f t="shared" si="17"/>
        <v>TinTin Smelting Branch of Yunnan Tin Co., Ltd.</v>
      </c>
    </row>
    <row r="527" spans="1:11">
      <c r="A527" s="232" t="s">
        <v>131</v>
      </c>
      <c r="B527" s="232" t="s">
        <v>2850</v>
      </c>
      <c r="C527" s="232" t="s">
        <v>2850</v>
      </c>
      <c r="D527" s="232" t="s">
        <v>3251</v>
      </c>
      <c r="E527" s="232" t="s">
        <v>2849</v>
      </c>
      <c r="F527" s="232" t="s">
        <v>142</v>
      </c>
      <c r="G527" s="232"/>
      <c r="H527" s="232" t="s">
        <v>2852</v>
      </c>
      <c r="I527" s="232" t="s">
        <v>480</v>
      </c>
      <c r="J527" s="233" t="str">
        <f t="shared" si="16"/>
        <v>TinTin Technology &amp; Refining</v>
      </c>
      <c r="K527" s="233" t="str">
        <f t="shared" si="17"/>
        <v>TinTin Technology &amp; Refining</v>
      </c>
    </row>
    <row r="528" spans="1:11">
      <c r="A528" s="232" t="s">
        <v>131</v>
      </c>
      <c r="B528" s="232" t="s">
        <v>2051</v>
      </c>
      <c r="C528" s="232" t="s">
        <v>1574</v>
      </c>
      <c r="D528" s="232" t="s">
        <v>3265</v>
      </c>
      <c r="E528" s="232" t="s">
        <v>2050</v>
      </c>
      <c r="F528" s="232" t="s">
        <v>142</v>
      </c>
      <c r="G528" s="232"/>
      <c r="H528" s="232" t="s">
        <v>2052</v>
      </c>
      <c r="I528" s="232" t="s">
        <v>594</v>
      </c>
      <c r="J528" s="233" t="str">
        <f t="shared" si="16"/>
        <v>TinToboca/ Paranapenema</v>
      </c>
      <c r="K528" s="233" t="str">
        <f t="shared" si="17"/>
        <v>TinToboca/ Paranapenema</v>
      </c>
    </row>
    <row r="529" spans="1:11">
      <c r="A529" s="232" t="s">
        <v>131</v>
      </c>
      <c r="B529" s="232" t="s">
        <v>2767</v>
      </c>
      <c r="C529" s="232" t="s">
        <v>2767</v>
      </c>
      <c r="D529" s="232" t="s">
        <v>3416</v>
      </c>
      <c r="E529" s="232" t="s">
        <v>2766</v>
      </c>
      <c r="F529" s="232" t="s">
        <v>142</v>
      </c>
      <c r="G529" s="232"/>
      <c r="H529" s="232" t="s">
        <v>2769</v>
      </c>
      <c r="I529" s="232" t="s">
        <v>2770</v>
      </c>
      <c r="J529" s="233" t="str">
        <f t="shared" si="16"/>
        <v>TinTuyen Quang Non-Ferrous Metals Joint Stock Company</v>
      </c>
      <c r="K529" s="233" t="str">
        <f t="shared" si="17"/>
        <v>TinTuyen Quang Non-Ferrous Metals Joint Stock Company</v>
      </c>
    </row>
    <row r="530" spans="1:11">
      <c r="A530" s="232" t="s">
        <v>131</v>
      </c>
      <c r="B530" s="232" t="s">
        <v>2482</v>
      </c>
      <c r="C530" s="232" t="s">
        <v>2483</v>
      </c>
      <c r="D530" s="232" t="s">
        <v>1075</v>
      </c>
      <c r="E530" s="232" t="s">
        <v>2481</v>
      </c>
      <c r="F530" s="232" t="s">
        <v>142</v>
      </c>
      <c r="G530" s="232"/>
      <c r="H530" s="232" t="s">
        <v>2484</v>
      </c>
      <c r="I530" s="232" t="s">
        <v>2485</v>
      </c>
      <c r="J530" s="233" t="str">
        <f t="shared" si="16"/>
        <v>TinUnit Timah Kundur PT Tambang</v>
      </c>
      <c r="K530" s="233" t="str">
        <f t="shared" si="17"/>
        <v>TinUnit Timah Kundur PT Tambang</v>
      </c>
    </row>
    <row r="531" spans="1:11">
      <c r="A531" s="232" t="s">
        <v>131</v>
      </c>
      <c r="B531" s="232" t="s">
        <v>2784</v>
      </c>
      <c r="C531" s="232" t="s">
        <v>2784</v>
      </c>
      <c r="D531" s="232" t="s">
        <v>3416</v>
      </c>
      <c r="E531" s="232" t="s">
        <v>2783</v>
      </c>
      <c r="F531" s="232" t="s">
        <v>142</v>
      </c>
      <c r="G531" s="232"/>
      <c r="H531" s="232" t="s">
        <v>2785</v>
      </c>
      <c r="I531" s="232" t="s">
        <v>2786</v>
      </c>
      <c r="J531" s="233" t="str">
        <f t="shared" si="16"/>
        <v>TinVQB Mineral and Trading Group JSC</v>
      </c>
      <c r="K531" s="233" t="str">
        <f t="shared" si="17"/>
        <v>TinVQB Mineral and Trading Group JSC</v>
      </c>
    </row>
    <row r="532" spans="1:11">
      <c r="A532" s="232" t="s">
        <v>131</v>
      </c>
      <c r="B532" s="232" t="s">
        <v>2871</v>
      </c>
      <c r="C532" s="232" t="s">
        <v>2871</v>
      </c>
      <c r="D532" s="232" t="s">
        <v>3265</v>
      </c>
      <c r="E532" s="232" t="s">
        <v>2869</v>
      </c>
      <c r="F532" s="232" t="s">
        <v>142</v>
      </c>
      <c r="G532" s="232"/>
      <c r="H532" s="232" t="s">
        <v>512</v>
      </c>
      <c r="I532" s="232" t="s">
        <v>838</v>
      </c>
      <c r="J532" s="233" t="str">
        <f t="shared" si="16"/>
        <v>TinWhite Solder Metalurgia e Mineracao Ltda.</v>
      </c>
      <c r="K532" s="233" t="str">
        <f t="shared" si="17"/>
        <v>TinWhite Solder Metalurgia e Mineracao Ltda.</v>
      </c>
    </row>
    <row r="533" spans="1:11">
      <c r="A533" s="232" t="s">
        <v>131</v>
      </c>
      <c r="B533" s="232" t="s">
        <v>3463</v>
      </c>
      <c r="C533" s="232" t="s">
        <v>2871</v>
      </c>
      <c r="D533" s="232" t="s">
        <v>3265</v>
      </c>
      <c r="E533" s="232" t="s">
        <v>2869</v>
      </c>
      <c r="F533" s="232" t="s">
        <v>142</v>
      </c>
      <c r="G533" s="232"/>
      <c r="H533" s="232" t="s">
        <v>512</v>
      </c>
      <c r="I533" s="232" t="s">
        <v>838</v>
      </c>
      <c r="J533" s="233" t="str">
        <f t="shared" si="16"/>
        <v>TinWhite Solder Metalurgia e Mineração Ltda.</v>
      </c>
      <c r="K533" s="233" t="str">
        <f t="shared" si="17"/>
        <v>TinWhite Solder Metalurgia e Mineração Ltda.</v>
      </c>
    </row>
    <row r="534" spans="1:11">
      <c r="A534" s="232" t="s">
        <v>131</v>
      </c>
      <c r="B534" s="232" t="s">
        <v>2870</v>
      </c>
      <c r="C534" s="232" t="s">
        <v>2871</v>
      </c>
      <c r="D534" s="232" t="s">
        <v>3265</v>
      </c>
      <c r="E534" s="232" t="s">
        <v>2869</v>
      </c>
      <c r="F534" s="232" t="s">
        <v>142</v>
      </c>
      <c r="G534" s="232"/>
      <c r="H534" s="232" t="s">
        <v>512</v>
      </c>
      <c r="I534" s="232" t="s">
        <v>838</v>
      </c>
      <c r="J534" s="233" t="str">
        <f t="shared" si="16"/>
        <v>TinWhite Solder Metalurgica</v>
      </c>
      <c r="K534" s="233" t="str">
        <f t="shared" si="17"/>
        <v>TinWhite Solder Metalurgica</v>
      </c>
    </row>
    <row r="535" spans="1:11">
      <c r="A535" s="232" t="s">
        <v>131</v>
      </c>
      <c r="B535" s="232" t="s">
        <v>3464</v>
      </c>
      <c r="C535" s="232" t="s">
        <v>1982</v>
      </c>
      <c r="D535" s="232" t="s">
        <v>2818</v>
      </c>
      <c r="E535" s="232" t="s">
        <v>1981</v>
      </c>
      <c r="F535" s="232" t="s">
        <v>142</v>
      </c>
      <c r="G535" s="232"/>
      <c r="H535" s="232" t="s">
        <v>1983</v>
      </c>
      <c r="I535" s="228" t="s">
        <v>995</v>
      </c>
      <c r="J535" s="233" t="str">
        <f t="shared" si="16"/>
        <v>TinXiHai - Liuzhou China Tin Group Co ltd</v>
      </c>
      <c r="K535" s="233" t="str">
        <f t="shared" si="17"/>
        <v>TinXiHai - Liuzhou China Tin Group Co ltd</v>
      </c>
    </row>
    <row r="536" spans="1:11">
      <c r="A536" s="232" t="s">
        <v>131</v>
      </c>
      <c r="B536" s="232" t="s">
        <v>3465</v>
      </c>
      <c r="C536" s="232" t="s">
        <v>3422</v>
      </c>
      <c r="D536" s="232" t="s">
        <v>2818</v>
      </c>
      <c r="E536" s="232" t="s">
        <v>1143</v>
      </c>
      <c r="F536" s="232" t="s">
        <v>142</v>
      </c>
      <c r="G536" s="232"/>
      <c r="H536" s="232" t="s">
        <v>1147</v>
      </c>
      <c r="I536" s="228" t="s">
        <v>1148</v>
      </c>
      <c r="J536" s="233" t="str">
        <f t="shared" si="16"/>
        <v>TinYTCL</v>
      </c>
      <c r="K536" s="233" t="str">
        <f t="shared" si="17"/>
        <v>TinYTCL</v>
      </c>
    </row>
    <row r="537" spans="1:11">
      <c r="A537" s="232" t="s">
        <v>131</v>
      </c>
      <c r="B537" s="232" t="s">
        <v>3466</v>
      </c>
      <c r="C537" s="232" t="s">
        <v>3092</v>
      </c>
      <c r="D537" s="232" t="s">
        <v>2818</v>
      </c>
      <c r="E537" s="232" t="s">
        <v>3090</v>
      </c>
      <c r="F537" s="232" t="s">
        <v>142</v>
      </c>
      <c r="G537" s="232"/>
      <c r="H537" s="232" t="s">
        <v>1147</v>
      </c>
      <c r="I537" s="232" t="s">
        <v>1148</v>
      </c>
      <c r="J537" s="233" t="str">
        <f t="shared" si="16"/>
        <v>TinYunan Gejiu Yunxin Electrolyze Limited</v>
      </c>
      <c r="K537" s="233" t="str">
        <f t="shared" si="17"/>
        <v>TinYunan Gejiu Yunxin Electrolyze Limited</v>
      </c>
    </row>
    <row r="538" spans="1:11">
      <c r="A538" s="232" t="s">
        <v>131</v>
      </c>
      <c r="B538" s="232" t="s">
        <v>3467</v>
      </c>
      <c r="C538" s="232" t="s">
        <v>2795</v>
      </c>
      <c r="D538" s="232" t="s">
        <v>2818</v>
      </c>
      <c r="E538" s="232" t="s">
        <v>2793</v>
      </c>
      <c r="F538" s="232" t="s">
        <v>142</v>
      </c>
      <c r="G538" s="232"/>
      <c r="H538" s="232" t="s">
        <v>1147</v>
      </c>
      <c r="I538" s="232" t="s">
        <v>1148</v>
      </c>
      <c r="J538" s="233" t="str">
        <f t="shared" si="16"/>
        <v>TinYunnan Adventure Co., Ltd.</v>
      </c>
      <c r="K538" s="233" t="str">
        <f t="shared" si="17"/>
        <v>TinYunnan Adventure Co., Ltd.</v>
      </c>
    </row>
    <row r="539" spans="1:11">
      <c r="A539" s="232" t="s">
        <v>131</v>
      </c>
      <c r="B539" s="232" t="s">
        <v>2848</v>
      </c>
      <c r="C539" s="232" t="s">
        <v>2795</v>
      </c>
      <c r="D539" s="232" t="s">
        <v>2818</v>
      </c>
      <c r="E539" s="232" t="s">
        <v>2793</v>
      </c>
      <c r="F539" s="232" t="s">
        <v>142</v>
      </c>
      <c r="G539" s="232"/>
      <c r="H539" s="232" t="s">
        <v>1147</v>
      </c>
      <c r="I539" s="232" t="s">
        <v>1148</v>
      </c>
      <c r="J539" s="233" t="str">
        <f t="shared" si="16"/>
        <v>TinYunnan Chengfeng</v>
      </c>
      <c r="K539" s="233" t="str">
        <f t="shared" si="17"/>
        <v>TinYunnan Chengfeng</v>
      </c>
    </row>
    <row r="540" spans="1:11">
      <c r="A540" s="232" t="s">
        <v>131</v>
      </c>
      <c r="B540" s="232" t="s">
        <v>2795</v>
      </c>
      <c r="C540" s="232" t="s">
        <v>2795</v>
      </c>
      <c r="D540" s="232" t="s">
        <v>2818</v>
      </c>
      <c r="E540" s="232" t="s">
        <v>2793</v>
      </c>
      <c r="F540" s="232" t="s">
        <v>142</v>
      </c>
      <c r="G540" s="232"/>
      <c r="H540" s="232" t="s">
        <v>1147</v>
      </c>
      <c r="I540" s="232" t="s">
        <v>1148</v>
      </c>
      <c r="J540" s="233" t="str">
        <f t="shared" si="16"/>
        <v>TinYunnan Chengfeng Non-ferrous Metals Co., Ltd.</v>
      </c>
      <c r="K540" s="233" t="str">
        <f t="shared" si="17"/>
        <v>TinYunnan Chengfeng Non-ferrous Metals Co., Ltd.</v>
      </c>
    </row>
    <row r="541" spans="1:11">
      <c r="A541" s="232" t="s">
        <v>131</v>
      </c>
      <c r="B541" s="232" t="s">
        <v>3091</v>
      </c>
      <c r="C541" s="232" t="s">
        <v>3092</v>
      </c>
      <c r="D541" s="232" t="s">
        <v>2818</v>
      </c>
      <c r="E541" s="232" t="s">
        <v>3090</v>
      </c>
      <c r="F541" s="232" t="s">
        <v>142</v>
      </c>
      <c r="G541" s="232"/>
      <c r="H541" s="232" t="s">
        <v>1147</v>
      </c>
      <c r="I541" s="232" t="s">
        <v>1148</v>
      </c>
      <c r="J541" s="233" t="str">
        <f t="shared" si="16"/>
        <v>TinYunNan Gejiu Yunxin Electrolyze Limited</v>
      </c>
      <c r="K541" s="233" t="str">
        <f t="shared" si="17"/>
        <v>TinYunNan Gejiu Yunxin Electrolyze Limited</v>
      </c>
    </row>
    <row r="542" spans="1:11">
      <c r="A542" s="232" t="s">
        <v>131</v>
      </c>
      <c r="B542" s="232" t="s">
        <v>3468</v>
      </c>
      <c r="C542" s="232" t="s">
        <v>1379</v>
      </c>
      <c r="D542" s="232" t="s">
        <v>2818</v>
      </c>
      <c r="E542" s="232" t="s">
        <v>1378</v>
      </c>
      <c r="F542" s="232" t="s">
        <v>142</v>
      </c>
      <c r="G542" s="232"/>
      <c r="H542" s="232" t="s">
        <v>1147</v>
      </c>
      <c r="I542" s="232" t="s">
        <v>1148</v>
      </c>
      <c r="J542" s="233" t="str">
        <f t="shared" si="16"/>
        <v>TinYunnan Gejiu Zili Metallurgy Co. Ltd.</v>
      </c>
      <c r="K542" s="233" t="str">
        <f t="shared" si="17"/>
        <v>TinYunnan Gejiu Zili Metallurgy Co. Ltd.</v>
      </c>
    </row>
    <row r="543" spans="1:11">
      <c r="A543" s="232" t="s">
        <v>131</v>
      </c>
      <c r="B543" s="232" t="s">
        <v>2794</v>
      </c>
      <c r="C543" s="232" t="s">
        <v>2795</v>
      </c>
      <c r="D543" s="232" t="s">
        <v>2818</v>
      </c>
      <c r="E543" s="232" t="s">
        <v>2793</v>
      </c>
      <c r="F543" s="232" t="s">
        <v>142</v>
      </c>
      <c r="G543" s="232"/>
      <c r="H543" s="232" t="s">
        <v>1147</v>
      </c>
      <c r="I543" s="232" t="s">
        <v>1148</v>
      </c>
      <c r="J543" s="233" t="str">
        <f t="shared" si="16"/>
        <v>TinYunnan ride non-ferrous metal co., LTD</v>
      </c>
      <c r="K543" s="233" t="str">
        <f t="shared" si="17"/>
        <v>TinYunnan ride non-ferrous metal co., LTD</v>
      </c>
    </row>
    <row r="544" spans="1:11">
      <c r="A544" s="232" t="s">
        <v>131</v>
      </c>
      <c r="B544" s="232" t="s">
        <v>1145</v>
      </c>
      <c r="C544" s="232" t="s">
        <v>3422</v>
      </c>
      <c r="D544" s="232" t="s">
        <v>2818</v>
      </c>
      <c r="E544" s="232" t="s">
        <v>1143</v>
      </c>
      <c r="F544" s="232" t="s">
        <v>142</v>
      </c>
      <c r="G544" s="232"/>
      <c r="H544" s="232" t="s">
        <v>1147</v>
      </c>
      <c r="I544" s="232" t="s">
        <v>1148</v>
      </c>
      <c r="J544" s="233" t="str">
        <f t="shared" si="16"/>
        <v>TinYunnan Tin Company Limited</v>
      </c>
      <c r="K544" s="233" t="str">
        <f t="shared" si="17"/>
        <v>TinYunnan Tin Company Limited</v>
      </c>
    </row>
    <row r="545" spans="1:11">
      <c r="A545" s="232" t="s">
        <v>131</v>
      </c>
      <c r="B545" s="232" t="s">
        <v>3469</v>
      </c>
      <c r="C545" s="232" t="s">
        <v>3422</v>
      </c>
      <c r="D545" s="232" t="s">
        <v>2818</v>
      </c>
      <c r="E545" s="232" t="s">
        <v>1143</v>
      </c>
      <c r="F545" s="232" t="s">
        <v>142</v>
      </c>
      <c r="G545" s="232"/>
      <c r="H545" s="232" t="s">
        <v>1147</v>
      </c>
      <c r="I545" s="232" t="s">
        <v>1148</v>
      </c>
      <c r="J545" s="233" t="str">
        <f t="shared" si="16"/>
        <v>TinYunnan Tin Company, Ltd.</v>
      </c>
      <c r="K545" s="233" t="str">
        <f t="shared" si="17"/>
        <v>TinYunnan Tin Company, Ltd.</v>
      </c>
    </row>
    <row r="546" spans="1:11">
      <c r="A546" s="232" t="s">
        <v>131</v>
      </c>
      <c r="B546" s="232" t="s">
        <v>3470</v>
      </c>
      <c r="C546" s="232" t="s">
        <v>2795</v>
      </c>
      <c r="D546" s="232" t="s">
        <v>2818</v>
      </c>
      <c r="E546" s="232" t="s">
        <v>2793</v>
      </c>
      <c r="F546" s="232" t="s">
        <v>142</v>
      </c>
      <c r="G546" s="232"/>
      <c r="H546" s="232" t="s">
        <v>1147</v>
      </c>
      <c r="I546" s="232" t="s">
        <v>1148</v>
      </c>
      <c r="J546" s="233" t="str">
        <f t="shared" si="16"/>
        <v>TinYunnan wind Nonferrous Metals Co., Ltd.</v>
      </c>
      <c r="K546" s="233" t="str">
        <f t="shared" si="17"/>
        <v>TinYunnan wind Nonferrous Metals Co., Ltd.</v>
      </c>
    </row>
    <row r="547" spans="1:11">
      <c r="A547" s="232" t="s">
        <v>131</v>
      </c>
      <c r="B547" s="232" t="s">
        <v>3471</v>
      </c>
      <c r="C547" s="232" t="s">
        <v>3422</v>
      </c>
      <c r="D547" s="232" t="s">
        <v>2818</v>
      </c>
      <c r="E547" s="232" t="s">
        <v>1143</v>
      </c>
      <c r="F547" s="232" t="s">
        <v>142</v>
      </c>
      <c r="G547" s="232"/>
      <c r="H547" s="232" t="s">
        <v>1147</v>
      </c>
      <c r="I547" s="232" t="s">
        <v>1148</v>
      </c>
      <c r="J547" s="233" t="str">
        <f t="shared" si="16"/>
        <v>TinYunnan Xi YE</v>
      </c>
      <c r="K547" s="233" t="str">
        <f t="shared" si="17"/>
        <v>TinYunnan Xi YE</v>
      </c>
    </row>
    <row r="548" spans="1:11">
      <c r="A548" s="232" t="s">
        <v>131</v>
      </c>
      <c r="B548" s="232" t="s">
        <v>1157</v>
      </c>
      <c r="C548" s="232" t="s">
        <v>1157</v>
      </c>
      <c r="D548" s="232" t="s">
        <v>2818</v>
      </c>
      <c r="E548" s="232" t="s">
        <v>1156</v>
      </c>
      <c r="F548" s="232" t="s">
        <v>142</v>
      </c>
      <c r="G548" s="232"/>
      <c r="H548" s="232" t="s">
        <v>1147</v>
      </c>
      <c r="I548" s="232" t="s">
        <v>1148</v>
      </c>
      <c r="J548" s="233" t="str">
        <f t="shared" si="16"/>
        <v>TinYunnan Yunfan Non-ferrous Metals Co., Ltd.</v>
      </c>
      <c r="K548" s="233" t="str">
        <f t="shared" si="17"/>
        <v>TinYunnan Yunfan Non-ferrous Metals Co., Ltd.</v>
      </c>
    </row>
    <row r="549" spans="1:11">
      <c r="A549" s="232" t="s">
        <v>131</v>
      </c>
      <c r="B549" s="232" t="s">
        <v>1144</v>
      </c>
      <c r="C549" s="232" t="s">
        <v>3422</v>
      </c>
      <c r="D549" s="232" t="s">
        <v>2818</v>
      </c>
      <c r="E549" s="232" t="s">
        <v>1143</v>
      </c>
      <c r="F549" s="232" t="s">
        <v>142</v>
      </c>
      <c r="G549" s="232"/>
      <c r="H549" s="232" t="s">
        <v>1147</v>
      </c>
      <c r="I549" s="232" t="s">
        <v>1148</v>
      </c>
      <c r="J549" s="233" t="str">
        <f t="shared" si="16"/>
        <v>TinYuntinic Resources</v>
      </c>
      <c r="K549" s="233" t="str">
        <f t="shared" si="17"/>
        <v>TinYuntinic Resources</v>
      </c>
    </row>
    <row r="550" spans="1:11">
      <c r="A550" s="232" t="s">
        <v>131</v>
      </c>
      <c r="B550" s="232" t="s">
        <v>3472</v>
      </c>
      <c r="C550" s="232" t="s">
        <v>3092</v>
      </c>
      <c r="D550" s="232" t="s">
        <v>2818</v>
      </c>
      <c r="E550" s="232" t="s">
        <v>3090</v>
      </c>
      <c r="F550" s="232" t="s">
        <v>142</v>
      </c>
      <c r="G550" s="232"/>
      <c r="H550" s="232" t="s">
        <v>1147</v>
      </c>
      <c r="I550" s="232" t="s">
        <v>1148</v>
      </c>
      <c r="J550" s="233" t="str">
        <f t="shared" si="16"/>
        <v>TinYUNXIN colored electrolysis Company Limited</v>
      </c>
      <c r="K550" s="233" t="str">
        <f t="shared" si="17"/>
        <v>TinYUNXIN colored electrolysis Company Limited</v>
      </c>
    </row>
    <row r="551" spans="1:11">
      <c r="A551" s="232" t="s">
        <v>131</v>
      </c>
      <c r="B551" s="232" t="s">
        <v>3473</v>
      </c>
      <c r="C551" s="232" t="s">
        <v>3422</v>
      </c>
      <c r="D551" s="232" t="s">
        <v>2818</v>
      </c>
      <c r="E551" s="232" t="s">
        <v>1143</v>
      </c>
      <c r="F551" s="232" t="s">
        <v>142</v>
      </c>
      <c r="G551" s="232"/>
      <c r="H551" s="232" t="s">
        <v>1147</v>
      </c>
      <c r="I551" s="232" t="s">
        <v>1148</v>
      </c>
      <c r="J551" s="233" t="str">
        <f t="shared" si="16"/>
        <v>Tin云南锡业股份有限公司锡业分公司</v>
      </c>
      <c r="K551" s="233" t="str">
        <f t="shared" si="17"/>
        <v>Tin云南锡业股份有限公司锡业分公司</v>
      </c>
    </row>
    <row r="552" spans="1:11">
      <c r="A552" s="232" t="s">
        <v>131</v>
      </c>
      <c r="B552" s="232" t="s">
        <v>209</v>
      </c>
      <c r="C552" s="232"/>
      <c r="D552" s="232"/>
      <c r="E552" s="232"/>
      <c r="F552" s="232"/>
      <c r="G552" s="232"/>
      <c r="H552" s="232"/>
      <c r="I552" s="232"/>
      <c r="J552" s="233" t="str">
        <f t="shared" si="16"/>
        <v>TinSmelter not listed</v>
      </c>
      <c r="K552" s="233" t="str">
        <f t="shared" si="17"/>
        <v>TinSmelter not listed</v>
      </c>
    </row>
    <row r="553" spans="1:11">
      <c r="A553" s="232" t="s">
        <v>131</v>
      </c>
      <c r="B553" s="232" t="s">
        <v>137</v>
      </c>
      <c r="C553" s="232" t="s">
        <v>121</v>
      </c>
      <c r="D553" s="232" t="s">
        <v>121</v>
      </c>
      <c r="E553" s="232"/>
      <c r="F553" s="232"/>
      <c r="G553" s="232"/>
      <c r="H553" s="232"/>
      <c r="I553" s="232"/>
      <c r="J553" s="233" t="str">
        <f t="shared" si="16"/>
        <v>TinSmelter not yet identified</v>
      </c>
      <c r="K553" s="233" t="str">
        <f t="shared" si="17"/>
        <v>TinSmelter not yet identified</v>
      </c>
    </row>
    <row r="554" spans="1:11">
      <c r="A554" s="232" t="s">
        <v>132</v>
      </c>
      <c r="B554" s="232" t="s">
        <v>3474</v>
      </c>
      <c r="C554" s="232" t="s">
        <v>3474</v>
      </c>
      <c r="D554" s="232" t="s">
        <v>3257</v>
      </c>
      <c r="E554" s="232" t="s">
        <v>965</v>
      </c>
      <c r="F554" s="232" t="s">
        <v>142</v>
      </c>
      <c r="G554" s="232"/>
      <c r="H554" s="232" t="s">
        <v>967</v>
      </c>
      <c r="I554" s="232" t="s">
        <v>968</v>
      </c>
      <c r="J554" s="233" t="str">
        <f t="shared" si="16"/>
        <v>TungstenA.L.M.T. Corp.</v>
      </c>
      <c r="K554" s="233" t="str">
        <f t="shared" si="17"/>
        <v>TungstenA.L.M.T. Corp.</v>
      </c>
    </row>
    <row r="555" spans="1:11">
      <c r="A555" s="232" t="s">
        <v>132</v>
      </c>
      <c r="B555" s="232" t="s">
        <v>3475</v>
      </c>
      <c r="C555" s="232" t="s">
        <v>3474</v>
      </c>
      <c r="D555" s="232" t="s">
        <v>3257</v>
      </c>
      <c r="E555" s="232" t="s">
        <v>965</v>
      </c>
      <c r="F555" s="232" t="s">
        <v>142</v>
      </c>
      <c r="G555" s="232"/>
      <c r="H555" s="232" t="s">
        <v>967</v>
      </c>
      <c r="I555" s="232" t="s">
        <v>968</v>
      </c>
      <c r="J555" s="233" t="str">
        <f t="shared" si="16"/>
        <v>TungstenA.L.M.T. TUNGSTEN Corp.</v>
      </c>
      <c r="K555" s="233" t="str">
        <f t="shared" si="17"/>
        <v>TungstenA.L.M.T. TUNGSTEN Corp.</v>
      </c>
    </row>
    <row r="556" spans="1:11">
      <c r="A556" s="232" t="s">
        <v>132</v>
      </c>
      <c r="B556" s="232" t="s">
        <v>1177</v>
      </c>
      <c r="C556" s="232" t="s">
        <v>1177</v>
      </c>
      <c r="D556" s="232" t="s">
        <v>3265</v>
      </c>
      <c r="E556" s="232" t="s">
        <v>1176</v>
      </c>
      <c r="F556" s="232" t="s">
        <v>142</v>
      </c>
      <c r="G556" s="232"/>
      <c r="H556" s="232" t="s">
        <v>1178</v>
      </c>
      <c r="I556" s="232" t="s">
        <v>594</v>
      </c>
      <c r="J556" s="233" t="str">
        <f t="shared" si="16"/>
        <v>TungstenACL Metais Eireli</v>
      </c>
      <c r="K556" s="233" t="str">
        <f t="shared" si="17"/>
        <v>TungstenACL Metais Eireli</v>
      </c>
    </row>
    <row r="557" spans="1:11">
      <c r="A557" s="232" t="s">
        <v>132</v>
      </c>
      <c r="B557" s="232" t="s">
        <v>949</v>
      </c>
      <c r="C557" s="232" t="s">
        <v>949</v>
      </c>
      <c r="D557" s="232" t="s">
        <v>3265</v>
      </c>
      <c r="E557" s="232" t="s">
        <v>948</v>
      </c>
      <c r="F557" s="232" t="s">
        <v>142</v>
      </c>
      <c r="G557" s="232"/>
      <c r="H557" s="232" t="s">
        <v>593</v>
      </c>
      <c r="I557" s="232" t="s">
        <v>594</v>
      </c>
      <c r="J557" s="233" t="str">
        <f t="shared" si="16"/>
        <v>TungstenAlbasteel Industria e Comercio de Ligas Para Fundicao Ltd.</v>
      </c>
      <c r="K557" s="233" t="str">
        <f t="shared" si="17"/>
        <v>TungstenAlbasteel Industria e Comercio de Ligas Para Fundicao Ltd.</v>
      </c>
    </row>
    <row r="558" spans="1:11">
      <c r="A558" s="232" t="s">
        <v>132</v>
      </c>
      <c r="B558" s="232" t="s">
        <v>3476</v>
      </c>
      <c r="C558" s="232" t="s">
        <v>3474</v>
      </c>
      <c r="D558" s="232" t="s">
        <v>3257</v>
      </c>
      <c r="E558" s="232" t="s">
        <v>965</v>
      </c>
      <c r="F558" s="232" t="s">
        <v>142</v>
      </c>
      <c r="G558" s="232"/>
      <c r="H558" s="232" t="s">
        <v>967</v>
      </c>
      <c r="I558" s="232" t="s">
        <v>968</v>
      </c>
      <c r="J558" s="233" t="str">
        <f t="shared" si="16"/>
        <v>TungstenAllied Material Corporation</v>
      </c>
      <c r="K558" s="233" t="str">
        <f t="shared" si="17"/>
        <v>TungstenAllied Material Corporation</v>
      </c>
    </row>
    <row r="559" spans="1:11">
      <c r="A559" s="232" t="s">
        <v>132</v>
      </c>
      <c r="B559" s="232" t="s">
        <v>3477</v>
      </c>
      <c r="C559" s="232" t="s">
        <v>3474</v>
      </c>
      <c r="D559" s="232" t="s">
        <v>3257</v>
      </c>
      <c r="E559" s="232" t="s">
        <v>965</v>
      </c>
      <c r="F559" s="232" t="s">
        <v>142</v>
      </c>
      <c r="G559" s="232"/>
      <c r="H559" s="232" t="s">
        <v>967</v>
      </c>
      <c r="I559" s="232" t="s">
        <v>968</v>
      </c>
      <c r="J559" s="233" t="str">
        <f t="shared" si="16"/>
        <v>TungstenALMT Corp</v>
      </c>
      <c r="K559" s="233" t="str">
        <f t="shared" si="17"/>
        <v>TungstenALMT Corp</v>
      </c>
    </row>
    <row r="560" spans="1:11">
      <c r="A560" s="232" t="s">
        <v>132</v>
      </c>
      <c r="B560" s="232" t="s">
        <v>966</v>
      </c>
      <c r="C560" s="232" t="s">
        <v>3474</v>
      </c>
      <c r="D560" s="232" t="s">
        <v>3257</v>
      </c>
      <c r="E560" s="232" t="s">
        <v>965</v>
      </c>
      <c r="F560" s="232" t="s">
        <v>142</v>
      </c>
      <c r="G560" s="232"/>
      <c r="H560" s="232" t="s">
        <v>967</v>
      </c>
      <c r="I560" s="232" t="s">
        <v>968</v>
      </c>
      <c r="J560" s="233" t="str">
        <f t="shared" si="16"/>
        <v>TungstenALMT Sumitomo Group</v>
      </c>
      <c r="K560" s="233" t="str">
        <f t="shared" si="17"/>
        <v>TungstenALMT Sumitomo Group</v>
      </c>
    </row>
    <row r="561" spans="1:11">
      <c r="A561" s="232" t="s">
        <v>132</v>
      </c>
      <c r="B561" s="232" t="s">
        <v>951</v>
      </c>
      <c r="C561" s="232" t="s">
        <v>951</v>
      </c>
      <c r="D561" s="232" t="s">
        <v>3296</v>
      </c>
      <c r="E561" s="232" t="s">
        <v>950</v>
      </c>
      <c r="F561" s="232" t="s">
        <v>142</v>
      </c>
      <c r="G561" s="232"/>
      <c r="H561" s="232" t="s">
        <v>952</v>
      </c>
      <c r="I561" s="232" t="s">
        <v>953</v>
      </c>
      <c r="J561" s="233" t="str">
        <f t="shared" si="16"/>
        <v>TungstenArtek LLC</v>
      </c>
      <c r="K561" s="233" t="str">
        <f t="shared" si="17"/>
        <v>TungstenArtek LLC</v>
      </c>
    </row>
    <row r="562" spans="1:11">
      <c r="A562" s="232" t="s">
        <v>132</v>
      </c>
      <c r="B562" s="232" t="s">
        <v>1652</v>
      </c>
      <c r="C562" s="232" t="s">
        <v>1652</v>
      </c>
      <c r="D562" s="232" t="s">
        <v>3416</v>
      </c>
      <c r="E562" s="232" t="s">
        <v>1651</v>
      </c>
      <c r="F562" s="232" t="s">
        <v>142</v>
      </c>
      <c r="G562" s="232"/>
      <c r="H562" s="232" t="s">
        <v>1654</v>
      </c>
      <c r="I562" s="232" t="s">
        <v>1655</v>
      </c>
      <c r="J562" s="233" t="str">
        <f t="shared" si="16"/>
        <v>TungstenAsia Tungsten Products Vietnam Ltd.</v>
      </c>
      <c r="K562" s="233" t="str">
        <f t="shared" si="17"/>
        <v>TungstenAsia Tungsten Products Vietnam Ltd.</v>
      </c>
    </row>
    <row r="563" spans="1:11">
      <c r="A563" s="232" t="s">
        <v>132</v>
      </c>
      <c r="B563" s="232" t="s">
        <v>3478</v>
      </c>
      <c r="C563" s="232" t="s">
        <v>1260</v>
      </c>
      <c r="D563" s="232" t="s">
        <v>3251</v>
      </c>
      <c r="E563" s="232" t="s">
        <v>1259</v>
      </c>
      <c r="F563" s="232" t="s">
        <v>142</v>
      </c>
      <c r="G563" s="232"/>
      <c r="H563" s="232" t="s">
        <v>1262</v>
      </c>
      <c r="I563" s="232" t="s">
        <v>1263</v>
      </c>
      <c r="J563" s="233" t="str">
        <f t="shared" si="16"/>
        <v>TungstenATI Metalworking Products</v>
      </c>
      <c r="K563" s="233" t="str">
        <f t="shared" si="17"/>
        <v>TungstenATI Metalworking Products</v>
      </c>
    </row>
    <row r="564" spans="1:11">
      <c r="A564" s="232" t="s">
        <v>132</v>
      </c>
      <c r="B564" s="232" t="s">
        <v>1662</v>
      </c>
      <c r="C564" s="232" t="s">
        <v>1260</v>
      </c>
      <c r="D564" s="232" t="s">
        <v>3251</v>
      </c>
      <c r="E564" s="232" t="s">
        <v>1259</v>
      </c>
      <c r="F564" s="232" t="s">
        <v>142</v>
      </c>
      <c r="G564" s="232"/>
      <c r="H564" s="232" t="s">
        <v>1262</v>
      </c>
      <c r="I564" s="232" t="s">
        <v>1263</v>
      </c>
      <c r="J564" s="233" t="str">
        <f t="shared" si="16"/>
        <v>TungstenATI Tungsten Materials</v>
      </c>
      <c r="K564" s="233" t="str">
        <f t="shared" si="17"/>
        <v>TungstenATI Tungsten Materials</v>
      </c>
    </row>
    <row r="565" spans="1:11">
      <c r="A565" s="232" t="s">
        <v>132</v>
      </c>
      <c r="B565" s="232" t="s">
        <v>3479</v>
      </c>
      <c r="C565" s="232" t="s">
        <v>1701</v>
      </c>
      <c r="D565" s="232" t="s">
        <v>2818</v>
      </c>
      <c r="E565" s="232" t="s">
        <v>1700</v>
      </c>
      <c r="F565" s="232" t="s">
        <v>142</v>
      </c>
      <c r="G565" s="232"/>
      <c r="H565" s="232" t="s">
        <v>381</v>
      </c>
      <c r="I565" s="232" t="s">
        <v>382</v>
      </c>
      <c r="J565" s="233" t="str">
        <f t="shared" si="16"/>
        <v>TungstenChaozhou Xianglu Tungsten Industry Co., Ltd.</v>
      </c>
      <c r="K565" s="233" t="str">
        <f t="shared" si="17"/>
        <v>TungstenChaozhou Xianglu Tungsten Industry Co., Ltd.</v>
      </c>
    </row>
    <row r="566" spans="1:11">
      <c r="A566" s="232" t="s">
        <v>132</v>
      </c>
      <c r="B566" s="232" t="s">
        <v>2891</v>
      </c>
      <c r="C566" s="232" t="s">
        <v>2891</v>
      </c>
      <c r="D566" s="232" t="s">
        <v>2818</v>
      </c>
      <c r="E566" s="232" t="s">
        <v>2889</v>
      </c>
      <c r="F566" s="232" t="s">
        <v>142</v>
      </c>
      <c r="G566" s="232"/>
      <c r="H566" s="232" t="s">
        <v>1921</v>
      </c>
      <c r="I566" s="232" t="s">
        <v>709</v>
      </c>
      <c r="J566" s="233" t="str">
        <f t="shared" si="16"/>
        <v>TungstenChenzhou Diamond Tungsten Products Co., Ltd.</v>
      </c>
      <c r="K566" s="233" t="str">
        <f t="shared" si="17"/>
        <v>TungstenChenzhou Diamond Tungsten Products Co., Ltd.</v>
      </c>
    </row>
    <row r="567" spans="1:11">
      <c r="A567" s="232" t="s">
        <v>132</v>
      </c>
      <c r="B567" s="232" t="s">
        <v>974</v>
      </c>
      <c r="C567" s="232" t="s">
        <v>973</v>
      </c>
      <c r="D567" s="232" t="s">
        <v>2818</v>
      </c>
      <c r="E567" s="232" t="s">
        <v>972</v>
      </c>
      <c r="F567" s="232" t="s">
        <v>142</v>
      </c>
      <c r="G567" s="232"/>
      <c r="H567" s="232" t="s">
        <v>553</v>
      </c>
      <c r="I567" s="232" t="s">
        <v>554</v>
      </c>
      <c r="J567" s="233" t="str">
        <f t="shared" si="16"/>
        <v>TungstenChina Molybdenum Co., Ltd.</v>
      </c>
      <c r="K567" s="233" t="str">
        <f t="shared" si="17"/>
        <v>TungstenChina Molybdenum Co., Ltd.</v>
      </c>
    </row>
    <row r="568" spans="1:11">
      <c r="A568" s="232" t="s">
        <v>132</v>
      </c>
      <c r="B568" s="232" t="s">
        <v>973</v>
      </c>
      <c r="C568" s="232" t="s">
        <v>973</v>
      </c>
      <c r="D568" s="232" t="s">
        <v>2818</v>
      </c>
      <c r="E568" s="232" t="s">
        <v>972</v>
      </c>
      <c r="F568" s="232" t="s">
        <v>142</v>
      </c>
      <c r="G568" s="232"/>
      <c r="H568" s="232" t="s">
        <v>553</v>
      </c>
      <c r="I568" s="232" t="s">
        <v>554</v>
      </c>
      <c r="J568" s="233" t="str">
        <f t="shared" si="16"/>
        <v>TungstenChina Molybdenum Tungsten Co., Ltd.</v>
      </c>
      <c r="K568" s="233" t="str">
        <f t="shared" si="17"/>
        <v>TungstenChina Molybdenum Tungsten Co., Ltd.</v>
      </c>
    </row>
    <row r="569" spans="1:11">
      <c r="A569" s="232" t="s">
        <v>132</v>
      </c>
      <c r="B569" s="232" t="s">
        <v>3480</v>
      </c>
      <c r="C569" s="232" t="s">
        <v>973</v>
      </c>
      <c r="D569" s="232" t="s">
        <v>2818</v>
      </c>
      <c r="E569" s="232" t="s">
        <v>972</v>
      </c>
      <c r="F569" s="232" t="s">
        <v>142</v>
      </c>
      <c r="G569" s="232"/>
      <c r="H569" s="232" t="s">
        <v>553</v>
      </c>
      <c r="I569" s="232" t="s">
        <v>554</v>
      </c>
      <c r="J569" s="233" t="str">
        <f t="shared" si="16"/>
        <v>TungstenChina MuYe Tungsten Co,. Ltd.</v>
      </c>
      <c r="K569" s="233" t="str">
        <f t="shared" si="17"/>
        <v>TungstenChina MuYe Tungsten Co,. Ltd.</v>
      </c>
    </row>
    <row r="570" spans="1:11">
      <c r="A570" s="232" t="s">
        <v>132</v>
      </c>
      <c r="B570" s="232" t="s">
        <v>984</v>
      </c>
      <c r="C570" s="232" t="s">
        <v>984</v>
      </c>
      <c r="D570" s="232" t="s">
        <v>2818</v>
      </c>
      <c r="E570" s="232" t="s">
        <v>982</v>
      </c>
      <c r="F570" s="232" t="s">
        <v>142</v>
      </c>
      <c r="G570" s="232"/>
      <c r="H570" s="232" t="s">
        <v>985</v>
      </c>
      <c r="I570" s="232" t="s">
        <v>771</v>
      </c>
      <c r="J570" s="233" t="str">
        <f t="shared" si="16"/>
        <v>TungstenChongyi Zhangyuan Tungsten Co., Ltd.</v>
      </c>
      <c r="K570" s="233" t="str">
        <f t="shared" si="17"/>
        <v>TungstenChongyi Zhangyuan Tungsten Co., Ltd.</v>
      </c>
    </row>
    <row r="571" spans="1:11">
      <c r="A571" s="232" t="s">
        <v>132</v>
      </c>
      <c r="B571" s="232" t="s">
        <v>993</v>
      </c>
      <c r="C571" s="232" t="s">
        <v>993</v>
      </c>
      <c r="D571" s="232" t="s">
        <v>2818</v>
      </c>
      <c r="E571" s="232" t="s">
        <v>992</v>
      </c>
      <c r="F571" s="232" t="s">
        <v>142</v>
      </c>
      <c r="G571" s="232"/>
      <c r="H571" s="232" t="s">
        <v>994</v>
      </c>
      <c r="I571" s="232" t="s">
        <v>995</v>
      </c>
      <c r="J571" s="233" t="str">
        <f t="shared" si="16"/>
        <v>TungstenCNMC (Guangxi) PGMA Co., Ltd.</v>
      </c>
      <c r="K571" s="233" t="str">
        <f t="shared" si="17"/>
        <v>TungstenCNMC (Guangxi) PGMA Co., Ltd.</v>
      </c>
    </row>
    <row r="572" spans="1:11">
      <c r="A572" s="232" t="s">
        <v>132</v>
      </c>
      <c r="B572" s="232" t="s">
        <v>1428</v>
      </c>
      <c r="C572" s="232" t="s">
        <v>1428</v>
      </c>
      <c r="D572" s="232" t="s">
        <v>3265</v>
      </c>
      <c r="E572" s="232" t="s">
        <v>1427</v>
      </c>
      <c r="F572" s="232" t="s">
        <v>142</v>
      </c>
      <c r="G572" s="232"/>
      <c r="H572" s="232" t="s">
        <v>1430</v>
      </c>
      <c r="I572" s="232" t="s">
        <v>1431</v>
      </c>
      <c r="J572" s="233" t="str">
        <f t="shared" si="16"/>
        <v>TungstenCronimet Brasil Ltda</v>
      </c>
      <c r="K572" s="233" t="str">
        <f t="shared" si="17"/>
        <v>TungstenCronimet Brasil Ltda</v>
      </c>
    </row>
    <row r="573" spans="1:11">
      <c r="A573" s="232" t="s">
        <v>132</v>
      </c>
      <c r="B573" s="232" t="s">
        <v>1447</v>
      </c>
      <c r="C573" s="232" t="s">
        <v>1447</v>
      </c>
      <c r="D573" s="232" t="s">
        <v>2818</v>
      </c>
      <c r="E573" s="232" t="s">
        <v>1446</v>
      </c>
      <c r="F573" s="232" t="s">
        <v>142</v>
      </c>
      <c r="G573" s="232"/>
      <c r="H573" s="232" t="s">
        <v>957</v>
      </c>
      <c r="I573" s="232" t="s">
        <v>958</v>
      </c>
      <c r="J573" s="233" t="str">
        <f t="shared" si="16"/>
        <v>TungstenFujian Ganmin RareMetal Co., Ltd.</v>
      </c>
      <c r="K573" s="233" t="str">
        <f t="shared" si="17"/>
        <v>TungstenFujian Ganmin RareMetal Co., Ltd.</v>
      </c>
    </row>
    <row r="574" spans="1:11">
      <c r="A574" s="232" t="s">
        <v>132</v>
      </c>
      <c r="B574" s="232" t="s">
        <v>956</v>
      </c>
      <c r="C574" s="232" t="s">
        <v>956</v>
      </c>
      <c r="D574" s="232" t="s">
        <v>2818</v>
      </c>
      <c r="E574" s="232" t="s">
        <v>954</v>
      </c>
      <c r="F574" s="232" t="s">
        <v>142</v>
      </c>
      <c r="G574" s="232"/>
      <c r="H574" s="232" t="s">
        <v>957</v>
      </c>
      <c r="I574" s="232" t="s">
        <v>958</v>
      </c>
      <c r="J574" s="233" t="str">
        <f t="shared" si="16"/>
        <v>TungstenFujian Xinlu Tungsten</v>
      </c>
      <c r="K574" s="233" t="str">
        <f t="shared" si="17"/>
        <v>TungstenFujian Xinlu Tungsten</v>
      </c>
    </row>
    <row r="575" spans="1:11">
      <c r="A575" s="232" t="s">
        <v>132</v>
      </c>
      <c r="B575" s="232" t="s">
        <v>1670</v>
      </c>
      <c r="C575" s="232" t="s">
        <v>1670</v>
      </c>
      <c r="D575" s="232" t="s">
        <v>2818</v>
      </c>
      <c r="E575" s="232" t="s">
        <v>1669</v>
      </c>
      <c r="F575" s="232" t="s">
        <v>142</v>
      </c>
      <c r="G575" s="232"/>
      <c r="H575" s="232" t="s">
        <v>985</v>
      </c>
      <c r="I575" s="232" t="s">
        <v>771</v>
      </c>
      <c r="J575" s="233" t="str">
        <f t="shared" si="16"/>
        <v>TungstenGanzhou Haichuang Tungsten Co., Ltd.</v>
      </c>
      <c r="K575" s="233" t="str">
        <f t="shared" si="17"/>
        <v>TungstenGanzhou Haichuang Tungsten Co., Ltd.</v>
      </c>
    </row>
    <row r="576" spans="1:11">
      <c r="A576" s="232" t="s">
        <v>132</v>
      </c>
      <c r="B576" s="232" t="s">
        <v>2806</v>
      </c>
      <c r="C576" s="232" t="s">
        <v>2806</v>
      </c>
      <c r="D576" s="232" t="s">
        <v>2818</v>
      </c>
      <c r="E576" s="232" t="s">
        <v>2804</v>
      </c>
      <c r="F576" s="232" t="s">
        <v>142</v>
      </c>
      <c r="G576" s="232"/>
      <c r="H576" s="232" t="s">
        <v>985</v>
      </c>
      <c r="I576" s="232" t="s">
        <v>771</v>
      </c>
      <c r="J576" s="233" t="str">
        <f t="shared" si="16"/>
        <v>TungstenGanzhou Huaxing Tungsten Products Co., Ltd.</v>
      </c>
      <c r="K576" s="233" t="str">
        <f t="shared" si="17"/>
        <v>TungstenGanzhou Huaxing Tungsten Products Co., Ltd.</v>
      </c>
    </row>
    <row r="577" spans="1:11">
      <c r="A577" s="232" t="s">
        <v>132</v>
      </c>
      <c r="B577" s="232" t="s">
        <v>986</v>
      </c>
      <c r="C577" s="232" t="s">
        <v>986</v>
      </c>
      <c r="D577" s="232" t="s">
        <v>2818</v>
      </c>
      <c r="E577" s="232" t="s">
        <v>1692</v>
      </c>
      <c r="F577" s="232" t="s">
        <v>142</v>
      </c>
      <c r="G577" s="232"/>
      <c r="H577" s="232" t="s">
        <v>985</v>
      </c>
      <c r="I577" s="232" t="s">
        <v>771</v>
      </c>
      <c r="J577" s="233" t="str">
        <f t="shared" si="16"/>
        <v>TungstenGanzhou Jiangwu Ferrotungsten Co., Ltd.</v>
      </c>
      <c r="K577" s="233" t="str">
        <f t="shared" si="17"/>
        <v>TungstenGanzhou Jiangwu Ferrotungsten Co., Ltd.</v>
      </c>
    </row>
    <row r="578" spans="1:11">
      <c r="A578" s="232" t="s">
        <v>132</v>
      </c>
      <c r="B578" s="232" t="s">
        <v>1889</v>
      </c>
      <c r="C578" s="232" t="s">
        <v>1889</v>
      </c>
      <c r="D578" s="232" t="s">
        <v>2818</v>
      </c>
      <c r="E578" s="232" t="s">
        <v>1888</v>
      </c>
      <c r="F578" s="232" t="s">
        <v>142</v>
      </c>
      <c r="G578" s="232"/>
      <c r="H578" s="232" t="s">
        <v>985</v>
      </c>
      <c r="I578" s="232" t="s">
        <v>771</v>
      </c>
      <c r="J578" s="233" t="str">
        <f t="shared" si="16"/>
        <v>TungstenGanzhou Seadragon W &amp; Mo Co., Ltd.</v>
      </c>
      <c r="K578" s="233" t="str">
        <f t="shared" si="17"/>
        <v>TungstenGanzhou Seadragon W &amp; Mo Co., Ltd.</v>
      </c>
    </row>
    <row r="579" spans="1:11">
      <c r="A579" s="232" t="s">
        <v>132</v>
      </c>
      <c r="B579" s="232" t="s">
        <v>1681</v>
      </c>
      <c r="C579" s="232" t="s">
        <v>3481</v>
      </c>
      <c r="D579" s="232" t="s">
        <v>2818</v>
      </c>
      <c r="E579" s="232" t="s">
        <v>1680</v>
      </c>
      <c r="F579" s="232" t="s">
        <v>142</v>
      </c>
      <c r="G579" s="232"/>
      <c r="H579" s="232" t="s">
        <v>1682</v>
      </c>
      <c r="I579" s="232" t="s">
        <v>382</v>
      </c>
      <c r="J579" s="233" t="str">
        <f t="shared" si="16"/>
        <v>TungstenGEM Co., Ltd.</v>
      </c>
      <c r="K579" s="233" t="str">
        <f t="shared" si="17"/>
        <v>TungstenGEM Co., Ltd.</v>
      </c>
    </row>
    <row r="580" spans="1:11">
      <c r="A580" s="232" t="s">
        <v>132</v>
      </c>
      <c r="B580" s="232" t="s">
        <v>2809</v>
      </c>
      <c r="C580" s="232" t="s">
        <v>2809</v>
      </c>
      <c r="D580" s="232" t="s">
        <v>3251</v>
      </c>
      <c r="E580" s="232" t="s">
        <v>2807</v>
      </c>
      <c r="F580" s="232" t="s">
        <v>142</v>
      </c>
      <c r="G580" s="232"/>
      <c r="H580" s="232" t="s">
        <v>1684</v>
      </c>
      <c r="I580" s="232" t="s">
        <v>480</v>
      </c>
      <c r="J580" s="233" t="str">
        <f t="shared" si="16"/>
        <v>TungstenGlobal Tungsten &amp; Powders Corp.</v>
      </c>
      <c r="K580" s="233" t="str">
        <f t="shared" si="17"/>
        <v>TungstenGlobal Tungsten &amp; Powders Corp.</v>
      </c>
    </row>
    <row r="581" spans="1:11">
      <c r="A581" s="232" t="s">
        <v>132</v>
      </c>
      <c r="B581" s="232" t="s">
        <v>2808</v>
      </c>
      <c r="C581" s="232" t="s">
        <v>2809</v>
      </c>
      <c r="D581" s="232" t="s">
        <v>3251</v>
      </c>
      <c r="E581" s="232" t="s">
        <v>2807</v>
      </c>
      <c r="F581" s="232" t="s">
        <v>142</v>
      </c>
      <c r="G581" s="232"/>
      <c r="H581" s="232" t="s">
        <v>1684</v>
      </c>
      <c r="I581" s="232" t="s">
        <v>480</v>
      </c>
      <c r="J581" s="233" t="str">
        <f t="shared" ref="J581:J632" si="18">A581&amp;B581</f>
        <v>TungstenGTP</v>
      </c>
      <c r="K581" s="233" t="str">
        <f t="shared" ref="K581:K632" si="19">A581&amp;B581</f>
        <v>TungstenGTP</v>
      </c>
    </row>
    <row r="582" spans="1:11">
      <c r="A582" s="232" t="s">
        <v>132</v>
      </c>
      <c r="B582" s="232" t="s">
        <v>1701</v>
      </c>
      <c r="C582" s="232" t="s">
        <v>1701</v>
      </c>
      <c r="D582" s="232" t="s">
        <v>2818</v>
      </c>
      <c r="E582" s="232" t="s">
        <v>1700</v>
      </c>
      <c r="F582" s="232" t="s">
        <v>142</v>
      </c>
      <c r="G582" s="232"/>
      <c r="H582" s="232" t="s">
        <v>381</v>
      </c>
      <c r="I582" s="232" t="s">
        <v>382</v>
      </c>
      <c r="J582" s="233" t="str">
        <f t="shared" si="18"/>
        <v>TungstenGuangdong Xianglu Tungsten Co., Ltd.</v>
      </c>
      <c r="K582" s="233" t="str">
        <f t="shared" si="19"/>
        <v>TungstenGuangdong Xianglu Tungsten Co., Ltd.</v>
      </c>
    </row>
    <row r="583" spans="1:11">
      <c r="A583" s="232" t="s">
        <v>132</v>
      </c>
      <c r="B583" s="232" t="s">
        <v>1218</v>
      </c>
      <c r="C583" s="232" t="s">
        <v>1217</v>
      </c>
      <c r="D583" s="232" t="s">
        <v>3254</v>
      </c>
      <c r="E583" s="232" t="s">
        <v>1702</v>
      </c>
      <c r="F583" s="232" t="s">
        <v>142</v>
      </c>
      <c r="G583" s="232"/>
      <c r="H583" s="232" t="s">
        <v>1220</v>
      </c>
      <c r="I583" s="232" t="s">
        <v>182</v>
      </c>
      <c r="J583" s="233" t="str">
        <f t="shared" si="18"/>
        <v>TungstenH.C. Starck Smelting GmbH &amp; Co. KG</v>
      </c>
      <c r="K583" s="233" t="str">
        <f t="shared" si="19"/>
        <v>TungstenH.C. Starck Smelting GmbH &amp; Co. KG</v>
      </c>
    </row>
    <row r="584" spans="1:11">
      <c r="A584" s="232" t="s">
        <v>132</v>
      </c>
      <c r="B584" s="232" t="s">
        <v>1898</v>
      </c>
      <c r="C584" s="232" t="s">
        <v>1898</v>
      </c>
      <c r="D584" s="232" t="s">
        <v>3254</v>
      </c>
      <c r="E584" s="232" t="s">
        <v>1897</v>
      </c>
      <c r="F584" s="232" t="s">
        <v>142</v>
      </c>
      <c r="G584" s="232"/>
      <c r="H584" s="232" t="s">
        <v>1131</v>
      </c>
      <c r="I584" s="232" t="s">
        <v>1051</v>
      </c>
      <c r="J584" s="233" t="str">
        <f t="shared" si="18"/>
        <v>TungstenH.C. Starck Tungsten GmbH</v>
      </c>
      <c r="K584" s="233" t="str">
        <f t="shared" si="19"/>
        <v>TungstenH.C. Starck Tungsten GmbH</v>
      </c>
    </row>
    <row r="585" spans="1:11">
      <c r="A585" s="232" t="s">
        <v>132</v>
      </c>
      <c r="B585" s="232" t="s">
        <v>3482</v>
      </c>
      <c r="C585" s="232" t="s">
        <v>986</v>
      </c>
      <c r="D585" s="232" t="s">
        <v>2818</v>
      </c>
      <c r="E585" s="232" t="s">
        <v>1692</v>
      </c>
      <c r="F585" s="232" t="s">
        <v>142</v>
      </c>
      <c r="G585" s="232"/>
      <c r="H585" s="232" t="s">
        <v>985</v>
      </c>
      <c r="I585" s="232" t="s">
        <v>771</v>
      </c>
      <c r="J585" s="233" t="str">
        <f t="shared" si="18"/>
        <v>TungstenHan River Pelican State Alloy Co., Ltd.</v>
      </c>
      <c r="K585" s="233" t="str">
        <f t="shared" si="19"/>
        <v>TungstenHan River Pelican State Alloy Co., Ltd.</v>
      </c>
    </row>
    <row r="586" spans="1:11">
      <c r="A586" s="232" t="s">
        <v>132</v>
      </c>
      <c r="B586" s="232" t="s">
        <v>1906</v>
      </c>
      <c r="C586" s="232" t="s">
        <v>1906</v>
      </c>
      <c r="D586" s="232" t="s">
        <v>3290</v>
      </c>
      <c r="E586" s="232" t="s">
        <v>1905</v>
      </c>
      <c r="F586" s="232" t="s">
        <v>142</v>
      </c>
      <c r="G586" s="232"/>
      <c r="H586" s="232" t="s">
        <v>1907</v>
      </c>
      <c r="I586" s="232" t="s">
        <v>899</v>
      </c>
      <c r="J586" s="233" t="str">
        <f t="shared" si="18"/>
        <v>TungstenHANNAE FOR T Co., Ltd.</v>
      </c>
      <c r="K586" s="233" t="str">
        <f t="shared" si="19"/>
        <v>TungstenHANNAE FOR T Co., Ltd.</v>
      </c>
    </row>
    <row r="587" spans="1:11">
      <c r="A587" s="232" t="s">
        <v>132</v>
      </c>
      <c r="B587" s="232" t="s">
        <v>3483</v>
      </c>
      <c r="C587" s="232" t="s">
        <v>1242</v>
      </c>
      <c r="D587" s="232" t="s">
        <v>2818</v>
      </c>
      <c r="E587" s="232" t="s">
        <v>1240</v>
      </c>
      <c r="F587" s="232" t="s">
        <v>142</v>
      </c>
      <c r="G587" s="232"/>
      <c r="H587" s="232" t="s">
        <v>1244</v>
      </c>
      <c r="I587" s="232" t="s">
        <v>709</v>
      </c>
      <c r="J587" s="233" t="str">
        <f t="shared" si="18"/>
        <v>TungstenHuman Chun-Chang non-ferrous Smelting &amp; Concentrating Co., Ltd.</v>
      </c>
      <c r="K587" s="233" t="str">
        <f t="shared" si="19"/>
        <v>TungstenHuman Chun-Chang non-ferrous Smelting &amp; Concentrating Co., Ltd.</v>
      </c>
    </row>
    <row r="588" spans="1:11">
      <c r="A588" s="232" t="s">
        <v>132</v>
      </c>
      <c r="B588" s="232" t="s">
        <v>1912</v>
      </c>
      <c r="C588" s="232" t="s">
        <v>1912</v>
      </c>
      <c r="D588" s="232" t="s">
        <v>2818</v>
      </c>
      <c r="E588" s="232" t="s">
        <v>2899</v>
      </c>
      <c r="F588" s="232" t="s">
        <v>142</v>
      </c>
      <c r="G588" s="232"/>
      <c r="H588" s="232" t="s">
        <v>1913</v>
      </c>
      <c r="I588" s="232" t="s">
        <v>709</v>
      </c>
      <c r="J588" s="233" t="str">
        <f t="shared" si="18"/>
        <v>TungstenHunan Chenzhou Mining Co., Ltd.</v>
      </c>
      <c r="K588" s="233" t="str">
        <f t="shared" si="19"/>
        <v>TungstenHunan Chenzhou Mining Co., Ltd.</v>
      </c>
    </row>
    <row r="589" spans="1:11">
      <c r="A589" s="232" t="s">
        <v>132</v>
      </c>
      <c r="B589" s="232" t="s">
        <v>2900</v>
      </c>
      <c r="C589" s="232" t="s">
        <v>1912</v>
      </c>
      <c r="D589" s="232" t="s">
        <v>2818</v>
      </c>
      <c r="E589" s="232" t="s">
        <v>2899</v>
      </c>
      <c r="F589" s="232" t="s">
        <v>142</v>
      </c>
      <c r="G589" s="232"/>
      <c r="H589" s="232" t="s">
        <v>1913</v>
      </c>
      <c r="I589" s="232" t="s">
        <v>709</v>
      </c>
      <c r="J589" s="233" t="str">
        <f t="shared" si="18"/>
        <v>TungstenHunan Chenzhou Mining Group Co., Ltd.</v>
      </c>
      <c r="K589" s="233" t="str">
        <f t="shared" si="19"/>
        <v>TungstenHunan Chenzhou Mining Group Co., Ltd.</v>
      </c>
    </row>
    <row r="590" spans="1:11">
      <c r="A590" s="232" t="s">
        <v>132</v>
      </c>
      <c r="B590" s="232" t="s">
        <v>1242</v>
      </c>
      <c r="C590" s="232" t="s">
        <v>1242</v>
      </c>
      <c r="D590" s="232" t="s">
        <v>2818</v>
      </c>
      <c r="E590" s="232" t="s">
        <v>1240</v>
      </c>
      <c r="F590" s="232" t="s">
        <v>142</v>
      </c>
      <c r="G590" s="232"/>
      <c r="H590" s="232" t="s">
        <v>1244</v>
      </c>
      <c r="I590" s="232" t="s">
        <v>709</v>
      </c>
      <c r="J590" s="233" t="str">
        <f t="shared" si="18"/>
        <v>TungstenHunan Chunchang Nonferrous Metals Co., Ltd.</v>
      </c>
      <c r="K590" s="233" t="str">
        <f t="shared" si="19"/>
        <v>TungstenHunan Chunchang Nonferrous Metals Co., Ltd.</v>
      </c>
    </row>
    <row r="591" spans="1:11">
      <c r="A591" s="232" t="s">
        <v>132</v>
      </c>
      <c r="B591" s="232" t="s">
        <v>1704</v>
      </c>
      <c r="C591" s="232" t="s">
        <v>1704</v>
      </c>
      <c r="D591" s="232" t="s">
        <v>3296</v>
      </c>
      <c r="E591" s="232" t="s">
        <v>1703</v>
      </c>
      <c r="F591" s="232" t="s">
        <v>142</v>
      </c>
      <c r="G591" s="232"/>
      <c r="H591" s="232" t="s">
        <v>1706</v>
      </c>
      <c r="I591" s="232" t="s">
        <v>1707</v>
      </c>
      <c r="J591" s="233" t="str">
        <f t="shared" si="18"/>
        <v>TungstenHydrometallurg, JSC</v>
      </c>
      <c r="K591" s="233" t="str">
        <f t="shared" si="19"/>
        <v>TungstenHydrometallurg, JSC</v>
      </c>
    </row>
    <row r="592" spans="1:11">
      <c r="A592" s="232" t="s">
        <v>132</v>
      </c>
      <c r="B592" s="232" t="s">
        <v>1398</v>
      </c>
      <c r="C592" s="232" t="s">
        <v>1398</v>
      </c>
      <c r="D592" s="232" t="s">
        <v>3257</v>
      </c>
      <c r="E592" s="232" t="s">
        <v>1397</v>
      </c>
      <c r="F592" s="232" t="s">
        <v>142</v>
      </c>
      <c r="G592" s="232"/>
      <c r="H592" s="232" t="s">
        <v>1399</v>
      </c>
      <c r="I592" s="232" t="s">
        <v>235</v>
      </c>
      <c r="J592" s="233" t="str">
        <f t="shared" si="18"/>
        <v>TungstenJapan New Metals Co., Ltd.</v>
      </c>
      <c r="K592" s="233" t="str">
        <f t="shared" si="19"/>
        <v>TungstenJapan New Metals Co., Ltd.</v>
      </c>
    </row>
    <row r="593" spans="1:11">
      <c r="A593" s="232" t="s">
        <v>132</v>
      </c>
      <c r="B593" s="232" t="s">
        <v>2342</v>
      </c>
      <c r="C593" s="232" t="s">
        <v>2342</v>
      </c>
      <c r="D593" s="232" t="s">
        <v>2818</v>
      </c>
      <c r="E593" s="232" t="s">
        <v>2341</v>
      </c>
      <c r="F593" s="232" t="s">
        <v>142</v>
      </c>
      <c r="G593" s="232"/>
      <c r="H593" s="232" t="s">
        <v>985</v>
      </c>
      <c r="I593" s="232" t="s">
        <v>771</v>
      </c>
      <c r="J593" s="233" t="str">
        <f t="shared" si="18"/>
        <v>TungstenJiangwu H.C. Starck Tungsten Products Co., Ltd.</v>
      </c>
      <c r="K593" s="233" t="str">
        <f t="shared" si="19"/>
        <v>TungstenJiangwu H.C. Starck Tungsten Products Co., Ltd.</v>
      </c>
    </row>
    <row r="594" spans="1:11">
      <c r="A594" s="232" t="s">
        <v>132</v>
      </c>
      <c r="B594" s="232" t="s">
        <v>2351</v>
      </c>
      <c r="C594" s="232" t="s">
        <v>2351</v>
      </c>
      <c r="D594" s="232" t="s">
        <v>2818</v>
      </c>
      <c r="E594" s="232" t="s">
        <v>2350</v>
      </c>
      <c r="F594" s="232" t="s">
        <v>142</v>
      </c>
      <c r="G594" s="232"/>
      <c r="H594" s="232" t="s">
        <v>2353</v>
      </c>
      <c r="I594" s="232" t="s">
        <v>771</v>
      </c>
      <c r="J594" s="233" t="str">
        <f t="shared" si="18"/>
        <v>TungstenJiangxi Gan Bei Tungsten Co., Ltd.</v>
      </c>
      <c r="K594" s="233" t="str">
        <f t="shared" si="19"/>
        <v>TungstenJiangxi Gan Bei Tungsten Co., Ltd.</v>
      </c>
    </row>
    <row r="595" spans="1:11">
      <c r="A595" s="232" t="s">
        <v>132</v>
      </c>
      <c r="B595" s="232" t="s">
        <v>1686</v>
      </c>
      <c r="C595" s="232" t="s">
        <v>1686</v>
      </c>
      <c r="D595" s="232" t="s">
        <v>2818</v>
      </c>
      <c r="E595" s="232" t="s">
        <v>1685</v>
      </c>
      <c r="F595" s="232" t="s">
        <v>142</v>
      </c>
      <c r="G595" s="232"/>
      <c r="H595" s="232" t="s">
        <v>1688</v>
      </c>
      <c r="I595" s="228" t="s">
        <v>771</v>
      </c>
      <c r="J595" s="233" t="str">
        <f t="shared" si="18"/>
        <v>TungstenJiangxi Minmetals Gao'an Non-ferrous Metals Co., Ltd.</v>
      </c>
      <c r="K595" s="233" t="str">
        <f t="shared" si="19"/>
        <v>TungstenJiangxi Minmetals Gao'an Non-ferrous Metals Co., Ltd.</v>
      </c>
    </row>
    <row r="596" spans="1:11">
      <c r="A596" s="232" t="s">
        <v>132</v>
      </c>
      <c r="B596" s="232" t="s">
        <v>1478</v>
      </c>
      <c r="C596" s="232" t="s">
        <v>1478</v>
      </c>
      <c r="D596" s="232" t="s">
        <v>2818</v>
      </c>
      <c r="E596" s="232" t="s">
        <v>989</v>
      </c>
      <c r="F596" s="232" t="s">
        <v>142</v>
      </c>
      <c r="G596" s="232"/>
      <c r="H596" s="232" t="s">
        <v>1480</v>
      </c>
      <c r="I596" s="228" t="s">
        <v>771</v>
      </c>
      <c r="J596" s="233" t="str">
        <f t="shared" si="18"/>
        <v>TungstenJiangxi Tonggu Non-ferrous Metallurgical &amp; Chemical Co., Ltd.</v>
      </c>
      <c r="K596" s="233" t="str">
        <f t="shared" si="19"/>
        <v>TungstenJiangxi Tonggu Non-ferrous Metallurgical &amp; Chemical Co., Ltd.</v>
      </c>
    </row>
    <row r="597" spans="1:11">
      <c r="A597" s="232" t="s">
        <v>132</v>
      </c>
      <c r="B597" s="232" t="s">
        <v>3484</v>
      </c>
      <c r="C597" s="232" t="s">
        <v>2806</v>
      </c>
      <c r="D597" s="232" t="s">
        <v>2818</v>
      </c>
      <c r="E597" s="232" t="s">
        <v>2804</v>
      </c>
      <c r="F597" s="232" t="s">
        <v>142</v>
      </c>
      <c r="G597" s="232"/>
      <c r="H597" s="232" t="s">
        <v>985</v>
      </c>
      <c r="I597" s="228" t="s">
        <v>771</v>
      </c>
      <c r="J597" s="233" t="str">
        <f t="shared" si="18"/>
        <v>TungstenJiangxi Tungsten Co Ltd</v>
      </c>
      <c r="K597" s="233" t="str">
        <f t="shared" si="19"/>
        <v>TungstenJiangxi Tungsten Co Ltd</v>
      </c>
    </row>
    <row r="598" spans="1:11">
      <c r="A598" s="232" t="s">
        <v>132</v>
      </c>
      <c r="B598" s="232" t="s">
        <v>2805</v>
      </c>
      <c r="C598" s="232" t="s">
        <v>2806</v>
      </c>
      <c r="D598" s="232" t="s">
        <v>2818</v>
      </c>
      <c r="E598" s="232" t="s">
        <v>2804</v>
      </c>
      <c r="F598" s="232" t="s">
        <v>142</v>
      </c>
      <c r="G598" s="232"/>
      <c r="H598" s="232" t="s">
        <v>985</v>
      </c>
      <c r="I598" s="228" t="s">
        <v>771</v>
      </c>
      <c r="J598" s="233" t="str">
        <f t="shared" si="18"/>
        <v>TungstenJiangxi Tungsten Industry Group Co. Ltd.</v>
      </c>
      <c r="K598" s="233" t="str">
        <f t="shared" si="19"/>
        <v>TungstenJiangxi Tungsten Industry Group Co. Ltd.</v>
      </c>
    </row>
    <row r="599" spans="1:11">
      <c r="A599" s="232" t="s">
        <v>132</v>
      </c>
      <c r="B599" s="232" t="s">
        <v>2908</v>
      </c>
      <c r="C599" s="232" t="s">
        <v>2908</v>
      </c>
      <c r="D599" s="232" t="s">
        <v>2818</v>
      </c>
      <c r="E599" s="232" t="s">
        <v>988</v>
      </c>
      <c r="F599" s="232" t="s">
        <v>142</v>
      </c>
      <c r="G599" s="232"/>
      <c r="H599" s="232" t="s">
        <v>985</v>
      </c>
      <c r="I599" s="228" t="s">
        <v>771</v>
      </c>
      <c r="J599" s="233" t="str">
        <f t="shared" si="18"/>
        <v>TungstenJiangxi Xinsheng Tungsten Industry Co., Ltd.</v>
      </c>
      <c r="K599" s="233" t="str">
        <f t="shared" si="19"/>
        <v>TungstenJiangxi Xinsheng Tungsten Industry Co., Ltd.</v>
      </c>
    </row>
    <row r="600" spans="1:11">
      <c r="A600" s="232" t="s">
        <v>132</v>
      </c>
      <c r="B600" s="232" t="s">
        <v>2762</v>
      </c>
      <c r="C600" s="232" t="s">
        <v>2762</v>
      </c>
      <c r="D600" s="232" t="s">
        <v>2818</v>
      </c>
      <c r="E600" s="232" t="s">
        <v>987</v>
      </c>
      <c r="F600" s="232" t="s">
        <v>142</v>
      </c>
      <c r="G600" s="232"/>
      <c r="H600" s="232" t="s">
        <v>985</v>
      </c>
      <c r="I600" s="228" t="s">
        <v>771</v>
      </c>
      <c r="J600" s="233" t="str">
        <f t="shared" si="18"/>
        <v>TungstenJiangxi Yaosheng Tungsten Co., Ltd.</v>
      </c>
      <c r="K600" s="233" t="str">
        <f t="shared" si="19"/>
        <v>TungstenJiangxi Yaosheng Tungsten Co., Ltd.</v>
      </c>
    </row>
    <row r="601" spans="1:11">
      <c r="A601" s="232" t="s">
        <v>132</v>
      </c>
      <c r="B601" s="232" t="s">
        <v>3481</v>
      </c>
      <c r="C601" s="232" t="s">
        <v>3481</v>
      </c>
      <c r="D601" s="232" t="s">
        <v>2818</v>
      </c>
      <c r="E601" s="232" t="s">
        <v>1680</v>
      </c>
      <c r="F601" s="232" t="s">
        <v>142</v>
      </c>
      <c r="G601" s="232"/>
      <c r="H601" s="232" t="s">
        <v>1682</v>
      </c>
      <c r="I601" s="228" t="s">
        <v>382</v>
      </c>
      <c r="J601" s="233" t="str">
        <f t="shared" si="18"/>
        <v>TungstenJingmen Dewei GEM Tungsten Resources Recycling Co., Ltd.</v>
      </c>
      <c r="K601" s="233" t="str">
        <f t="shared" si="19"/>
        <v>TungstenJingmen Dewei GEM Tungsten Resources Recycling Co., Ltd.</v>
      </c>
    </row>
    <row r="602" spans="1:11">
      <c r="A602" s="232" t="s">
        <v>132</v>
      </c>
      <c r="B602" s="232" t="s">
        <v>1401</v>
      </c>
      <c r="C602" s="232" t="s">
        <v>1401</v>
      </c>
      <c r="D602" s="232" t="s">
        <v>3296</v>
      </c>
      <c r="E602" s="232" t="s">
        <v>1400</v>
      </c>
      <c r="F602" s="232" t="s">
        <v>142</v>
      </c>
      <c r="G602" s="232"/>
      <c r="H602" s="232" t="s">
        <v>1403</v>
      </c>
      <c r="I602" s="228" t="s">
        <v>1404</v>
      </c>
      <c r="J602" s="233" t="str">
        <f t="shared" si="18"/>
        <v>TungstenJSC "Kirovgrad Hard Alloys Plant"</v>
      </c>
      <c r="K602" s="233" t="str">
        <f t="shared" si="19"/>
        <v>TungstenJSC "Kirovgrad Hard Alloys Plant"</v>
      </c>
    </row>
    <row r="603" spans="1:11">
      <c r="A603" s="232" t="s">
        <v>132</v>
      </c>
      <c r="B603" s="232" t="s">
        <v>1415</v>
      </c>
      <c r="C603" s="232" t="s">
        <v>1415</v>
      </c>
      <c r="D603" s="232" t="s">
        <v>3251</v>
      </c>
      <c r="E603" s="232" t="s">
        <v>1414</v>
      </c>
      <c r="F603" s="232" t="s">
        <v>142</v>
      </c>
      <c r="G603" s="232"/>
      <c r="H603" s="232" t="s">
        <v>1416</v>
      </c>
      <c r="I603" s="228" t="s">
        <v>1417</v>
      </c>
      <c r="J603" s="233" t="str">
        <f t="shared" si="18"/>
        <v>TungstenKennametal Fallon</v>
      </c>
      <c r="K603" s="233" t="str">
        <f t="shared" si="19"/>
        <v>TungstenKennametal Fallon</v>
      </c>
    </row>
    <row r="604" spans="1:11">
      <c r="A604" s="232" t="s">
        <v>132</v>
      </c>
      <c r="B604" s="232" t="s">
        <v>1260</v>
      </c>
      <c r="C604" s="232" t="s">
        <v>1260</v>
      </c>
      <c r="D604" s="232" t="s">
        <v>3251</v>
      </c>
      <c r="E604" s="232" t="s">
        <v>1259</v>
      </c>
      <c r="F604" s="232" t="s">
        <v>142</v>
      </c>
      <c r="G604" s="232"/>
      <c r="H604" s="232" t="s">
        <v>1262</v>
      </c>
      <c r="I604" s="228" t="s">
        <v>1263</v>
      </c>
      <c r="J604" s="233" t="str">
        <f t="shared" si="18"/>
        <v>TungstenKennametal Huntsville</v>
      </c>
      <c r="K604" s="233" t="str">
        <f t="shared" si="19"/>
        <v>TungstenKennametal Huntsville</v>
      </c>
    </row>
    <row r="605" spans="1:11">
      <c r="A605" s="232" t="s">
        <v>132</v>
      </c>
      <c r="B605" s="232" t="s">
        <v>1271</v>
      </c>
      <c r="C605" s="232" t="s">
        <v>1271</v>
      </c>
      <c r="D605" s="232" t="s">
        <v>3290</v>
      </c>
      <c r="E605" s="232" t="s">
        <v>1270</v>
      </c>
      <c r="F605" s="232" t="s">
        <v>142</v>
      </c>
      <c r="G605" s="232"/>
      <c r="H605" s="232" t="s">
        <v>1273</v>
      </c>
      <c r="I605" s="228" t="s">
        <v>258</v>
      </c>
      <c r="J605" s="233" t="str">
        <f t="shared" si="18"/>
        <v>TungstenKGETS Co., Ltd.</v>
      </c>
      <c r="K605" s="233" t="str">
        <f t="shared" si="19"/>
        <v>TungstenKGETS Co., Ltd.</v>
      </c>
    </row>
    <row r="606" spans="1:11">
      <c r="A606" s="232" t="s">
        <v>132</v>
      </c>
      <c r="B606" s="232" t="s">
        <v>2361</v>
      </c>
      <c r="C606" s="232" t="s">
        <v>2361</v>
      </c>
      <c r="D606" s="232" t="s">
        <v>3363</v>
      </c>
      <c r="E606" s="232" t="s">
        <v>2360</v>
      </c>
      <c r="F606" s="232" t="s">
        <v>142</v>
      </c>
      <c r="G606" s="232"/>
      <c r="H606" s="232" t="s">
        <v>2363</v>
      </c>
      <c r="I606" s="228" t="s">
        <v>2364</v>
      </c>
      <c r="J606" s="233" t="str">
        <f t="shared" si="18"/>
        <v>TungstenLianyou Metals Co., Ltd.</v>
      </c>
      <c r="K606" s="233" t="str">
        <f t="shared" si="19"/>
        <v>TungstenLianyou Metals Co., Ltd.</v>
      </c>
    </row>
    <row r="607" spans="1:11">
      <c r="A607" s="232" t="s">
        <v>132</v>
      </c>
      <c r="B607" s="232" t="s">
        <v>2372</v>
      </c>
      <c r="C607" s="232" t="s">
        <v>2372</v>
      </c>
      <c r="D607" s="232" t="s">
        <v>3296</v>
      </c>
      <c r="E607" s="232" t="s">
        <v>2371</v>
      </c>
      <c r="F607" s="232" t="s">
        <v>142</v>
      </c>
      <c r="G607" s="232"/>
      <c r="H607" s="232" t="s">
        <v>3485</v>
      </c>
      <c r="I607" s="228" t="s">
        <v>3486</v>
      </c>
      <c r="J607" s="233" t="str">
        <f t="shared" si="18"/>
        <v>TungstenLLC Vostok</v>
      </c>
      <c r="K607" s="233" t="str">
        <f t="shared" si="19"/>
        <v>TungstenLLC Vostok</v>
      </c>
    </row>
    <row r="608" spans="1:11">
      <c r="A608" s="232" t="s">
        <v>132</v>
      </c>
      <c r="B608" s="232" t="s">
        <v>2373</v>
      </c>
      <c r="C608" s="232" t="s">
        <v>2373</v>
      </c>
      <c r="D608" s="232" t="s">
        <v>2818</v>
      </c>
      <c r="E608" s="232" t="s">
        <v>990</v>
      </c>
      <c r="F608" s="232" t="s">
        <v>142</v>
      </c>
      <c r="G608" s="232"/>
      <c r="H608" s="232" t="s">
        <v>2374</v>
      </c>
      <c r="I608" s="228" t="s">
        <v>1148</v>
      </c>
      <c r="J608" s="233" t="str">
        <f t="shared" si="18"/>
        <v>TungstenMalipo Haiyu Tungsten Co., Ltd.</v>
      </c>
      <c r="K608" s="233" t="str">
        <f t="shared" si="19"/>
        <v>TungstenMalipo Haiyu Tungsten Co., Ltd.</v>
      </c>
    </row>
    <row r="609" spans="1:11">
      <c r="A609" s="232" t="s">
        <v>132</v>
      </c>
      <c r="B609" s="232" t="s">
        <v>2381</v>
      </c>
      <c r="C609" s="232" t="s">
        <v>2381</v>
      </c>
      <c r="D609" s="232" t="s">
        <v>3416</v>
      </c>
      <c r="E609" s="232" t="s">
        <v>1418</v>
      </c>
      <c r="F609" s="232" t="s">
        <v>142</v>
      </c>
      <c r="G609" s="232"/>
      <c r="H609" s="232" t="s">
        <v>1421</v>
      </c>
      <c r="I609" s="228" t="s">
        <v>1422</v>
      </c>
      <c r="J609" s="233" t="str">
        <f t="shared" si="18"/>
        <v>TungstenMasan High-Tech Materials</v>
      </c>
      <c r="K609" s="233" t="str">
        <f t="shared" si="19"/>
        <v>TungstenMasan High-Tech Materials</v>
      </c>
    </row>
    <row r="610" spans="1:11">
      <c r="A610" s="232" t="s">
        <v>132</v>
      </c>
      <c r="B610" s="232" t="s">
        <v>1420</v>
      </c>
      <c r="C610" s="232" t="s">
        <v>2381</v>
      </c>
      <c r="D610" s="232" t="s">
        <v>3416</v>
      </c>
      <c r="E610" s="232" t="s">
        <v>1418</v>
      </c>
      <c r="F610" s="232" t="s">
        <v>142</v>
      </c>
      <c r="G610" s="232"/>
      <c r="H610" s="232" t="s">
        <v>1421</v>
      </c>
      <c r="I610" s="228" t="s">
        <v>1422</v>
      </c>
      <c r="J610" s="233" t="str">
        <f t="shared" si="18"/>
        <v>TungstenMasan Tungsten Chemical LLC (MTC)</v>
      </c>
      <c r="K610" s="233" t="str">
        <f t="shared" si="19"/>
        <v>TungstenMasan Tungsten Chemical LLC (MTC)</v>
      </c>
    </row>
    <row r="611" spans="1:11">
      <c r="A611" s="232" t="s">
        <v>132</v>
      </c>
      <c r="B611" s="232" t="s">
        <v>2910</v>
      </c>
      <c r="C611" s="232" t="s">
        <v>2910</v>
      </c>
      <c r="D611" s="232" t="s">
        <v>3296</v>
      </c>
      <c r="E611" s="232" t="s">
        <v>2909</v>
      </c>
      <c r="F611" s="232" t="s">
        <v>142</v>
      </c>
      <c r="G611" s="232"/>
      <c r="H611" s="232" t="s">
        <v>2912</v>
      </c>
      <c r="I611" s="228" t="s">
        <v>2389</v>
      </c>
      <c r="J611" s="233" t="str">
        <f t="shared" si="18"/>
        <v>TungstenMoliren Ltd.</v>
      </c>
      <c r="K611" s="233" t="str">
        <f t="shared" si="19"/>
        <v>TungstenMoliren Ltd.</v>
      </c>
    </row>
    <row r="612" spans="1:11">
      <c r="A612" s="232" t="s">
        <v>132</v>
      </c>
      <c r="B612" s="232" t="s">
        <v>2922</v>
      </c>
      <c r="C612" s="232" t="s">
        <v>2922</v>
      </c>
      <c r="D612" s="232" t="s">
        <v>3251</v>
      </c>
      <c r="E612" s="232" t="s">
        <v>2921</v>
      </c>
      <c r="F612" s="232" t="s">
        <v>142</v>
      </c>
      <c r="G612" s="232"/>
      <c r="H612" s="232" t="s">
        <v>2924</v>
      </c>
      <c r="I612" s="228" t="s">
        <v>606</v>
      </c>
      <c r="J612" s="233" t="str">
        <f t="shared" si="18"/>
        <v>TungstenNiagara Refining LLC</v>
      </c>
      <c r="K612" s="233" t="str">
        <f t="shared" si="19"/>
        <v>TungstenNiagara Refining LLC</v>
      </c>
    </row>
    <row r="613" spans="1:11">
      <c r="A613" s="232" t="s">
        <v>132</v>
      </c>
      <c r="B613" s="232" t="s">
        <v>2383</v>
      </c>
      <c r="C613" s="232" t="s">
        <v>2383</v>
      </c>
      <c r="D613" s="232" t="s">
        <v>3296</v>
      </c>
      <c r="E613" s="232" t="s">
        <v>2382</v>
      </c>
      <c r="F613" s="232" t="s">
        <v>142</v>
      </c>
      <c r="G613" s="232"/>
      <c r="H613" s="232" t="s">
        <v>2384</v>
      </c>
      <c r="I613" s="228" t="s">
        <v>2385</v>
      </c>
      <c r="J613" s="233" t="str">
        <f t="shared" si="18"/>
        <v>TungstenNPP Tyazhmetprom LLC</v>
      </c>
      <c r="K613" s="233" t="str">
        <f t="shared" si="19"/>
        <v>TungstenNPP Tyazhmetprom LLC</v>
      </c>
    </row>
    <row r="614" spans="1:11">
      <c r="A614" s="232" t="s">
        <v>132</v>
      </c>
      <c r="B614" s="232" t="s">
        <v>1419</v>
      </c>
      <c r="C614" s="232" t="s">
        <v>2381</v>
      </c>
      <c r="D614" s="232" t="s">
        <v>3416</v>
      </c>
      <c r="E614" s="232" t="s">
        <v>1418</v>
      </c>
      <c r="F614" s="232" t="s">
        <v>142</v>
      </c>
      <c r="G614" s="232"/>
      <c r="H614" s="232" t="s">
        <v>1421</v>
      </c>
      <c r="I614" s="228" t="s">
        <v>1422</v>
      </c>
      <c r="J614" s="233" t="str">
        <f t="shared" si="18"/>
        <v>TungstenNui Phao H.C. Starck Tungsten Chemicals Manufacturing LLC</v>
      </c>
      <c r="K614" s="233" t="str">
        <f t="shared" si="19"/>
        <v>TungstenNui Phao H.C. Starck Tungsten Chemicals Manufacturing LLC</v>
      </c>
    </row>
    <row r="615" spans="1:11">
      <c r="A615" s="232" t="s">
        <v>132</v>
      </c>
      <c r="B615" s="232" t="s">
        <v>2387</v>
      </c>
      <c r="C615" s="232" t="s">
        <v>2387</v>
      </c>
      <c r="D615" s="232" t="s">
        <v>3296</v>
      </c>
      <c r="E615" s="232" t="s">
        <v>2386</v>
      </c>
      <c r="F615" s="232" t="s">
        <v>142</v>
      </c>
      <c r="G615" s="232"/>
      <c r="H615" s="232" t="s">
        <v>2388</v>
      </c>
      <c r="I615" s="228" t="s">
        <v>2389</v>
      </c>
      <c r="J615" s="233" t="str">
        <f t="shared" si="18"/>
        <v>TungstenOOO “Technolom” 1</v>
      </c>
      <c r="K615" s="233" t="str">
        <f t="shared" si="19"/>
        <v>TungstenOOO “Technolom” 1</v>
      </c>
    </row>
    <row r="616" spans="1:11">
      <c r="A616" s="232" t="s">
        <v>132</v>
      </c>
      <c r="B616" s="232" t="s">
        <v>2392</v>
      </c>
      <c r="C616" s="232" t="s">
        <v>2392</v>
      </c>
      <c r="D616" s="232" t="s">
        <v>3296</v>
      </c>
      <c r="E616" s="232" t="s">
        <v>2391</v>
      </c>
      <c r="F616" s="232" t="s">
        <v>142</v>
      </c>
      <c r="G616" s="232"/>
      <c r="H616" s="232" t="s">
        <v>2388</v>
      </c>
      <c r="I616" s="228" t="s">
        <v>2389</v>
      </c>
      <c r="J616" s="233" t="str">
        <f t="shared" si="18"/>
        <v>TungstenOOO “Technolom” 2</v>
      </c>
      <c r="K616" s="233" t="str">
        <f t="shared" si="19"/>
        <v>TungstenOOO “Technolom” 2</v>
      </c>
    </row>
    <row r="617" spans="1:11">
      <c r="A617" s="228" t="s">
        <v>132</v>
      </c>
      <c r="B617" s="228" t="s">
        <v>2403</v>
      </c>
      <c r="C617" s="228" t="s">
        <v>2403</v>
      </c>
      <c r="D617" s="228" t="s">
        <v>3278</v>
      </c>
      <c r="E617" s="228" t="s">
        <v>2402</v>
      </c>
      <c r="F617" s="232" t="s">
        <v>142</v>
      </c>
      <c r="H617" s="229" t="s">
        <v>2405</v>
      </c>
      <c r="I617" s="228" t="s">
        <v>2406</v>
      </c>
      <c r="J617" s="233" t="str">
        <f t="shared" si="18"/>
        <v>TungstenPhilippine Chuangxin Industrial Co., Inc.</v>
      </c>
      <c r="K617" s="233" t="str">
        <f t="shared" si="19"/>
        <v>TungstenPhilippine Chuangxin Industrial Co., Inc.</v>
      </c>
    </row>
    <row r="618" spans="1:11">
      <c r="A618" s="228" t="s">
        <v>132</v>
      </c>
      <c r="B618" s="228" t="s">
        <v>1217</v>
      </c>
      <c r="C618" s="228" t="s">
        <v>1217</v>
      </c>
      <c r="D618" s="228" t="s">
        <v>3254</v>
      </c>
      <c r="E618" s="228" t="s">
        <v>1702</v>
      </c>
      <c r="F618" s="232" t="s">
        <v>142</v>
      </c>
      <c r="H618" s="229" t="s">
        <v>1220</v>
      </c>
      <c r="I618" s="228" t="s">
        <v>182</v>
      </c>
      <c r="J618" s="233" t="str">
        <f t="shared" si="18"/>
        <v>TungstenTANIOBIS Smelting GmbH &amp; Co. KG</v>
      </c>
      <c r="K618" s="233" t="str">
        <f t="shared" si="19"/>
        <v>TungstenTANIOBIS Smelting GmbH &amp; Co. KG</v>
      </c>
    </row>
    <row r="619" spans="1:11">
      <c r="A619" s="228" t="s">
        <v>132</v>
      </c>
      <c r="B619" s="228" t="s">
        <v>2416</v>
      </c>
      <c r="C619" s="228" t="s">
        <v>2416</v>
      </c>
      <c r="D619" s="228" t="s">
        <v>3296</v>
      </c>
      <c r="E619" s="228" t="s">
        <v>2415</v>
      </c>
      <c r="F619" s="232" t="s">
        <v>142</v>
      </c>
      <c r="H619" s="229" t="s">
        <v>2418</v>
      </c>
      <c r="I619" s="228" t="s">
        <v>2419</v>
      </c>
      <c r="J619" s="233" t="str">
        <f t="shared" si="18"/>
        <v>TungstenUnecha Refractory metals plant</v>
      </c>
      <c r="K619" s="233" t="str">
        <f t="shared" si="19"/>
        <v>TungstenUnecha Refractory metals plant</v>
      </c>
    </row>
    <row r="620" spans="1:11">
      <c r="A620" s="228" t="s">
        <v>132</v>
      </c>
      <c r="B620" s="228" t="s">
        <v>3487</v>
      </c>
      <c r="C620" s="228" t="s">
        <v>1500</v>
      </c>
      <c r="D620" s="228" t="s">
        <v>3338</v>
      </c>
      <c r="E620" s="228" t="s">
        <v>1498</v>
      </c>
      <c r="F620" s="232" t="s">
        <v>142</v>
      </c>
      <c r="H620" s="229" t="s">
        <v>1503</v>
      </c>
      <c r="I620" s="228" t="s">
        <v>1504</v>
      </c>
      <c r="J620" s="233" t="str">
        <f t="shared" si="18"/>
        <v>TungstenWBH</v>
      </c>
      <c r="K620" s="233" t="str">
        <f t="shared" si="19"/>
        <v>TungstenWBH</v>
      </c>
    </row>
    <row r="621" spans="1:11">
      <c r="A621" s="228" t="s">
        <v>132</v>
      </c>
      <c r="B621" s="228" t="s">
        <v>2962</v>
      </c>
      <c r="C621" s="228" t="s">
        <v>1500</v>
      </c>
      <c r="D621" s="228" t="s">
        <v>3338</v>
      </c>
      <c r="E621" s="228" t="s">
        <v>1498</v>
      </c>
      <c r="F621" s="232" t="s">
        <v>142</v>
      </c>
      <c r="H621" s="229" t="s">
        <v>1503</v>
      </c>
      <c r="I621" s="228" t="s">
        <v>1504</v>
      </c>
      <c r="J621" s="233" t="str">
        <f t="shared" si="18"/>
        <v>TungstenWBH,Wolfram [Austria]</v>
      </c>
      <c r="K621" s="233" t="str">
        <f t="shared" si="19"/>
        <v>TungstenWBH,Wolfram [Austria]</v>
      </c>
    </row>
    <row r="622" spans="1:11">
      <c r="A622" s="228" t="s">
        <v>132</v>
      </c>
      <c r="B622" s="228" t="s">
        <v>1500</v>
      </c>
      <c r="C622" s="228" t="s">
        <v>1500</v>
      </c>
      <c r="D622" s="228" t="s">
        <v>3338</v>
      </c>
      <c r="E622" s="228" t="s">
        <v>1498</v>
      </c>
      <c r="F622" s="232" t="s">
        <v>142</v>
      </c>
      <c r="H622" s="229" t="s">
        <v>1503</v>
      </c>
      <c r="I622" s="228" t="s">
        <v>1504</v>
      </c>
      <c r="J622" s="233" t="str">
        <f t="shared" si="18"/>
        <v>TungstenWolfram Bergbau und Hutten AG</v>
      </c>
      <c r="K622" s="233" t="str">
        <f t="shared" si="19"/>
        <v>TungstenWolfram Bergbau und Hutten AG</v>
      </c>
    </row>
    <row r="623" spans="1:11">
      <c r="A623" s="228" t="s">
        <v>132</v>
      </c>
      <c r="B623" s="228" t="s">
        <v>1499</v>
      </c>
      <c r="C623" s="228" t="s">
        <v>1500</v>
      </c>
      <c r="D623" s="228" t="s">
        <v>3338</v>
      </c>
      <c r="E623" s="228" t="s">
        <v>1498</v>
      </c>
      <c r="F623" s="232" t="s">
        <v>142</v>
      </c>
      <c r="H623" s="229" t="s">
        <v>1503</v>
      </c>
      <c r="I623" s="228" t="s">
        <v>1504</v>
      </c>
      <c r="J623" s="233" t="str">
        <f t="shared" si="18"/>
        <v>TungstenWolfram Bergbau und Hütten AG</v>
      </c>
      <c r="K623" s="233" t="str">
        <f t="shared" si="19"/>
        <v>TungstenWolfram Bergbau und Hütten AG</v>
      </c>
    </row>
    <row r="624" spans="1:11">
      <c r="A624" s="228" t="s">
        <v>132</v>
      </c>
      <c r="B624" s="228" t="s">
        <v>3488</v>
      </c>
      <c r="C624" s="228" t="s">
        <v>2430</v>
      </c>
      <c r="D624" s="228" t="s">
        <v>2818</v>
      </c>
      <c r="E624" s="228" t="s">
        <v>991</v>
      </c>
      <c r="F624" s="232" t="s">
        <v>142</v>
      </c>
      <c r="H624" s="229" t="s">
        <v>2432</v>
      </c>
      <c r="I624" s="228" t="s">
        <v>958</v>
      </c>
      <c r="J624" s="233" t="str">
        <f t="shared" si="18"/>
        <v>TungstenXiamen H.C.</v>
      </c>
      <c r="K624" s="233" t="str">
        <f t="shared" si="19"/>
        <v>TungstenXiamen H.C.</v>
      </c>
    </row>
    <row r="625" spans="1:11">
      <c r="A625" s="228" t="s">
        <v>132</v>
      </c>
      <c r="B625" s="228" t="s">
        <v>2430</v>
      </c>
      <c r="C625" s="228" t="s">
        <v>2430</v>
      </c>
      <c r="D625" s="228" t="s">
        <v>2818</v>
      </c>
      <c r="E625" s="228" t="s">
        <v>991</v>
      </c>
      <c r="F625" s="232" t="s">
        <v>142</v>
      </c>
      <c r="H625" s="229" t="s">
        <v>2432</v>
      </c>
      <c r="I625" s="228" t="s">
        <v>958</v>
      </c>
      <c r="J625" s="233" t="str">
        <f t="shared" si="18"/>
        <v>TungstenXiamen Tungsten (H.C.) Co., Ltd.</v>
      </c>
      <c r="K625" s="233" t="str">
        <f t="shared" si="19"/>
        <v>TungstenXiamen Tungsten (H.C.) Co., Ltd.</v>
      </c>
    </row>
    <row r="626" spans="1:11">
      <c r="A626" s="228" t="s">
        <v>132</v>
      </c>
      <c r="B626" s="228" t="s">
        <v>2494</v>
      </c>
      <c r="C626" s="228" t="s">
        <v>2494</v>
      </c>
      <c r="D626" s="228" t="s">
        <v>2818</v>
      </c>
      <c r="E626" s="228" t="s">
        <v>2493</v>
      </c>
      <c r="F626" s="232" t="s">
        <v>142</v>
      </c>
      <c r="H626" s="229" t="s">
        <v>2432</v>
      </c>
      <c r="I626" s="228" t="s">
        <v>958</v>
      </c>
      <c r="J626" s="233" t="str">
        <f t="shared" si="18"/>
        <v>TungstenXiamen Tungsten Co., Ltd.</v>
      </c>
      <c r="K626" s="233" t="str">
        <f t="shared" si="19"/>
        <v>TungstenXiamen Tungsten Co., Ltd.</v>
      </c>
    </row>
    <row r="627" spans="1:11">
      <c r="A627" s="228" t="s">
        <v>132</v>
      </c>
      <c r="B627" s="228" t="s">
        <v>1514</v>
      </c>
      <c r="C627" s="228" t="s">
        <v>1514</v>
      </c>
      <c r="D627" s="228" t="s">
        <v>2818</v>
      </c>
      <c r="E627" s="228" t="s">
        <v>1513</v>
      </c>
      <c r="F627" s="232" t="s">
        <v>142</v>
      </c>
      <c r="H627" s="229" t="s">
        <v>985</v>
      </c>
      <c r="I627" s="228" t="s">
        <v>771</v>
      </c>
      <c r="J627" s="233" t="str">
        <f t="shared" si="18"/>
        <v>TungstenXinfeng Huarui Tungsten &amp; Molybdenum New Material Co., Ltd.</v>
      </c>
      <c r="K627" s="233" t="str">
        <f t="shared" si="19"/>
        <v>TungstenXinfeng Huarui Tungsten &amp; Molybdenum New Material Co., Ltd.</v>
      </c>
    </row>
    <row r="628" spans="1:11">
      <c r="A628" s="228" t="s">
        <v>132</v>
      </c>
      <c r="B628" s="228" t="s">
        <v>1525</v>
      </c>
      <c r="C628" s="228" t="s">
        <v>1525</v>
      </c>
      <c r="D628" s="228" t="s">
        <v>2818</v>
      </c>
      <c r="E628" s="228" t="s">
        <v>1524</v>
      </c>
      <c r="F628" s="232" t="s">
        <v>142</v>
      </c>
      <c r="H628" s="229" t="s">
        <v>1526</v>
      </c>
      <c r="I628" s="228" t="s">
        <v>771</v>
      </c>
      <c r="J628" s="233" t="str">
        <f t="shared" si="18"/>
        <v>TungstenYUDU ANSHENG TUNGSTEN CO., LTD.</v>
      </c>
      <c r="K628" s="233" t="str">
        <f t="shared" si="19"/>
        <v>TungstenYUDU ANSHENG TUNGSTEN CO., LTD.</v>
      </c>
    </row>
    <row r="629" spans="1:11">
      <c r="A629" s="228" t="s">
        <v>132</v>
      </c>
      <c r="B629" s="228" t="s">
        <v>983</v>
      </c>
      <c r="C629" s="228" t="s">
        <v>984</v>
      </c>
      <c r="D629" s="228" t="s">
        <v>2818</v>
      </c>
      <c r="E629" s="228" t="s">
        <v>982</v>
      </c>
      <c r="F629" s="232" t="s">
        <v>142</v>
      </c>
      <c r="H629" s="229" t="s">
        <v>985</v>
      </c>
      <c r="I629" s="228" t="s">
        <v>771</v>
      </c>
      <c r="J629" s="233" t="str">
        <f t="shared" si="18"/>
        <v>TungstenZhangyuan Tungsten Co Ltd</v>
      </c>
      <c r="K629" s="233" t="str">
        <f t="shared" si="19"/>
        <v>TungstenZhangyuan Tungsten Co Ltd</v>
      </c>
    </row>
    <row r="630" spans="1:11">
      <c r="A630" s="228" t="s">
        <v>132</v>
      </c>
      <c r="B630" s="228" t="s">
        <v>3489</v>
      </c>
      <c r="C630" s="228" t="s">
        <v>973</v>
      </c>
      <c r="D630" s="228" t="s">
        <v>2818</v>
      </c>
      <c r="E630" s="228" t="s">
        <v>972</v>
      </c>
      <c r="F630" s="232" t="s">
        <v>142</v>
      </c>
      <c r="H630" s="229" t="s">
        <v>553</v>
      </c>
      <c r="I630" s="228" t="s">
        <v>554</v>
      </c>
      <c r="J630" s="233" t="str">
        <f t="shared" si="18"/>
        <v>Tungsten洛阳栾川钼业集团钨业有限公司</v>
      </c>
      <c r="K630" s="233" t="str">
        <f t="shared" si="19"/>
        <v>Tungsten洛阳栾川钼业集团钨业有限公司</v>
      </c>
    </row>
    <row r="631" spans="1:11">
      <c r="A631" s="228" t="s">
        <v>132</v>
      </c>
      <c r="B631" s="228" t="s">
        <v>209</v>
      </c>
      <c r="J631" s="233" t="str">
        <f t="shared" si="18"/>
        <v>TungstenSmelter not listed</v>
      </c>
      <c r="K631" s="233" t="str">
        <f t="shared" si="19"/>
        <v>TungstenSmelter not listed</v>
      </c>
    </row>
    <row r="632" spans="1:11">
      <c r="A632" s="228" t="s">
        <v>132</v>
      </c>
      <c r="B632" s="228" t="s">
        <v>137</v>
      </c>
      <c r="C632" s="228" t="s">
        <v>121</v>
      </c>
      <c r="D632" s="228" t="s">
        <v>121</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headerFooter>
    <oddFooter xml:space="preserve">&amp;L_x000D_&amp;1#&amp;"Calibri"&amp;8&amp;K000000  Rockwell Automation Company 'Internal'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defaultColWidth="8.875" defaultRowHeight="14.25"/>
  <cols>
    <col min="1" max="1" width="14.625" style="234" customWidth="1"/>
    <col min="2" max="2" width="14" style="234" customWidth="1"/>
    <col min="3" max="3" width="6.125" style="234" customWidth="1"/>
    <col min="4" max="4" width="56.25" style="234" customWidth="1"/>
    <col min="5" max="5" width="53.75" style="235" customWidth="1"/>
    <col min="6" max="6" width="54.125" style="234" customWidth="1"/>
    <col min="7" max="7" width="68.25" style="234" customWidth="1"/>
    <col min="8" max="8" width="49.25" style="234" customWidth="1"/>
    <col min="9" max="9" width="51.625" style="234" customWidth="1"/>
    <col min="10" max="10" width="50.25" style="234" customWidth="1"/>
    <col min="11" max="11" width="51.875" customWidth="1"/>
    <col min="12" max="12" width="66.875" style="236" customWidth="1"/>
    <col min="13" max="13" width="46.125" style="72" customWidth="1"/>
    <col min="14" max="14" width="8.875" style="72" customWidth="1"/>
    <col min="15" max="16384" width="8.875" style="72"/>
  </cols>
  <sheetData>
    <row r="1" spans="1:13">
      <c r="B1" s="234" t="s">
        <v>3490</v>
      </c>
      <c r="C1" s="234" t="s">
        <v>3491</v>
      </c>
      <c r="D1" s="234" t="s">
        <v>109</v>
      </c>
      <c r="E1" s="237" t="s">
        <v>3492</v>
      </c>
      <c r="F1" s="234" t="s">
        <v>3493</v>
      </c>
      <c r="G1" s="234" t="s">
        <v>3494</v>
      </c>
      <c r="H1" s="234" t="s">
        <v>3495</v>
      </c>
      <c r="I1" s="234" t="s">
        <v>3496</v>
      </c>
      <c r="J1" s="234" t="s">
        <v>3497</v>
      </c>
      <c r="K1" s="234" t="s">
        <v>3498</v>
      </c>
      <c r="L1" s="238" t="s">
        <v>3499</v>
      </c>
      <c r="M1" s="72" t="s">
        <v>3500</v>
      </c>
    </row>
    <row r="2" spans="1:13" ht="85.5">
      <c r="A2" s="234" t="str">
        <f t="shared" ref="A2:A47" si="0">B2&amp;C2</f>
        <v>InstructionsA1</v>
      </c>
      <c r="B2" s="234" t="s">
        <v>3501</v>
      </c>
      <c r="C2" s="234" t="s">
        <v>3502</v>
      </c>
      <c r="D2" s="234" t="s">
        <v>3503</v>
      </c>
      <c r="E2" s="234" t="s">
        <v>3504</v>
      </c>
      <c r="F2" s="234" t="s">
        <v>3505</v>
      </c>
      <c r="G2" s="234" t="s">
        <v>3506</v>
      </c>
      <c r="H2" s="234" t="s">
        <v>3507</v>
      </c>
      <c r="I2" s="234" t="s">
        <v>3508</v>
      </c>
      <c r="J2" s="234" t="s">
        <v>3509</v>
      </c>
      <c r="K2" s="239" t="s">
        <v>3510</v>
      </c>
      <c r="L2" s="238" t="s">
        <v>3511</v>
      </c>
      <c r="M2" s="234" t="s">
        <v>3512</v>
      </c>
    </row>
    <row r="3" spans="1:13" ht="28.5">
      <c r="A3" s="234" t="str">
        <f t="shared" si="0"/>
        <v>InstructionsA2</v>
      </c>
      <c r="B3" s="234" t="s">
        <v>3501</v>
      </c>
      <c r="C3" s="234" t="s">
        <v>3513</v>
      </c>
      <c r="D3" s="234" t="s">
        <v>3514</v>
      </c>
      <c r="E3" s="237" t="s">
        <v>3515</v>
      </c>
      <c r="F3" s="234" t="s">
        <v>3516</v>
      </c>
      <c r="G3" s="234" t="s">
        <v>3517</v>
      </c>
      <c r="H3" s="234" t="s">
        <v>3514</v>
      </c>
      <c r="I3" s="234" t="s">
        <v>3518</v>
      </c>
      <c r="J3" s="234" t="s">
        <v>3519</v>
      </c>
      <c r="K3" s="239" t="s">
        <v>3520</v>
      </c>
      <c r="L3" s="238" t="s">
        <v>3521</v>
      </c>
      <c r="M3" s="234" t="s">
        <v>3522</v>
      </c>
    </row>
    <row r="4" spans="1:13" ht="399">
      <c r="A4" s="234" t="str">
        <f t="shared" si="0"/>
        <v>InstructionsA3</v>
      </c>
      <c r="B4" s="234" t="s">
        <v>3501</v>
      </c>
      <c r="C4" s="234" t="s">
        <v>3523</v>
      </c>
      <c r="D4" s="234" t="s">
        <v>3524</v>
      </c>
      <c r="E4" s="240" t="s">
        <v>3525</v>
      </c>
      <c r="F4" s="234" t="s">
        <v>3526</v>
      </c>
      <c r="G4" s="234" t="s">
        <v>3527</v>
      </c>
      <c r="H4" s="234" t="s">
        <v>3528</v>
      </c>
      <c r="I4" s="234" t="s">
        <v>3529</v>
      </c>
      <c r="J4" s="234" t="s">
        <v>3530</v>
      </c>
      <c r="K4" s="239" t="s">
        <v>3531</v>
      </c>
      <c r="L4" s="238" t="s">
        <v>3532</v>
      </c>
      <c r="M4" s="234" t="s">
        <v>3533</v>
      </c>
    </row>
    <row r="5" spans="1:13" ht="365.25" customHeight="1">
      <c r="A5" s="234" t="str">
        <f t="shared" si="0"/>
        <v>InstructionsA4</v>
      </c>
      <c r="B5" s="234" t="s">
        <v>3501</v>
      </c>
      <c r="C5" s="234" t="s">
        <v>3534</v>
      </c>
      <c r="D5" s="234" t="s">
        <v>3535</v>
      </c>
      <c r="E5" s="234" t="s">
        <v>3536</v>
      </c>
      <c r="F5" s="234" t="s">
        <v>3537</v>
      </c>
      <c r="G5" s="234" t="s">
        <v>3538</v>
      </c>
      <c r="H5" s="234" t="s">
        <v>3539</v>
      </c>
      <c r="I5" s="234" t="s">
        <v>3540</v>
      </c>
      <c r="J5" s="234" t="s">
        <v>3541</v>
      </c>
      <c r="K5" s="234" t="s">
        <v>3542</v>
      </c>
      <c r="L5" s="234" t="s">
        <v>3543</v>
      </c>
      <c r="M5" s="234" t="s">
        <v>3544</v>
      </c>
    </row>
    <row r="6" spans="1:13" ht="42.75">
      <c r="A6" s="234" t="str">
        <f t="shared" si="0"/>
        <v>InstructionsA6</v>
      </c>
      <c r="B6" s="234" t="s">
        <v>3501</v>
      </c>
      <c r="C6" s="234" t="s">
        <v>3545</v>
      </c>
      <c r="D6" s="234" t="s">
        <v>3546</v>
      </c>
      <c r="E6" s="237" t="s">
        <v>3547</v>
      </c>
      <c r="F6" s="234" t="s">
        <v>3548</v>
      </c>
      <c r="G6" s="234" t="s">
        <v>3549</v>
      </c>
      <c r="H6" s="234" t="s">
        <v>3550</v>
      </c>
      <c r="I6" s="234" t="s">
        <v>3551</v>
      </c>
      <c r="J6" s="234" t="s">
        <v>3552</v>
      </c>
      <c r="K6" s="239" t="s">
        <v>3553</v>
      </c>
      <c r="L6" s="238" t="s">
        <v>3554</v>
      </c>
      <c r="M6" s="234" t="s">
        <v>3555</v>
      </c>
    </row>
    <row r="7" spans="1:13" ht="28.5">
      <c r="A7" s="234" t="str">
        <f t="shared" si="0"/>
        <v>InstructionsA7</v>
      </c>
      <c r="B7" s="234" t="s">
        <v>3501</v>
      </c>
      <c r="C7" s="234" t="s">
        <v>3556</v>
      </c>
      <c r="D7" s="234" t="s">
        <v>3557</v>
      </c>
      <c r="E7" s="237" t="s">
        <v>3558</v>
      </c>
      <c r="F7" s="234" t="s">
        <v>3559</v>
      </c>
      <c r="G7" s="234" t="s">
        <v>3560</v>
      </c>
      <c r="H7" s="234" t="s">
        <v>3561</v>
      </c>
      <c r="I7" s="234" t="s">
        <v>3562</v>
      </c>
      <c r="J7" s="234" t="s">
        <v>3563</v>
      </c>
      <c r="K7" s="239" t="s">
        <v>3564</v>
      </c>
      <c r="L7" s="238" t="s">
        <v>3565</v>
      </c>
      <c r="M7" s="234" t="s">
        <v>3566</v>
      </c>
    </row>
    <row r="8" spans="1:13" ht="86.25" customHeight="1">
      <c r="A8" s="234" t="str">
        <f t="shared" si="0"/>
        <v>InstructionsA8</v>
      </c>
      <c r="B8" s="234" t="s">
        <v>3501</v>
      </c>
      <c r="C8" s="234" t="s">
        <v>3567</v>
      </c>
      <c r="D8" s="234" t="s">
        <v>3568</v>
      </c>
      <c r="E8" s="240" t="s">
        <v>3569</v>
      </c>
      <c r="F8" s="234" t="s">
        <v>3570</v>
      </c>
      <c r="G8" s="234" t="s">
        <v>3571</v>
      </c>
      <c r="H8" s="234" t="s">
        <v>3572</v>
      </c>
      <c r="I8" s="234" t="s">
        <v>3573</v>
      </c>
      <c r="J8" s="234" t="s">
        <v>3574</v>
      </c>
      <c r="K8" s="239" t="s">
        <v>3575</v>
      </c>
      <c r="L8" s="238" t="s">
        <v>3576</v>
      </c>
      <c r="M8" s="234" t="s">
        <v>3577</v>
      </c>
    </row>
    <row r="9" spans="1:13" ht="409.5">
      <c r="A9" s="234" t="str">
        <f t="shared" si="0"/>
        <v>InstructionsA9</v>
      </c>
      <c r="B9" s="234" t="s">
        <v>3501</v>
      </c>
      <c r="C9" s="234" t="s">
        <v>3578</v>
      </c>
      <c r="D9" s="234" t="s">
        <v>3579</v>
      </c>
      <c r="E9" s="241" t="s">
        <v>3580</v>
      </c>
      <c r="F9" s="113" t="s">
        <v>3581</v>
      </c>
      <c r="G9" s="113" t="s">
        <v>3582</v>
      </c>
      <c r="H9" s="113" t="s">
        <v>3583</v>
      </c>
      <c r="I9" s="113" t="s">
        <v>3584</v>
      </c>
      <c r="J9" s="113" t="s">
        <v>3585</v>
      </c>
      <c r="K9" s="113" t="s">
        <v>3586</v>
      </c>
      <c r="L9" s="242" t="s">
        <v>3587</v>
      </c>
      <c r="M9" s="234" t="s">
        <v>3588</v>
      </c>
    </row>
    <row r="10" spans="1:13" ht="57">
      <c r="A10" s="234" t="str">
        <f t="shared" si="0"/>
        <v>InstructionsA10</v>
      </c>
      <c r="B10" s="234" t="s">
        <v>3501</v>
      </c>
      <c r="C10" s="234" t="s">
        <v>3589</v>
      </c>
      <c r="D10" s="234" t="s">
        <v>3590</v>
      </c>
      <c r="E10" s="237" t="s">
        <v>3591</v>
      </c>
      <c r="F10" s="234" t="s">
        <v>3592</v>
      </c>
      <c r="G10" s="234" t="s">
        <v>3593</v>
      </c>
      <c r="H10" s="234" t="s">
        <v>3594</v>
      </c>
      <c r="I10" s="234" t="s">
        <v>3595</v>
      </c>
      <c r="J10" s="234" t="s">
        <v>3596</v>
      </c>
      <c r="K10" s="243" t="s">
        <v>3597</v>
      </c>
      <c r="L10" s="238" t="s">
        <v>3598</v>
      </c>
      <c r="M10" s="234" t="s">
        <v>3599</v>
      </c>
    </row>
    <row r="11" spans="1:13" ht="42.75">
      <c r="A11" s="234" t="str">
        <f t="shared" si="0"/>
        <v>InstructionsA11</v>
      </c>
      <c r="B11" s="234" t="s">
        <v>3501</v>
      </c>
      <c r="C11" s="234" t="s">
        <v>3600</v>
      </c>
      <c r="D11" s="234" t="s">
        <v>3601</v>
      </c>
      <c r="E11" s="237" t="s">
        <v>3602</v>
      </c>
      <c r="F11" s="234" t="s">
        <v>3603</v>
      </c>
      <c r="G11" s="234" t="s">
        <v>3604</v>
      </c>
      <c r="H11" s="234" t="s">
        <v>3605</v>
      </c>
      <c r="I11" s="234" t="s">
        <v>3606</v>
      </c>
      <c r="J11" s="234" t="s">
        <v>3607</v>
      </c>
      <c r="K11" s="243" t="s">
        <v>3608</v>
      </c>
      <c r="L11" s="238" t="s">
        <v>3609</v>
      </c>
      <c r="M11" s="234" t="s">
        <v>3610</v>
      </c>
    </row>
    <row r="12" spans="1:13" ht="42.75">
      <c r="A12" s="234" t="str">
        <f t="shared" si="0"/>
        <v>InstructionsA12</v>
      </c>
      <c r="B12" s="234" t="s">
        <v>3501</v>
      </c>
      <c r="C12" s="234" t="s">
        <v>3611</v>
      </c>
      <c r="D12" s="234" t="s">
        <v>3612</v>
      </c>
      <c r="E12" s="237" t="s">
        <v>3613</v>
      </c>
      <c r="F12" s="234" t="s">
        <v>3614</v>
      </c>
      <c r="G12" s="234" t="s">
        <v>3615</v>
      </c>
      <c r="H12" s="234" t="s">
        <v>3616</v>
      </c>
      <c r="I12" s="234" t="s">
        <v>3617</v>
      </c>
      <c r="J12" s="234" t="s">
        <v>3618</v>
      </c>
      <c r="K12" s="243" t="s">
        <v>3619</v>
      </c>
      <c r="L12" s="238" t="s">
        <v>3620</v>
      </c>
      <c r="M12" s="234" t="s">
        <v>3621</v>
      </c>
    </row>
    <row r="13" spans="1:13" ht="57">
      <c r="A13" s="234" t="str">
        <f t="shared" si="0"/>
        <v>InstructionsA13</v>
      </c>
      <c r="B13" s="234" t="s">
        <v>3501</v>
      </c>
      <c r="C13" s="234" t="s">
        <v>3622</v>
      </c>
      <c r="D13" s="234" t="s">
        <v>3623</v>
      </c>
      <c r="E13" s="237" t="s">
        <v>3624</v>
      </c>
      <c r="F13" s="234" t="s">
        <v>3625</v>
      </c>
      <c r="G13" s="234" t="s">
        <v>3626</v>
      </c>
      <c r="H13" s="234" t="s">
        <v>3627</v>
      </c>
      <c r="I13" s="234" t="s">
        <v>3628</v>
      </c>
      <c r="J13" s="234" t="s">
        <v>3629</v>
      </c>
      <c r="K13" s="243" t="s">
        <v>3630</v>
      </c>
      <c r="L13" s="238" t="s">
        <v>3631</v>
      </c>
      <c r="M13" s="234" t="s">
        <v>3632</v>
      </c>
    </row>
    <row r="14" spans="1:13" ht="85.5">
      <c r="A14" s="234" t="str">
        <f t="shared" si="0"/>
        <v>InstructionsA14</v>
      </c>
      <c r="B14" s="234" t="s">
        <v>3501</v>
      </c>
      <c r="C14" s="234" t="s">
        <v>3633</v>
      </c>
      <c r="D14" s="234" t="s">
        <v>3634</v>
      </c>
      <c r="E14" s="237" t="s">
        <v>3635</v>
      </c>
      <c r="F14" s="234" t="s">
        <v>3636</v>
      </c>
      <c r="G14" s="234" t="s">
        <v>3637</v>
      </c>
      <c r="H14" s="234" t="s">
        <v>3638</v>
      </c>
      <c r="I14" s="234" t="s">
        <v>3639</v>
      </c>
      <c r="J14" s="234" t="s">
        <v>3640</v>
      </c>
      <c r="K14" s="243" t="s">
        <v>3641</v>
      </c>
      <c r="L14" s="238" t="s">
        <v>3642</v>
      </c>
      <c r="M14" s="234" t="s">
        <v>3643</v>
      </c>
    </row>
    <row r="15" spans="1:13" ht="42.75">
      <c r="A15" s="234" t="str">
        <f t="shared" si="0"/>
        <v>InstructionsA15</v>
      </c>
      <c r="B15" s="234" t="s">
        <v>3501</v>
      </c>
      <c r="C15" s="234" t="s">
        <v>3644</v>
      </c>
      <c r="D15" s="234" t="s">
        <v>3645</v>
      </c>
      <c r="E15" s="237" t="s">
        <v>3646</v>
      </c>
      <c r="F15" s="234" t="s">
        <v>3647</v>
      </c>
      <c r="G15" s="234" t="s">
        <v>3648</v>
      </c>
      <c r="H15" s="234" t="s">
        <v>3649</v>
      </c>
      <c r="I15" s="234" t="s">
        <v>3650</v>
      </c>
      <c r="J15" s="234" t="s">
        <v>3651</v>
      </c>
      <c r="K15" s="243" t="s">
        <v>3652</v>
      </c>
      <c r="L15" s="238" t="s">
        <v>3653</v>
      </c>
      <c r="M15" s="234" t="s">
        <v>3654</v>
      </c>
    </row>
    <row r="16" spans="1:13" ht="99.75">
      <c r="A16" s="234" t="str">
        <f t="shared" si="0"/>
        <v>InstructionsA16</v>
      </c>
      <c r="B16" s="234" t="s">
        <v>3501</v>
      </c>
      <c r="C16" s="234" t="s">
        <v>3655</v>
      </c>
      <c r="D16" s="234" t="s">
        <v>3656</v>
      </c>
      <c r="E16" s="237" t="s">
        <v>3657</v>
      </c>
      <c r="F16" s="234" t="s">
        <v>3658</v>
      </c>
      <c r="G16" s="234" t="s">
        <v>3659</v>
      </c>
      <c r="H16" s="234" t="s">
        <v>3660</v>
      </c>
      <c r="I16" s="234" t="s">
        <v>3661</v>
      </c>
      <c r="J16" s="234" t="s">
        <v>3662</v>
      </c>
      <c r="K16" s="239" t="s">
        <v>3663</v>
      </c>
      <c r="L16" s="238" t="s">
        <v>3664</v>
      </c>
      <c r="M16" s="234" t="s">
        <v>3665</v>
      </c>
    </row>
    <row r="17" spans="1:13" ht="42.75">
      <c r="A17" s="234" t="str">
        <f t="shared" si="0"/>
        <v>InstructionsA17</v>
      </c>
      <c r="B17" s="234" t="s">
        <v>3501</v>
      </c>
      <c r="C17" s="234" t="s">
        <v>3666</v>
      </c>
      <c r="D17" s="234" t="s">
        <v>3667</v>
      </c>
      <c r="E17" s="237" t="s">
        <v>3668</v>
      </c>
      <c r="F17" s="234" t="s">
        <v>3669</v>
      </c>
      <c r="G17" s="234" t="s">
        <v>3670</v>
      </c>
      <c r="H17" s="234" t="s">
        <v>3671</v>
      </c>
      <c r="I17" s="234" t="s">
        <v>3672</v>
      </c>
      <c r="J17" s="234" t="s">
        <v>3673</v>
      </c>
      <c r="K17" s="239" t="s">
        <v>3674</v>
      </c>
      <c r="L17" s="238" t="s">
        <v>3675</v>
      </c>
      <c r="M17" s="234" t="s">
        <v>3676</v>
      </c>
    </row>
    <row r="18" spans="1:13" ht="85.5">
      <c r="A18" s="234" t="str">
        <f t="shared" si="0"/>
        <v>InstructionsA18</v>
      </c>
      <c r="B18" s="234" t="s">
        <v>3501</v>
      </c>
      <c r="C18" s="234" t="s">
        <v>3677</v>
      </c>
      <c r="D18" s="234" t="s">
        <v>3678</v>
      </c>
      <c r="E18" s="237" t="s">
        <v>3679</v>
      </c>
      <c r="F18" s="234" t="s">
        <v>3680</v>
      </c>
      <c r="G18" s="234" t="s">
        <v>3681</v>
      </c>
      <c r="H18" s="234" t="s">
        <v>3682</v>
      </c>
      <c r="I18" s="234" t="s">
        <v>3683</v>
      </c>
      <c r="J18" s="234" t="s">
        <v>3684</v>
      </c>
      <c r="K18" s="239" t="s">
        <v>3685</v>
      </c>
      <c r="L18" s="238" t="s">
        <v>3686</v>
      </c>
      <c r="M18" s="234" t="s">
        <v>3687</v>
      </c>
    </row>
    <row r="19" spans="1:13" ht="75.75" customHeight="1">
      <c r="A19" s="234" t="str">
        <f t="shared" si="0"/>
        <v>InstructionsA19</v>
      </c>
      <c r="B19" s="234" t="s">
        <v>3501</v>
      </c>
      <c r="C19" s="234" t="s">
        <v>3688</v>
      </c>
      <c r="D19" s="234" t="s">
        <v>3689</v>
      </c>
      <c r="E19" s="234" t="s">
        <v>3690</v>
      </c>
      <c r="F19" s="234" t="s">
        <v>3691</v>
      </c>
      <c r="G19" s="234" t="s">
        <v>3538</v>
      </c>
      <c r="H19" s="234" t="s">
        <v>3692</v>
      </c>
      <c r="I19" s="234" t="s">
        <v>3540</v>
      </c>
      <c r="J19" s="234" t="s">
        <v>3693</v>
      </c>
      <c r="K19" s="234" t="s">
        <v>3694</v>
      </c>
      <c r="L19" s="234" t="s">
        <v>3695</v>
      </c>
      <c r="M19" s="234" t="s">
        <v>3696</v>
      </c>
    </row>
    <row r="20" spans="1:13" ht="42.75">
      <c r="A20" s="234" t="str">
        <f t="shared" si="0"/>
        <v>InstructionsA20</v>
      </c>
      <c r="B20" s="234" t="s">
        <v>3501</v>
      </c>
      <c r="C20" s="234" t="s">
        <v>3697</v>
      </c>
      <c r="D20" s="234" t="s">
        <v>3698</v>
      </c>
      <c r="E20" s="237" t="s">
        <v>3699</v>
      </c>
      <c r="F20" s="234" t="s">
        <v>3700</v>
      </c>
      <c r="G20" s="234" t="s">
        <v>3701</v>
      </c>
      <c r="H20" s="234" t="s">
        <v>3702</v>
      </c>
      <c r="I20" s="234" t="s">
        <v>3703</v>
      </c>
      <c r="J20" s="234" t="s">
        <v>3704</v>
      </c>
      <c r="K20" s="239" t="s">
        <v>3705</v>
      </c>
      <c r="L20" s="238" t="s">
        <v>3706</v>
      </c>
      <c r="M20" s="234" t="s">
        <v>3707</v>
      </c>
    </row>
    <row r="21" spans="1:13" ht="42.75">
      <c r="A21" s="234" t="str">
        <f t="shared" si="0"/>
        <v>InstructionsA21</v>
      </c>
      <c r="B21" s="234" t="s">
        <v>3501</v>
      </c>
      <c r="C21" s="234" t="s">
        <v>3708</v>
      </c>
      <c r="D21" s="234" t="s">
        <v>3709</v>
      </c>
      <c r="E21" s="237" t="s">
        <v>3710</v>
      </c>
      <c r="F21" s="234" t="s">
        <v>3711</v>
      </c>
      <c r="G21" s="234" t="s">
        <v>3712</v>
      </c>
      <c r="H21" s="234" t="s">
        <v>3713</v>
      </c>
      <c r="I21" s="234" t="s">
        <v>3714</v>
      </c>
      <c r="J21" s="234" t="s">
        <v>3715</v>
      </c>
      <c r="K21" s="239" t="s">
        <v>3716</v>
      </c>
      <c r="L21" s="238" t="s">
        <v>3717</v>
      </c>
      <c r="M21" s="234" t="s">
        <v>3718</v>
      </c>
    </row>
    <row r="22" spans="1:13" ht="54.75" customHeight="1">
      <c r="A22" s="234" t="str">
        <f t="shared" si="0"/>
        <v>InstructionsA23</v>
      </c>
      <c r="B22" s="234" t="s">
        <v>3501</v>
      </c>
      <c r="C22" s="234" t="s">
        <v>3719</v>
      </c>
      <c r="D22" s="234" t="s">
        <v>3720</v>
      </c>
      <c r="E22" s="234" t="s">
        <v>3721</v>
      </c>
      <c r="F22" s="234" t="s">
        <v>3722</v>
      </c>
      <c r="G22" s="234" t="s">
        <v>3723</v>
      </c>
      <c r="H22" s="234" t="s">
        <v>3692</v>
      </c>
      <c r="I22" s="234" t="s">
        <v>3724</v>
      </c>
      <c r="J22" s="234" t="s">
        <v>3725</v>
      </c>
      <c r="K22" s="234" t="s">
        <v>3726</v>
      </c>
      <c r="L22" s="234" t="s">
        <v>3727</v>
      </c>
      <c r="M22" s="234" t="s">
        <v>3728</v>
      </c>
    </row>
    <row r="23" spans="1:13" ht="153">
      <c r="A23" s="234" t="str">
        <f t="shared" si="0"/>
        <v>InstructionsA24</v>
      </c>
      <c r="B23" s="234" t="s">
        <v>3501</v>
      </c>
      <c r="C23" s="234" t="s">
        <v>3729</v>
      </c>
      <c r="D23" s="113" t="s">
        <v>3730</v>
      </c>
      <c r="E23" s="113" t="s">
        <v>3731</v>
      </c>
      <c r="F23" s="113" t="s">
        <v>3732</v>
      </c>
      <c r="G23" s="113" t="s">
        <v>3733</v>
      </c>
      <c r="H23" s="113" t="s">
        <v>3734</v>
      </c>
      <c r="I23" s="113" t="s">
        <v>3735</v>
      </c>
      <c r="J23" s="113" t="s">
        <v>3736</v>
      </c>
      <c r="K23" s="113" t="s">
        <v>3737</v>
      </c>
      <c r="L23" s="113" t="s">
        <v>3738</v>
      </c>
      <c r="M23" s="113" t="s">
        <v>3739</v>
      </c>
    </row>
    <row r="24" spans="1:13" ht="127.5">
      <c r="A24" s="234" t="str">
        <f t="shared" si="0"/>
        <v>InstructionsA25</v>
      </c>
      <c r="B24" s="234" t="s">
        <v>3501</v>
      </c>
      <c r="C24" s="234" t="s">
        <v>3740</v>
      </c>
      <c r="D24" s="113" t="s">
        <v>3741</v>
      </c>
      <c r="E24" s="113" t="s">
        <v>3742</v>
      </c>
      <c r="F24" s="113" t="s">
        <v>3743</v>
      </c>
      <c r="G24" s="113" t="s">
        <v>3744</v>
      </c>
      <c r="H24" s="113" t="s">
        <v>3745</v>
      </c>
      <c r="I24" s="113" t="s">
        <v>3746</v>
      </c>
      <c r="J24" s="113" t="s">
        <v>3747</v>
      </c>
      <c r="K24" s="113" t="s">
        <v>3748</v>
      </c>
      <c r="L24" s="113" t="s">
        <v>3749</v>
      </c>
      <c r="M24" s="113" t="s">
        <v>3750</v>
      </c>
    </row>
    <row r="25" spans="1:13" ht="409.5">
      <c r="A25" s="234" t="str">
        <f t="shared" si="0"/>
        <v>InstructionsA26</v>
      </c>
      <c r="B25" s="234" t="s">
        <v>3501</v>
      </c>
      <c r="C25" s="234" t="s">
        <v>3751</v>
      </c>
      <c r="D25" s="113" t="s">
        <v>3752</v>
      </c>
      <c r="E25" s="244" t="s">
        <v>3753</v>
      </c>
      <c r="F25" s="113" t="s">
        <v>3754</v>
      </c>
      <c r="G25" s="245" t="s">
        <v>3755</v>
      </c>
      <c r="H25" s="246" t="s">
        <v>3756</v>
      </c>
      <c r="I25" s="246" t="s">
        <v>3757</v>
      </c>
      <c r="J25" s="245" t="s">
        <v>3758</v>
      </c>
      <c r="K25" s="247" t="s">
        <v>3759</v>
      </c>
      <c r="L25" s="245" t="s">
        <v>3760</v>
      </c>
      <c r="M25" s="245" t="s">
        <v>3761</v>
      </c>
    </row>
    <row r="26" spans="1:13" ht="57">
      <c r="A26" s="234" t="str">
        <f t="shared" si="0"/>
        <v>InstructionsA27</v>
      </c>
      <c r="B26" s="234" t="s">
        <v>3501</v>
      </c>
      <c r="C26" s="234" t="s">
        <v>3762</v>
      </c>
      <c r="D26" s="234" t="s">
        <v>3763</v>
      </c>
      <c r="E26" s="240" t="s">
        <v>3764</v>
      </c>
      <c r="F26" s="234" t="s">
        <v>3765</v>
      </c>
      <c r="G26" s="234" t="s">
        <v>3766</v>
      </c>
      <c r="H26" s="234" t="s">
        <v>3767</v>
      </c>
      <c r="I26" s="234" t="s">
        <v>3768</v>
      </c>
      <c r="J26" s="234" t="s">
        <v>3769</v>
      </c>
      <c r="K26" s="239" t="s">
        <v>3770</v>
      </c>
      <c r="L26" s="238" t="s">
        <v>3771</v>
      </c>
      <c r="M26" s="234" t="s">
        <v>3772</v>
      </c>
    </row>
    <row r="27" spans="1:13" ht="409.5">
      <c r="A27" s="234" t="str">
        <f t="shared" si="0"/>
        <v>InstructionsA28</v>
      </c>
      <c r="B27" s="234" t="s">
        <v>3501</v>
      </c>
      <c r="C27" s="234" t="s">
        <v>3773</v>
      </c>
      <c r="D27" s="113" t="s">
        <v>3774</v>
      </c>
      <c r="E27" s="244" t="s">
        <v>3775</v>
      </c>
      <c r="F27" s="248" t="s">
        <v>3776</v>
      </c>
      <c r="G27" s="246" t="s">
        <v>3777</v>
      </c>
      <c r="H27" s="246" t="s">
        <v>3778</v>
      </c>
      <c r="I27" s="246" t="s">
        <v>3779</v>
      </c>
      <c r="J27" s="246" t="s">
        <v>3780</v>
      </c>
      <c r="K27" s="247" t="s">
        <v>3781</v>
      </c>
      <c r="L27" s="245" t="s">
        <v>3782</v>
      </c>
      <c r="M27" s="245" t="s">
        <v>3783</v>
      </c>
    </row>
    <row r="28" spans="1:13" ht="348" customHeight="1">
      <c r="A28" s="234" t="str">
        <f t="shared" si="0"/>
        <v>InstructionsA29</v>
      </c>
      <c r="B28" s="234" t="s">
        <v>3501</v>
      </c>
      <c r="C28" s="234" t="s">
        <v>3784</v>
      </c>
      <c r="D28" s="113" t="s">
        <v>3785</v>
      </c>
      <c r="E28" s="113" t="s">
        <v>3786</v>
      </c>
      <c r="F28" s="113" t="s">
        <v>3787</v>
      </c>
      <c r="G28" s="113" t="s">
        <v>3744</v>
      </c>
      <c r="H28" s="113" t="s">
        <v>3788</v>
      </c>
      <c r="I28" s="113" t="s">
        <v>3789</v>
      </c>
      <c r="J28" s="113" t="s">
        <v>3790</v>
      </c>
      <c r="K28" s="113" t="s">
        <v>3791</v>
      </c>
      <c r="L28" s="113" t="s">
        <v>3792</v>
      </c>
      <c r="M28" s="113" t="s">
        <v>3793</v>
      </c>
    </row>
    <row r="29" spans="1:13" ht="234" customHeight="1">
      <c r="A29" s="234" t="str">
        <f t="shared" si="0"/>
        <v>InstructionsA30</v>
      </c>
      <c r="B29" s="234" t="s">
        <v>3501</v>
      </c>
      <c r="C29" s="234" t="s">
        <v>3794</v>
      </c>
      <c r="D29" s="113" t="s">
        <v>3795</v>
      </c>
      <c r="E29" s="113" t="s">
        <v>3796</v>
      </c>
      <c r="F29" s="113" t="s">
        <v>3797</v>
      </c>
      <c r="G29" s="113" t="s">
        <v>3798</v>
      </c>
      <c r="H29" s="113" t="s">
        <v>3799</v>
      </c>
      <c r="I29" s="113" t="s">
        <v>3800</v>
      </c>
      <c r="J29" s="113" t="s">
        <v>3801</v>
      </c>
      <c r="K29" s="113" t="s">
        <v>3802</v>
      </c>
      <c r="L29" s="113" t="s">
        <v>3803</v>
      </c>
      <c r="M29" s="113" t="s">
        <v>3804</v>
      </c>
    </row>
    <row r="30" spans="1:13" ht="229.5">
      <c r="A30" s="234" t="str">
        <f t="shared" si="0"/>
        <v>InstructionsA31</v>
      </c>
      <c r="B30" s="234" t="s">
        <v>3501</v>
      </c>
      <c r="C30" s="234" t="s">
        <v>3805</v>
      </c>
      <c r="D30" s="113" t="s">
        <v>3806</v>
      </c>
      <c r="E30" s="241" t="s">
        <v>3807</v>
      </c>
      <c r="F30" s="113" t="s">
        <v>3808</v>
      </c>
      <c r="G30" s="113" t="s">
        <v>3809</v>
      </c>
      <c r="H30" s="113" t="s">
        <v>3810</v>
      </c>
      <c r="I30" s="113" t="s">
        <v>3811</v>
      </c>
      <c r="J30" s="113" t="s">
        <v>3812</v>
      </c>
      <c r="K30" s="113" t="s">
        <v>3813</v>
      </c>
      <c r="L30" s="249" t="s">
        <v>3814</v>
      </c>
      <c r="M30" s="113" t="s">
        <v>3815</v>
      </c>
    </row>
    <row r="31" spans="1:13" ht="270">
      <c r="A31" s="234" t="str">
        <f t="shared" si="0"/>
        <v>InstructionsA32</v>
      </c>
      <c r="B31" s="234" t="s">
        <v>3501</v>
      </c>
      <c r="C31" s="234" t="s">
        <v>3816</v>
      </c>
      <c r="D31" s="113" t="s">
        <v>3817</v>
      </c>
      <c r="E31" s="244" t="s">
        <v>3818</v>
      </c>
      <c r="F31" s="250" t="s">
        <v>3819</v>
      </c>
      <c r="G31" s="251" t="s">
        <v>3820</v>
      </c>
      <c r="H31" s="246" t="s">
        <v>3821</v>
      </c>
      <c r="I31" s="245" t="s">
        <v>3822</v>
      </c>
      <c r="J31" s="245" t="s">
        <v>3823</v>
      </c>
      <c r="K31" s="247" t="s">
        <v>3824</v>
      </c>
      <c r="L31" s="245" t="s">
        <v>3825</v>
      </c>
      <c r="M31" s="245" t="s">
        <v>3826</v>
      </c>
    </row>
    <row r="32" spans="1:13" ht="135">
      <c r="A32" s="234" t="str">
        <f t="shared" si="0"/>
        <v>InstructionsA33</v>
      </c>
      <c r="B32" s="234" t="s">
        <v>3501</v>
      </c>
      <c r="C32" s="234" t="s">
        <v>3827</v>
      </c>
      <c r="D32" s="113" t="s">
        <v>3828</v>
      </c>
      <c r="E32" s="252" t="s">
        <v>3829</v>
      </c>
      <c r="F32" s="250" t="s">
        <v>3830</v>
      </c>
      <c r="G32" s="251" t="s">
        <v>3831</v>
      </c>
      <c r="H32" s="246" t="s">
        <v>3832</v>
      </c>
      <c r="I32" s="245" t="s">
        <v>3833</v>
      </c>
      <c r="J32" s="245" t="s">
        <v>3834</v>
      </c>
      <c r="K32" s="247" t="s">
        <v>3835</v>
      </c>
      <c r="L32" s="245" t="s">
        <v>3836</v>
      </c>
      <c r="M32" s="245" t="s">
        <v>3837</v>
      </c>
    </row>
    <row r="33" spans="1:13" ht="135">
      <c r="A33" s="234" t="str">
        <f t="shared" si="0"/>
        <v>InstructionsA34</v>
      </c>
      <c r="B33" s="234" t="s">
        <v>3501</v>
      </c>
      <c r="C33" s="234" t="s">
        <v>3838</v>
      </c>
      <c r="D33" s="113" t="s">
        <v>3839</v>
      </c>
      <c r="E33" s="244" t="s">
        <v>3840</v>
      </c>
      <c r="F33" s="250" t="s">
        <v>3841</v>
      </c>
      <c r="G33" s="251" t="s">
        <v>3842</v>
      </c>
      <c r="H33" s="246" t="s">
        <v>3843</v>
      </c>
      <c r="I33" s="245" t="s">
        <v>3844</v>
      </c>
      <c r="J33" s="245" t="s">
        <v>3845</v>
      </c>
      <c r="K33" s="247" t="s">
        <v>3846</v>
      </c>
      <c r="L33" s="245" t="s">
        <v>3847</v>
      </c>
      <c r="M33" s="245" t="s">
        <v>3848</v>
      </c>
    </row>
    <row r="34" spans="1:13" ht="42.75">
      <c r="A34" s="234" t="str">
        <f t="shared" si="0"/>
        <v>InstructionsA35</v>
      </c>
      <c r="B34" s="234" t="s">
        <v>3501</v>
      </c>
      <c r="C34" s="234" t="s">
        <v>3849</v>
      </c>
      <c r="D34" s="234" t="s">
        <v>3850</v>
      </c>
      <c r="E34" s="237" t="s">
        <v>3851</v>
      </c>
      <c r="F34" s="234" t="s">
        <v>3852</v>
      </c>
      <c r="G34" s="234" t="s">
        <v>3853</v>
      </c>
      <c r="H34" s="234" t="s">
        <v>3854</v>
      </c>
      <c r="I34" s="234" t="s">
        <v>3855</v>
      </c>
      <c r="J34" s="234" t="s">
        <v>3856</v>
      </c>
      <c r="K34" s="253" t="s">
        <v>3857</v>
      </c>
      <c r="L34" s="238" t="s">
        <v>3858</v>
      </c>
      <c r="M34" s="234" t="s">
        <v>3859</v>
      </c>
    </row>
    <row r="35" spans="1:13" ht="75">
      <c r="A35" s="234" t="str">
        <f t="shared" si="0"/>
        <v>InstructionsA37</v>
      </c>
      <c r="B35" s="234" t="s">
        <v>3501</v>
      </c>
      <c r="C35" s="234" t="s">
        <v>3860</v>
      </c>
      <c r="D35" s="234" t="s">
        <v>3861</v>
      </c>
      <c r="E35" s="252" t="s">
        <v>3862</v>
      </c>
      <c r="F35" s="250" t="s">
        <v>3863</v>
      </c>
      <c r="G35" s="254" t="s">
        <v>3864</v>
      </c>
      <c r="H35" s="245" t="s">
        <v>3865</v>
      </c>
      <c r="I35" s="245" t="s">
        <v>3866</v>
      </c>
      <c r="J35" s="245" t="s">
        <v>3867</v>
      </c>
      <c r="K35" s="247" t="s">
        <v>3868</v>
      </c>
      <c r="L35" s="245" t="s">
        <v>3869</v>
      </c>
      <c r="M35" s="245" t="s">
        <v>3870</v>
      </c>
    </row>
    <row r="36" spans="1:13" ht="33.75" customHeight="1">
      <c r="A36" s="234" t="str">
        <f t="shared" si="0"/>
        <v>InstructionsA38</v>
      </c>
      <c r="B36" s="234" t="s">
        <v>3501</v>
      </c>
      <c r="C36" s="234" t="s">
        <v>3871</v>
      </c>
      <c r="D36" s="234" t="s">
        <v>3872</v>
      </c>
      <c r="E36" s="237" t="s">
        <v>3873</v>
      </c>
      <c r="F36" s="234" t="s">
        <v>3874</v>
      </c>
      <c r="G36" s="234" t="s">
        <v>3875</v>
      </c>
      <c r="H36" s="234" t="s">
        <v>3876</v>
      </c>
      <c r="I36" s="234" t="s">
        <v>3877</v>
      </c>
      <c r="J36" s="234" t="s">
        <v>3878</v>
      </c>
      <c r="K36" s="239" t="s">
        <v>3879</v>
      </c>
      <c r="L36" s="238" t="s">
        <v>3880</v>
      </c>
      <c r="M36" s="234" t="s">
        <v>3881</v>
      </c>
    </row>
    <row r="37" spans="1:13" ht="114">
      <c r="A37" s="234" t="str">
        <f t="shared" si="0"/>
        <v>InstructionsA39</v>
      </c>
      <c r="B37" s="234" t="s">
        <v>3501</v>
      </c>
      <c r="C37" s="234" t="s">
        <v>3882</v>
      </c>
      <c r="D37" s="234" t="s">
        <v>3883</v>
      </c>
      <c r="E37" s="234" t="s">
        <v>3884</v>
      </c>
      <c r="F37" s="234" t="s">
        <v>3885</v>
      </c>
      <c r="G37" s="234" t="s">
        <v>3886</v>
      </c>
      <c r="H37" s="234" t="s">
        <v>3887</v>
      </c>
      <c r="I37" s="234" t="s">
        <v>3888</v>
      </c>
      <c r="J37" s="234" t="s">
        <v>3889</v>
      </c>
      <c r="K37" s="234" t="s">
        <v>3890</v>
      </c>
      <c r="L37" s="234" t="s">
        <v>3891</v>
      </c>
      <c r="M37" s="234" t="s">
        <v>3892</v>
      </c>
    </row>
    <row r="38" spans="1:13" ht="128.25">
      <c r="A38" s="234" t="str">
        <f t="shared" si="0"/>
        <v>InstructionsA40</v>
      </c>
      <c r="B38" s="234" t="s">
        <v>3501</v>
      </c>
      <c r="C38" s="234" t="s">
        <v>3893</v>
      </c>
      <c r="D38" s="234" t="s">
        <v>3894</v>
      </c>
      <c r="E38" s="234" t="s">
        <v>3895</v>
      </c>
      <c r="F38" s="234" t="s">
        <v>3896</v>
      </c>
      <c r="G38" s="234" t="s">
        <v>3897</v>
      </c>
      <c r="H38" s="234" t="s">
        <v>3898</v>
      </c>
      <c r="I38" s="234" t="s">
        <v>3888</v>
      </c>
      <c r="J38" s="234" t="s">
        <v>3899</v>
      </c>
      <c r="K38" s="234" t="s">
        <v>3900</v>
      </c>
      <c r="L38" s="234" t="s">
        <v>3901</v>
      </c>
      <c r="M38" s="234" t="s">
        <v>3892</v>
      </c>
    </row>
    <row r="39" spans="1:13" ht="120">
      <c r="A39" s="234" t="str">
        <f t="shared" si="0"/>
        <v>InstructionsA41</v>
      </c>
      <c r="B39" s="234" t="s">
        <v>3501</v>
      </c>
      <c r="C39" s="234" t="s">
        <v>3902</v>
      </c>
      <c r="D39" s="113" t="s">
        <v>3903</v>
      </c>
      <c r="E39" s="252" t="s">
        <v>3904</v>
      </c>
      <c r="F39" s="248" t="s">
        <v>3905</v>
      </c>
      <c r="G39" s="245" t="s">
        <v>3906</v>
      </c>
      <c r="H39" s="245" t="s">
        <v>3907</v>
      </c>
      <c r="I39" s="245" t="s">
        <v>3908</v>
      </c>
      <c r="J39" s="245" t="s">
        <v>3909</v>
      </c>
      <c r="K39" s="247" t="s">
        <v>3910</v>
      </c>
      <c r="L39" s="245" t="s">
        <v>3911</v>
      </c>
      <c r="M39" s="245" t="s">
        <v>3912</v>
      </c>
    </row>
    <row r="40" spans="1:13" ht="409.5">
      <c r="A40" s="234" t="str">
        <f t="shared" si="0"/>
        <v>InstructionsA42</v>
      </c>
      <c r="B40" s="234" t="s">
        <v>3501</v>
      </c>
      <c r="C40" s="234" t="s">
        <v>3913</v>
      </c>
      <c r="D40" s="234" t="s">
        <v>3914</v>
      </c>
      <c r="E40" s="234" t="s">
        <v>3915</v>
      </c>
      <c r="F40" s="234" t="s">
        <v>3916</v>
      </c>
      <c r="G40" s="234" t="s">
        <v>3917</v>
      </c>
      <c r="H40" s="234" t="s">
        <v>3918</v>
      </c>
      <c r="I40" s="234" t="s">
        <v>3919</v>
      </c>
      <c r="J40" s="234" t="s">
        <v>3920</v>
      </c>
      <c r="K40" s="234" t="s">
        <v>3921</v>
      </c>
      <c r="L40" s="234" t="s">
        <v>3922</v>
      </c>
      <c r="M40" s="234" t="s">
        <v>3923</v>
      </c>
    </row>
    <row r="41" spans="1:13" ht="240">
      <c r="A41" s="234" t="str">
        <f t="shared" si="0"/>
        <v>InstructionsA43</v>
      </c>
      <c r="B41" s="234" t="s">
        <v>3501</v>
      </c>
      <c r="C41" s="234" t="s">
        <v>3924</v>
      </c>
      <c r="D41" s="113" t="s">
        <v>3925</v>
      </c>
      <c r="E41" s="244" t="s">
        <v>3926</v>
      </c>
      <c r="F41" s="248" t="s">
        <v>3927</v>
      </c>
      <c r="G41" s="245" t="s">
        <v>3928</v>
      </c>
      <c r="H41" s="246" t="s">
        <v>3929</v>
      </c>
      <c r="I41" s="245" t="s">
        <v>3930</v>
      </c>
      <c r="J41" s="245" t="s">
        <v>3931</v>
      </c>
      <c r="K41" s="247" t="s">
        <v>3932</v>
      </c>
      <c r="L41" s="245" t="s">
        <v>3933</v>
      </c>
      <c r="M41" s="245" t="s">
        <v>3934</v>
      </c>
    </row>
    <row r="42" spans="1:13" ht="225">
      <c r="A42" s="234" t="str">
        <f t="shared" si="0"/>
        <v>InstructionsA44</v>
      </c>
      <c r="B42" s="234" t="s">
        <v>3501</v>
      </c>
      <c r="C42" s="234" t="s">
        <v>3935</v>
      </c>
      <c r="D42" s="234" t="s">
        <v>3936</v>
      </c>
      <c r="E42" s="244" t="s">
        <v>3937</v>
      </c>
      <c r="F42" s="248" t="s">
        <v>3938</v>
      </c>
      <c r="G42" s="245" t="s">
        <v>3939</v>
      </c>
      <c r="H42" s="246" t="s">
        <v>3940</v>
      </c>
      <c r="I42" s="245" t="s">
        <v>3941</v>
      </c>
      <c r="J42" s="245" t="s">
        <v>3942</v>
      </c>
      <c r="K42" s="247" t="s">
        <v>3943</v>
      </c>
      <c r="L42" s="245" t="s">
        <v>3944</v>
      </c>
      <c r="M42" s="245" t="s">
        <v>3945</v>
      </c>
    </row>
    <row r="43" spans="1:13" ht="120">
      <c r="A43" s="234" t="str">
        <f t="shared" si="0"/>
        <v>InstructionsA45</v>
      </c>
      <c r="B43" s="234" t="s">
        <v>3501</v>
      </c>
      <c r="C43" s="234" t="s">
        <v>3946</v>
      </c>
      <c r="D43" s="234" t="s">
        <v>3947</v>
      </c>
      <c r="E43" s="244" t="s">
        <v>3948</v>
      </c>
      <c r="F43" s="248" t="s">
        <v>3949</v>
      </c>
      <c r="G43" s="245" t="s">
        <v>3950</v>
      </c>
      <c r="H43" s="245" t="s">
        <v>3951</v>
      </c>
      <c r="I43" s="245" t="s">
        <v>3952</v>
      </c>
      <c r="J43" s="245" t="s">
        <v>3953</v>
      </c>
      <c r="K43" s="247" t="s">
        <v>3954</v>
      </c>
      <c r="L43" s="245" t="s">
        <v>3955</v>
      </c>
      <c r="M43" s="245" t="s">
        <v>3956</v>
      </c>
    </row>
    <row r="44" spans="1:13" ht="139.5" customHeight="1">
      <c r="A44" s="234" t="str">
        <f t="shared" si="0"/>
        <v>InstructionsA46</v>
      </c>
      <c r="B44" s="234" t="s">
        <v>3501</v>
      </c>
      <c r="C44" s="234" t="s">
        <v>3957</v>
      </c>
      <c r="D44" s="234" t="s">
        <v>3958</v>
      </c>
      <c r="E44" s="234" t="s">
        <v>3959</v>
      </c>
      <c r="F44" s="234" t="s">
        <v>3960</v>
      </c>
      <c r="G44" s="234" t="s">
        <v>3961</v>
      </c>
      <c r="H44" s="234" t="s">
        <v>3962</v>
      </c>
      <c r="I44" s="234" t="s">
        <v>3963</v>
      </c>
      <c r="J44" s="234" t="s">
        <v>3964</v>
      </c>
      <c r="K44" s="234" t="s">
        <v>3965</v>
      </c>
      <c r="L44" s="234" t="s">
        <v>3966</v>
      </c>
      <c r="M44" s="234" t="s">
        <v>3967</v>
      </c>
    </row>
    <row r="45" spans="1:13" ht="42.75">
      <c r="A45" s="234" t="str">
        <f t="shared" si="0"/>
        <v>InstructionsA48</v>
      </c>
      <c r="B45" s="234" t="s">
        <v>3501</v>
      </c>
      <c r="C45" s="234" t="s">
        <v>3968</v>
      </c>
      <c r="D45" s="234" t="s">
        <v>3969</v>
      </c>
      <c r="E45" s="237" t="s">
        <v>3970</v>
      </c>
      <c r="F45" s="234" t="s">
        <v>3971</v>
      </c>
      <c r="G45" s="234" t="s">
        <v>3972</v>
      </c>
      <c r="H45" s="234" t="s">
        <v>3973</v>
      </c>
      <c r="I45" s="234" t="s">
        <v>3974</v>
      </c>
      <c r="J45" s="234" t="s">
        <v>3975</v>
      </c>
      <c r="K45" s="239" t="s">
        <v>3976</v>
      </c>
      <c r="L45" s="238" t="s">
        <v>3977</v>
      </c>
      <c r="M45" s="234" t="s">
        <v>3978</v>
      </c>
    </row>
    <row r="46" spans="1:13" ht="28.5">
      <c r="A46" s="234" t="str">
        <f t="shared" si="0"/>
        <v>InstructionsA49</v>
      </c>
      <c r="B46" s="234" t="s">
        <v>3501</v>
      </c>
      <c r="C46" s="234" t="s">
        <v>3979</v>
      </c>
      <c r="D46" s="234" t="s">
        <v>3980</v>
      </c>
      <c r="E46" s="237" t="s">
        <v>3981</v>
      </c>
      <c r="F46" s="234" t="s">
        <v>3982</v>
      </c>
      <c r="G46" s="234" t="s">
        <v>3983</v>
      </c>
      <c r="H46" s="234" t="s">
        <v>3984</v>
      </c>
      <c r="I46" s="234" t="s">
        <v>3985</v>
      </c>
      <c r="J46" s="234" t="s">
        <v>3986</v>
      </c>
      <c r="K46" s="239" t="s">
        <v>3987</v>
      </c>
      <c r="L46" s="238" t="s">
        <v>3988</v>
      </c>
      <c r="M46" s="234" t="s">
        <v>3989</v>
      </c>
    </row>
    <row r="47" spans="1:13" ht="105">
      <c r="A47" s="234" t="str">
        <f t="shared" si="0"/>
        <v>InstructionsA50</v>
      </c>
      <c r="B47" s="234" t="s">
        <v>3501</v>
      </c>
      <c r="C47" s="234" t="s">
        <v>3990</v>
      </c>
      <c r="D47" s="234" t="s">
        <v>3991</v>
      </c>
      <c r="E47" s="244" t="s">
        <v>3992</v>
      </c>
      <c r="F47" s="248" t="s">
        <v>3993</v>
      </c>
      <c r="G47" s="245" t="s">
        <v>3994</v>
      </c>
      <c r="H47" s="246" t="s">
        <v>3995</v>
      </c>
      <c r="I47" s="246" t="s">
        <v>3996</v>
      </c>
      <c r="J47" s="245" t="s">
        <v>3997</v>
      </c>
      <c r="K47" s="247" t="s">
        <v>3998</v>
      </c>
      <c r="L47" s="245" t="s">
        <v>3999</v>
      </c>
      <c r="M47" s="246" t="s">
        <v>4000</v>
      </c>
    </row>
    <row r="48" spans="1:13" ht="85.5">
      <c r="A48" s="255" t="s">
        <v>4001</v>
      </c>
      <c r="B48" s="255" t="s">
        <v>3501</v>
      </c>
      <c r="C48" s="234" t="s">
        <v>4002</v>
      </c>
      <c r="D48" s="255" t="s">
        <v>4003</v>
      </c>
      <c r="E48" s="240" t="s">
        <v>4004</v>
      </c>
      <c r="F48" s="234" t="s">
        <v>4005</v>
      </c>
      <c r="G48" s="256" t="s">
        <v>4006</v>
      </c>
      <c r="H48" s="234" t="s">
        <v>4007</v>
      </c>
      <c r="I48" s="234" t="s">
        <v>4008</v>
      </c>
      <c r="J48" s="234" t="s">
        <v>4009</v>
      </c>
      <c r="K48" s="234" t="s">
        <v>4010</v>
      </c>
      <c r="L48" s="257" t="s">
        <v>4011</v>
      </c>
      <c r="M48" s="234" t="s">
        <v>4012</v>
      </c>
    </row>
    <row r="49" spans="1:13" ht="57">
      <c r="A49" s="234" t="str">
        <f t="shared" ref="A49:A80" si="1">B49&amp;C49</f>
        <v>InstructionsA52</v>
      </c>
      <c r="B49" s="234" t="s">
        <v>3501</v>
      </c>
      <c r="C49" s="234" t="s">
        <v>4013</v>
      </c>
      <c r="D49" s="234" t="s">
        <v>4014</v>
      </c>
      <c r="E49" s="240" t="s">
        <v>4015</v>
      </c>
      <c r="F49" s="234" t="s">
        <v>4016</v>
      </c>
      <c r="G49" s="234" t="s">
        <v>4017</v>
      </c>
      <c r="H49" s="234" t="s">
        <v>4018</v>
      </c>
      <c r="I49" s="234" t="s">
        <v>4019</v>
      </c>
      <c r="J49" s="234" t="s">
        <v>4020</v>
      </c>
      <c r="K49" s="239" t="s">
        <v>4021</v>
      </c>
      <c r="L49" s="238" t="s">
        <v>4022</v>
      </c>
      <c r="M49" s="234" t="s">
        <v>4023</v>
      </c>
    </row>
    <row r="50" spans="1:13" ht="156.75">
      <c r="A50" s="234" t="str">
        <f t="shared" si="1"/>
        <v>InstructionsA53</v>
      </c>
      <c r="B50" s="234" t="s">
        <v>3501</v>
      </c>
      <c r="C50" s="234" t="s">
        <v>4024</v>
      </c>
      <c r="D50" s="234" t="s">
        <v>4025</v>
      </c>
      <c r="E50" s="244" t="s">
        <v>4026</v>
      </c>
      <c r="F50" s="248" t="s">
        <v>4027</v>
      </c>
      <c r="G50" s="246" t="s">
        <v>4028</v>
      </c>
      <c r="H50" s="246" t="s">
        <v>4029</v>
      </c>
      <c r="I50" s="246" t="s">
        <v>4030</v>
      </c>
      <c r="J50" s="245" t="s">
        <v>4031</v>
      </c>
      <c r="K50" s="247" t="s">
        <v>4032</v>
      </c>
      <c r="L50" s="245" t="s">
        <v>4033</v>
      </c>
      <c r="M50" s="246" t="s">
        <v>4034</v>
      </c>
    </row>
    <row r="51" spans="1:13" ht="85.5">
      <c r="A51" s="234" t="str">
        <f t="shared" si="1"/>
        <v>InstructionsA54</v>
      </c>
      <c r="B51" s="234" t="s">
        <v>3501</v>
      </c>
      <c r="C51" s="234" t="s">
        <v>4035</v>
      </c>
      <c r="D51" s="234" t="s">
        <v>4036</v>
      </c>
      <c r="E51" s="240" t="s">
        <v>4037</v>
      </c>
      <c r="F51" s="234" t="s">
        <v>4038</v>
      </c>
      <c r="G51" s="234" t="s">
        <v>4039</v>
      </c>
      <c r="H51" s="234" t="s">
        <v>4040</v>
      </c>
      <c r="I51" s="234" t="s">
        <v>4041</v>
      </c>
      <c r="J51" s="234" t="s">
        <v>4042</v>
      </c>
      <c r="K51" s="239" t="s">
        <v>4043</v>
      </c>
      <c r="L51" s="238" t="s">
        <v>4044</v>
      </c>
      <c r="M51" s="234" t="s">
        <v>4045</v>
      </c>
    </row>
    <row r="52" spans="1:13" ht="99.75">
      <c r="A52" s="234" t="str">
        <f t="shared" si="1"/>
        <v>InstructionsA55</v>
      </c>
      <c r="B52" s="234" t="s">
        <v>3501</v>
      </c>
      <c r="C52" s="234" t="s">
        <v>4046</v>
      </c>
      <c r="D52" s="234" t="s">
        <v>4047</v>
      </c>
      <c r="E52" s="234" t="s">
        <v>4048</v>
      </c>
      <c r="F52" s="234" t="s">
        <v>4049</v>
      </c>
      <c r="G52" s="234" t="s">
        <v>4050</v>
      </c>
      <c r="H52" s="234" t="s">
        <v>4051</v>
      </c>
      <c r="I52" s="234" t="s">
        <v>4052</v>
      </c>
      <c r="J52" s="234" t="s">
        <v>4053</v>
      </c>
      <c r="K52" s="239" t="s">
        <v>4054</v>
      </c>
      <c r="L52" s="238" t="s">
        <v>4055</v>
      </c>
      <c r="M52" s="234" t="s">
        <v>4056</v>
      </c>
    </row>
    <row r="53" spans="1:13" ht="128.25">
      <c r="A53" s="234" t="str">
        <f t="shared" si="1"/>
        <v>InstructionsA56</v>
      </c>
      <c r="B53" s="234" t="s">
        <v>3501</v>
      </c>
      <c r="C53" s="234" t="s">
        <v>4057</v>
      </c>
      <c r="D53" s="234" t="s">
        <v>4058</v>
      </c>
      <c r="E53" s="234" t="s">
        <v>4059</v>
      </c>
      <c r="F53" s="234" t="s">
        <v>4060</v>
      </c>
      <c r="G53" s="234" t="s">
        <v>4061</v>
      </c>
      <c r="H53" s="234" t="s">
        <v>4062</v>
      </c>
      <c r="I53" s="234" t="s">
        <v>4063</v>
      </c>
      <c r="J53" s="234" t="s">
        <v>4064</v>
      </c>
      <c r="K53" s="239" t="s">
        <v>4065</v>
      </c>
      <c r="L53" s="238" t="s">
        <v>4066</v>
      </c>
      <c r="M53" s="234" t="s">
        <v>4067</v>
      </c>
    </row>
    <row r="54" spans="1:13" ht="85.5">
      <c r="A54" s="234" t="str">
        <f t="shared" si="1"/>
        <v>InstructionsA57</v>
      </c>
      <c r="B54" s="234" t="s">
        <v>3501</v>
      </c>
      <c r="C54" s="234" t="s">
        <v>4068</v>
      </c>
      <c r="D54" s="234" t="s">
        <v>4069</v>
      </c>
      <c r="E54" s="234" t="s">
        <v>4070</v>
      </c>
      <c r="F54" s="234" t="s">
        <v>4071</v>
      </c>
      <c r="G54" s="234" t="s">
        <v>4072</v>
      </c>
      <c r="H54" s="234" t="s">
        <v>4073</v>
      </c>
      <c r="I54" s="234" t="s">
        <v>4074</v>
      </c>
      <c r="J54" s="234" t="s">
        <v>4075</v>
      </c>
      <c r="K54" s="239" t="s">
        <v>4076</v>
      </c>
      <c r="L54" s="238" t="s">
        <v>4077</v>
      </c>
      <c r="M54" s="234" t="s">
        <v>4078</v>
      </c>
    </row>
    <row r="55" spans="1:13" ht="45">
      <c r="A55" s="234" t="str">
        <f t="shared" si="1"/>
        <v>InstructionsA58</v>
      </c>
      <c r="B55" s="234" t="s">
        <v>3501</v>
      </c>
      <c r="C55" s="234" t="s">
        <v>4079</v>
      </c>
      <c r="D55" s="113" t="s">
        <v>4080</v>
      </c>
      <c r="E55" s="113" t="s">
        <v>4081</v>
      </c>
      <c r="F55" s="113" t="s">
        <v>4082</v>
      </c>
      <c r="G55" s="113" t="s">
        <v>4083</v>
      </c>
      <c r="H55" s="113" t="s">
        <v>4084</v>
      </c>
      <c r="I55" s="113" t="s">
        <v>4085</v>
      </c>
      <c r="J55" s="113" t="s">
        <v>4086</v>
      </c>
      <c r="K55" s="113" t="s">
        <v>4087</v>
      </c>
      <c r="L55" s="242" t="s">
        <v>4088</v>
      </c>
      <c r="M55" s="113" t="s">
        <v>4089</v>
      </c>
    </row>
    <row r="56" spans="1:13" ht="45">
      <c r="A56" s="234" t="str">
        <f t="shared" si="1"/>
        <v>InstructionsA59</v>
      </c>
      <c r="B56" s="234" t="s">
        <v>3501</v>
      </c>
      <c r="C56" s="234" t="s">
        <v>4090</v>
      </c>
      <c r="D56" s="113" t="s">
        <v>4091</v>
      </c>
      <c r="E56" s="113" t="s">
        <v>4092</v>
      </c>
      <c r="F56" s="113" t="s">
        <v>4093</v>
      </c>
      <c r="G56" s="113" t="s">
        <v>4094</v>
      </c>
      <c r="H56" s="113" t="s">
        <v>4095</v>
      </c>
      <c r="I56" s="113" t="s">
        <v>4096</v>
      </c>
      <c r="J56" s="113" t="s">
        <v>4097</v>
      </c>
      <c r="K56" s="113" t="s">
        <v>4098</v>
      </c>
      <c r="L56" s="242" t="s">
        <v>4099</v>
      </c>
      <c r="M56" s="113" t="s">
        <v>4100</v>
      </c>
    </row>
    <row r="57" spans="1:13" ht="51">
      <c r="A57" s="234" t="str">
        <f t="shared" si="1"/>
        <v>InstructionsA60</v>
      </c>
      <c r="B57" s="234" t="s">
        <v>3501</v>
      </c>
      <c r="C57" s="234" t="s">
        <v>4101</v>
      </c>
      <c r="D57" s="113" t="s">
        <v>4102</v>
      </c>
      <c r="E57" s="113" t="s">
        <v>4103</v>
      </c>
      <c r="F57" s="113" t="s">
        <v>4104</v>
      </c>
      <c r="G57" s="113" t="s">
        <v>4105</v>
      </c>
      <c r="H57" s="113" t="s">
        <v>4106</v>
      </c>
      <c r="I57" s="113" t="s">
        <v>4107</v>
      </c>
      <c r="J57" s="113" t="s">
        <v>4108</v>
      </c>
      <c r="K57" s="113" t="s">
        <v>4109</v>
      </c>
      <c r="L57" s="242" t="s">
        <v>4110</v>
      </c>
      <c r="M57" s="113" t="s">
        <v>4111</v>
      </c>
    </row>
    <row r="58" spans="1:13" ht="399">
      <c r="A58" s="234" t="str">
        <f t="shared" si="1"/>
        <v>InstructionsA61</v>
      </c>
      <c r="B58" s="234" t="s">
        <v>3501</v>
      </c>
      <c r="C58" s="234" t="s">
        <v>4112</v>
      </c>
      <c r="D58" s="234" t="s">
        <v>4113</v>
      </c>
      <c r="E58" s="234" t="s">
        <v>4114</v>
      </c>
      <c r="F58" s="234" t="s">
        <v>4115</v>
      </c>
      <c r="G58" s="258" t="s">
        <v>4116</v>
      </c>
      <c r="H58" s="234" t="s">
        <v>4117</v>
      </c>
      <c r="I58" s="234" t="s">
        <v>4118</v>
      </c>
      <c r="J58" s="234" t="s">
        <v>4119</v>
      </c>
      <c r="K58" s="239" t="s">
        <v>4120</v>
      </c>
      <c r="L58" s="238" t="s">
        <v>4121</v>
      </c>
      <c r="M58" s="234" t="s">
        <v>4122</v>
      </c>
    </row>
    <row r="59" spans="1:13" ht="99.75">
      <c r="A59" s="234" t="str">
        <f t="shared" si="1"/>
        <v>InstructionsA62</v>
      </c>
      <c r="B59" s="234" t="s">
        <v>3501</v>
      </c>
      <c r="C59" s="234" t="s">
        <v>4123</v>
      </c>
      <c r="D59" s="234" t="s">
        <v>4124</v>
      </c>
      <c r="E59" s="234" t="s">
        <v>4125</v>
      </c>
      <c r="F59" s="234" t="s">
        <v>4126</v>
      </c>
      <c r="G59" s="234" t="s">
        <v>4127</v>
      </c>
      <c r="H59" s="234" t="s">
        <v>4128</v>
      </c>
      <c r="I59" s="234" t="s">
        <v>4129</v>
      </c>
      <c r="J59" s="234" t="s">
        <v>4130</v>
      </c>
      <c r="K59" s="239" t="s">
        <v>4131</v>
      </c>
      <c r="L59" s="238" t="s">
        <v>4132</v>
      </c>
      <c r="M59" s="234" t="s">
        <v>4133</v>
      </c>
    </row>
    <row r="60" spans="1:13" ht="199.5">
      <c r="A60" s="234" t="str">
        <f t="shared" si="1"/>
        <v>InstructionsA63</v>
      </c>
      <c r="B60" s="234" t="s">
        <v>3501</v>
      </c>
      <c r="C60" s="234" t="s">
        <v>4134</v>
      </c>
      <c r="D60" s="234" t="s">
        <v>4135</v>
      </c>
      <c r="E60" s="234" t="s">
        <v>4136</v>
      </c>
      <c r="F60" s="234" t="s">
        <v>4137</v>
      </c>
      <c r="G60" s="234" t="s">
        <v>4138</v>
      </c>
      <c r="H60" s="234" t="s">
        <v>4139</v>
      </c>
      <c r="I60" s="234" t="s">
        <v>4140</v>
      </c>
      <c r="J60" s="234" t="s">
        <v>4141</v>
      </c>
      <c r="K60" s="239" t="s">
        <v>4142</v>
      </c>
      <c r="L60" s="238" t="s">
        <v>4143</v>
      </c>
      <c r="M60" s="234" t="s">
        <v>4144</v>
      </c>
    </row>
    <row r="61" spans="1:13" ht="213.75">
      <c r="A61" s="234" t="str">
        <f t="shared" si="1"/>
        <v>InstructionsA64</v>
      </c>
      <c r="B61" s="234" t="s">
        <v>3501</v>
      </c>
      <c r="C61" s="234" t="s">
        <v>4145</v>
      </c>
      <c r="D61" s="234" t="s">
        <v>4146</v>
      </c>
      <c r="E61" s="234" t="s">
        <v>4147</v>
      </c>
      <c r="F61" s="234" t="s">
        <v>4148</v>
      </c>
      <c r="G61" s="234" t="s">
        <v>4149</v>
      </c>
      <c r="H61" s="234" t="s">
        <v>4150</v>
      </c>
      <c r="I61" s="234" t="s">
        <v>4151</v>
      </c>
      <c r="J61" s="234" t="s">
        <v>4152</v>
      </c>
      <c r="K61" s="239" t="s">
        <v>4153</v>
      </c>
      <c r="L61" s="238" t="s">
        <v>4154</v>
      </c>
      <c r="M61" s="234" t="s">
        <v>4155</v>
      </c>
    </row>
    <row r="62" spans="1:13" ht="128.25">
      <c r="A62" s="234" t="str">
        <f t="shared" si="1"/>
        <v>InstructionsA65</v>
      </c>
      <c r="B62" s="234" t="s">
        <v>3501</v>
      </c>
      <c r="C62" s="234" t="s">
        <v>4156</v>
      </c>
      <c r="D62" s="234" t="s">
        <v>4157</v>
      </c>
      <c r="E62" s="234" t="s">
        <v>4158</v>
      </c>
      <c r="F62" s="248" t="s">
        <v>4159</v>
      </c>
      <c r="G62" s="246" t="s">
        <v>4160</v>
      </c>
      <c r="H62" s="246" t="s">
        <v>4161</v>
      </c>
      <c r="I62" s="246" t="s">
        <v>4162</v>
      </c>
      <c r="J62" s="245" t="s">
        <v>4163</v>
      </c>
      <c r="K62" s="247" t="s">
        <v>4164</v>
      </c>
      <c r="L62" s="245" t="s">
        <v>4165</v>
      </c>
      <c r="M62" s="246" t="s">
        <v>4166</v>
      </c>
    </row>
    <row r="63" spans="1:13" ht="57">
      <c r="A63" s="234" t="str">
        <f t="shared" si="1"/>
        <v>InstructionsA66</v>
      </c>
      <c r="B63" s="234" t="s">
        <v>3501</v>
      </c>
      <c r="C63" s="234" t="s">
        <v>4167</v>
      </c>
      <c r="D63" s="234" t="s">
        <v>4168</v>
      </c>
      <c r="E63" s="234" t="s">
        <v>4169</v>
      </c>
      <c r="F63" s="234" t="s">
        <v>4170</v>
      </c>
      <c r="G63" s="234" t="s">
        <v>4171</v>
      </c>
      <c r="H63" s="234" t="s">
        <v>4172</v>
      </c>
      <c r="I63" s="234" t="s">
        <v>4173</v>
      </c>
      <c r="J63" s="234" t="s">
        <v>4174</v>
      </c>
      <c r="K63" s="239" t="s">
        <v>4175</v>
      </c>
      <c r="L63" s="238" t="s">
        <v>4176</v>
      </c>
      <c r="M63" s="234" t="s">
        <v>4177</v>
      </c>
    </row>
    <row r="64" spans="1:13" ht="213.75">
      <c r="A64" s="234" t="str">
        <f t="shared" si="1"/>
        <v>InstructionsA67</v>
      </c>
      <c r="B64" s="234" t="s">
        <v>3501</v>
      </c>
      <c r="C64" s="234" t="s">
        <v>4178</v>
      </c>
      <c r="D64" s="234" t="s">
        <v>4179</v>
      </c>
      <c r="E64" s="234" t="s">
        <v>4180</v>
      </c>
      <c r="F64" s="234" t="s">
        <v>4181</v>
      </c>
      <c r="G64" s="234" t="s">
        <v>4182</v>
      </c>
      <c r="H64" s="256" t="s">
        <v>4183</v>
      </c>
      <c r="I64" s="234" t="s">
        <v>4184</v>
      </c>
      <c r="J64" s="234" t="s">
        <v>4185</v>
      </c>
      <c r="K64" s="239" t="s">
        <v>4186</v>
      </c>
      <c r="L64" s="238" t="s">
        <v>4187</v>
      </c>
      <c r="M64" s="234" t="s">
        <v>4188</v>
      </c>
    </row>
    <row r="65" spans="1:15" ht="42.75">
      <c r="A65" s="234" t="str">
        <f t="shared" si="1"/>
        <v>InstructionsA68</v>
      </c>
      <c r="B65" s="234" t="s">
        <v>3501</v>
      </c>
      <c r="C65" s="234" t="s">
        <v>4189</v>
      </c>
      <c r="D65" s="234" t="s">
        <v>4190</v>
      </c>
      <c r="E65" s="235" t="s">
        <v>4191</v>
      </c>
      <c r="F65" s="234" t="s">
        <v>4192</v>
      </c>
      <c r="G65" s="234" t="s">
        <v>4193</v>
      </c>
      <c r="H65" s="256" t="s">
        <v>4194</v>
      </c>
      <c r="I65" s="234" t="s">
        <v>4195</v>
      </c>
      <c r="J65" s="234" t="s">
        <v>4196</v>
      </c>
      <c r="K65" s="239" t="s">
        <v>4197</v>
      </c>
      <c r="L65" s="238" t="s">
        <v>4198</v>
      </c>
      <c r="M65" s="234" t="s">
        <v>4199</v>
      </c>
    </row>
    <row r="66" spans="1:15" ht="356.25">
      <c r="A66" s="234" t="str">
        <f t="shared" si="1"/>
        <v>InstructionsA69</v>
      </c>
      <c r="B66" s="234" t="s">
        <v>3501</v>
      </c>
      <c r="C66" s="234" t="s">
        <v>4200</v>
      </c>
      <c r="D66" s="234" t="s">
        <v>4201</v>
      </c>
      <c r="E66" s="240" t="s">
        <v>4202</v>
      </c>
      <c r="F66" s="234" t="s">
        <v>4203</v>
      </c>
      <c r="G66" s="259" t="s">
        <v>4204</v>
      </c>
      <c r="H66" s="256" t="s">
        <v>4205</v>
      </c>
      <c r="I66" s="234" t="s">
        <v>4206</v>
      </c>
      <c r="J66" s="234" t="s">
        <v>4207</v>
      </c>
      <c r="K66" s="239" t="s">
        <v>4208</v>
      </c>
      <c r="L66" s="238" t="s">
        <v>4209</v>
      </c>
      <c r="M66" s="234" t="s">
        <v>4210</v>
      </c>
    </row>
    <row r="67" spans="1:15" ht="185.25">
      <c r="A67" s="234" t="str">
        <f t="shared" si="1"/>
        <v>InstructionsA70</v>
      </c>
      <c r="B67" s="234" t="s">
        <v>3501</v>
      </c>
      <c r="C67" s="234" t="s">
        <v>4211</v>
      </c>
      <c r="D67" s="234" t="s">
        <v>4212</v>
      </c>
      <c r="E67" s="240" t="s">
        <v>4213</v>
      </c>
      <c r="F67" s="234" t="s">
        <v>4214</v>
      </c>
      <c r="G67" s="234" t="s">
        <v>4215</v>
      </c>
      <c r="H67" s="256" t="s">
        <v>4216</v>
      </c>
      <c r="I67" s="234" t="s">
        <v>4217</v>
      </c>
      <c r="J67" s="234" t="s">
        <v>4218</v>
      </c>
      <c r="K67" s="239" t="s">
        <v>4219</v>
      </c>
      <c r="L67" s="238" t="s">
        <v>4220</v>
      </c>
      <c r="M67" s="234" t="s">
        <v>4221</v>
      </c>
    </row>
    <row r="68" spans="1:15" ht="171">
      <c r="A68" s="234" t="str">
        <f t="shared" si="1"/>
        <v>InstructionsA71</v>
      </c>
      <c r="B68" s="234" t="s">
        <v>3501</v>
      </c>
      <c r="C68" s="234" t="s">
        <v>4222</v>
      </c>
      <c r="D68" s="234" t="s">
        <v>4223</v>
      </c>
      <c r="E68" s="240" t="s">
        <v>4224</v>
      </c>
      <c r="F68" s="234" t="s">
        <v>4225</v>
      </c>
      <c r="G68" s="259" t="s">
        <v>4226</v>
      </c>
      <c r="H68" s="256" t="s">
        <v>4227</v>
      </c>
      <c r="I68" s="234" t="s">
        <v>4228</v>
      </c>
      <c r="J68" s="234" t="s">
        <v>4229</v>
      </c>
      <c r="K68" s="239" t="s">
        <v>4230</v>
      </c>
      <c r="L68" s="238" t="s">
        <v>4231</v>
      </c>
      <c r="M68" s="234" t="s">
        <v>4232</v>
      </c>
    </row>
    <row r="69" spans="1:15" ht="342">
      <c r="A69" s="234" t="str">
        <f t="shared" si="1"/>
        <v>InstructionsA72</v>
      </c>
      <c r="B69" s="234" t="s">
        <v>3501</v>
      </c>
      <c r="C69" s="234" t="s">
        <v>4233</v>
      </c>
      <c r="D69" s="234" t="s">
        <v>4234</v>
      </c>
      <c r="E69" s="240" t="s">
        <v>4235</v>
      </c>
      <c r="F69" s="234" t="s">
        <v>4236</v>
      </c>
      <c r="G69" s="234" t="s">
        <v>4237</v>
      </c>
      <c r="H69" s="256" t="s">
        <v>4238</v>
      </c>
      <c r="I69" s="234" t="s">
        <v>4239</v>
      </c>
      <c r="J69" s="234" t="s">
        <v>4240</v>
      </c>
      <c r="K69" s="239" t="s">
        <v>4241</v>
      </c>
      <c r="L69" s="238" t="s">
        <v>4242</v>
      </c>
      <c r="M69" s="234" t="s">
        <v>4243</v>
      </c>
    </row>
    <row r="70" spans="1:15" ht="114">
      <c r="A70" s="234" t="str">
        <f t="shared" si="1"/>
        <v>InstructionsA73</v>
      </c>
      <c r="B70" s="234" t="s">
        <v>3501</v>
      </c>
      <c r="C70" s="234" t="s">
        <v>4244</v>
      </c>
      <c r="D70" s="234" t="s">
        <v>4245</v>
      </c>
      <c r="E70" s="240" t="s">
        <v>4246</v>
      </c>
      <c r="F70" s="234" t="s">
        <v>4247</v>
      </c>
      <c r="G70" s="234" t="s">
        <v>4248</v>
      </c>
      <c r="H70" s="256" t="s">
        <v>4249</v>
      </c>
      <c r="I70" s="234" t="s">
        <v>4250</v>
      </c>
      <c r="J70" s="234" t="s">
        <v>4251</v>
      </c>
      <c r="K70" s="239" t="s">
        <v>4252</v>
      </c>
      <c r="L70" s="238" t="s">
        <v>4253</v>
      </c>
      <c r="M70" s="234" t="s">
        <v>4254</v>
      </c>
    </row>
    <row r="71" spans="1:15" ht="57">
      <c r="A71" s="234" t="str">
        <f t="shared" si="1"/>
        <v>InstructionsA74</v>
      </c>
      <c r="B71" s="234" t="s">
        <v>3501</v>
      </c>
      <c r="C71" s="234" t="s">
        <v>4255</v>
      </c>
      <c r="D71" s="234" t="s">
        <v>4256</v>
      </c>
      <c r="E71" s="237" t="s">
        <v>4257</v>
      </c>
      <c r="F71" s="234" t="s">
        <v>4258</v>
      </c>
      <c r="G71" s="234" t="s">
        <v>4259</v>
      </c>
      <c r="H71" s="256" t="s">
        <v>4260</v>
      </c>
      <c r="I71" s="234" t="s">
        <v>4261</v>
      </c>
      <c r="J71" s="234" t="s">
        <v>4262</v>
      </c>
      <c r="K71" s="239" t="s">
        <v>4263</v>
      </c>
      <c r="L71" s="238" t="s">
        <v>4264</v>
      </c>
      <c r="M71" s="234" t="s">
        <v>4265</v>
      </c>
    </row>
    <row r="72" spans="1:15">
      <c r="A72" s="234" t="str">
        <f t="shared" si="1"/>
        <v>DefinitionsB2</v>
      </c>
      <c r="B72" s="234" t="s">
        <v>4266</v>
      </c>
      <c r="C72" s="234" t="s">
        <v>4267</v>
      </c>
      <c r="D72" s="234" t="s">
        <v>4268</v>
      </c>
      <c r="E72" s="235" t="s">
        <v>4269</v>
      </c>
      <c r="F72" s="234" t="s">
        <v>4270</v>
      </c>
      <c r="G72" s="234" t="s">
        <v>4271</v>
      </c>
      <c r="H72" s="256" t="s">
        <v>4268</v>
      </c>
      <c r="I72" s="234" t="s">
        <v>4272</v>
      </c>
      <c r="J72" s="234" t="s">
        <v>4273</v>
      </c>
      <c r="K72" s="239" t="s">
        <v>4274</v>
      </c>
      <c r="L72" s="238" t="s">
        <v>4275</v>
      </c>
      <c r="M72" s="234" t="s">
        <v>4276</v>
      </c>
    </row>
    <row r="73" spans="1:15" ht="28.5">
      <c r="A73" s="234" t="str">
        <f t="shared" si="1"/>
        <v>DefinitionsB3</v>
      </c>
      <c r="B73" s="234" t="s">
        <v>4266</v>
      </c>
      <c r="C73" s="234" t="s">
        <v>4277</v>
      </c>
      <c r="D73" s="234" t="s">
        <v>4278</v>
      </c>
      <c r="E73" s="237" t="s">
        <v>4279</v>
      </c>
      <c r="F73" s="234" t="s">
        <v>4278</v>
      </c>
      <c r="G73" s="234" t="s">
        <v>4278</v>
      </c>
      <c r="H73" s="256" t="s">
        <v>4278</v>
      </c>
      <c r="I73" s="234" t="s">
        <v>4278</v>
      </c>
      <c r="J73" s="234" t="s">
        <v>4278</v>
      </c>
      <c r="K73" s="239" t="s">
        <v>4278</v>
      </c>
      <c r="L73" s="238" t="s">
        <v>4278</v>
      </c>
      <c r="M73" s="234" t="s">
        <v>4278</v>
      </c>
    </row>
    <row r="74" spans="1:15">
      <c r="A74" s="234" t="str">
        <f t="shared" si="1"/>
        <v>DefinitionsB4</v>
      </c>
      <c r="B74" s="234" t="s">
        <v>4266</v>
      </c>
      <c r="C74" s="234" t="s">
        <v>4280</v>
      </c>
      <c r="D74" s="234" t="s">
        <v>4281</v>
      </c>
      <c r="E74" s="235" t="s">
        <v>4282</v>
      </c>
      <c r="F74" s="234" t="s">
        <v>4283</v>
      </c>
      <c r="G74" s="234" t="s">
        <v>4284</v>
      </c>
      <c r="H74" s="256" t="s">
        <v>4285</v>
      </c>
      <c r="I74" s="234" t="s">
        <v>4286</v>
      </c>
      <c r="J74" s="234" t="s">
        <v>4287</v>
      </c>
      <c r="K74" s="239" t="s">
        <v>4288</v>
      </c>
      <c r="L74" s="238" t="s">
        <v>4289</v>
      </c>
      <c r="M74" s="234" t="s">
        <v>4290</v>
      </c>
    </row>
    <row r="75" spans="1:15" ht="114">
      <c r="A75" s="234" t="str">
        <f t="shared" si="1"/>
        <v>DefinitionsB5</v>
      </c>
      <c r="B75" s="234" t="s">
        <v>4266</v>
      </c>
      <c r="C75" s="234" t="s">
        <v>4291</v>
      </c>
      <c r="D75" s="234" t="s">
        <v>4292</v>
      </c>
      <c r="E75" s="234" t="s">
        <v>4293</v>
      </c>
      <c r="F75" s="234" t="s">
        <v>4294</v>
      </c>
      <c r="G75" s="234" t="s">
        <v>4295</v>
      </c>
      <c r="H75" s="234" t="s">
        <v>4296</v>
      </c>
      <c r="I75" s="234" t="s">
        <v>4297</v>
      </c>
      <c r="J75" s="234" t="s">
        <v>4298</v>
      </c>
      <c r="K75" s="234" t="s">
        <v>4299</v>
      </c>
      <c r="L75" s="234" t="s">
        <v>4300</v>
      </c>
      <c r="M75" s="234" t="s">
        <v>4301</v>
      </c>
      <c r="N75" s="234" t="s">
        <v>4292</v>
      </c>
      <c r="O75" s="234" t="s">
        <v>4292</v>
      </c>
    </row>
    <row r="76" spans="1:15" ht="28.5">
      <c r="A76" s="234" t="str">
        <f t="shared" si="1"/>
        <v>DefinitionsB6</v>
      </c>
      <c r="B76" s="234" t="s">
        <v>4266</v>
      </c>
      <c r="C76" s="234" t="s">
        <v>4302</v>
      </c>
      <c r="D76" s="234" t="s">
        <v>4303</v>
      </c>
      <c r="E76" s="235" t="s">
        <v>4304</v>
      </c>
      <c r="F76" s="234" t="s">
        <v>4305</v>
      </c>
      <c r="G76" s="234" t="s">
        <v>4306</v>
      </c>
      <c r="H76" s="234" t="s">
        <v>4307</v>
      </c>
      <c r="I76" s="234" t="s">
        <v>4308</v>
      </c>
      <c r="J76" s="234" t="s">
        <v>4309</v>
      </c>
      <c r="K76" s="239" t="s">
        <v>4310</v>
      </c>
      <c r="L76" s="238" t="s">
        <v>4311</v>
      </c>
      <c r="M76" s="234" t="s">
        <v>4312</v>
      </c>
      <c r="N76" s="72" t="s">
        <v>4313</v>
      </c>
    </row>
    <row r="77" spans="1:15">
      <c r="A77" s="234" t="str">
        <f t="shared" si="1"/>
        <v>DefinitionsB7</v>
      </c>
      <c r="B77" s="234" t="s">
        <v>4266</v>
      </c>
      <c r="C77" s="234" t="s">
        <v>4314</v>
      </c>
      <c r="D77" s="234" t="s">
        <v>4315</v>
      </c>
      <c r="E77" s="237" t="s">
        <v>4316</v>
      </c>
      <c r="F77" s="234" t="s">
        <v>4317</v>
      </c>
      <c r="G77" s="234" t="s">
        <v>4318</v>
      </c>
      <c r="H77" s="256" t="s">
        <v>4319</v>
      </c>
      <c r="I77" s="234" t="s">
        <v>4320</v>
      </c>
      <c r="J77" s="234" t="s">
        <v>4321</v>
      </c>
      <c r="K77" s="239" t="s">
        <v>4322</v>
      </c>
      <c r="L77" s="238" t="s">
        <v>4323</v>
      </c>
      <c r="M77" s="234" t="s">
        <v>4324</v>
      </c>
      <c r="N77" s="72" t="s">
        <v>4325</v>
      </c>
    </row>
    <row r="78" spans="1:15">
      <c r="A78" s="234" t="str">
        <f t="shared" si="1"/>
        <v>DefinitionsB8</v>
      </c>
      <c r="B78" s="234" t="s">
        <v>4266</v>
      </c>
      <c r="C78" s="234" t="s">
        <v>4326</v>
      </c>
      <c r="D78" s="234" t="s">
        <v>4327</v>
      </c>
      <c r="E78" s="237" t="s">
        <v>4328</v>
      </c>
      <c r="F78" s="234" t="s">
        <v>4329</v>
      </c>
      <c r="G78" s="234" t="s">
        <v>4330</v>
      </c>
      <c r="H78" s="256" t="s">
        <v>4331</v>
      </c>
      <c r="I78" s="234" t="s">
        <v>4332</v>
      </c>
      <c r="J78" s="234" t="s">
        <v>4333</v>
      </c>
      <c r="K78" s="239" t="s">
        <v>4334</v>
      </c>
      <c r="L78" s="238" t="s">
        <v>4335</v>
      </c>
      <c r="M78" s="234" t="s">
        <v>4336</v>
      </c>
      <c r="N78" s="72" t="s">
        <v>4337</v>
      </c>
    </row>
    <row r="79" spans="1:15" ht="42.75">
      <c r="A79" s="234" t="str">
        <f t="shared" si="1"/>
        <v>DefinitionsB9</v>
      </c>
      <c r="B79" s="234" t="s">
        <v>4266</v>
      </c>
      <c r="C79" s="234" t="s">
        <v>4338</v>
      </c>
      <c r="D79" s="234" t="s">
        <v>4339</v>
      </c>
      <c r="E79" s="237" t="s">
        <v>4340</v>
      </c>
      <c r="F79" s="234" t="s">
        <v>4341</v>
      </c>
      <c r="G79" s="234" t="s">
        <v>4339</v>
      </c>
      <c r="H79" s="234" t="s">
        <v>4339</v>
      </c>
      <c r="I79" s="234" t="s">
        <v>4339</v>
      </c>
      <c r="J79" s="234" t="s">
        <v>4339</v>
      </c>
      <c r="K79" s="239" t="s">
        <v>4339</v>
      </c>
      <c r="L79" s="238" t="s">
        <v>4339</v>
      </c>
      <c r="M79" s="234" t="s">
        <v>4339</v>
      </c>
      <c r="N79" s="72" t="s">
        <v>4342</v>
      </c>
    </row>
    <row r="80" spans="1:15">
      <c r="A80" s="234" t="str">
        <f t="shared" si="1"/>
        <v>DefinitionsB10</v>
      </c>
      <c r="B80" s="234" t="s">
        <v>4266</v>
      </c>
      <c r="C80" s="234" t="s">
        <v>4343</v>
      </c>
      <c r="D80" s="234" t="s">
        <v>4344</v>
      </c>
      <c r="E80" s="235" t="s">
        <v>4345</v>
      </c>
      <c r="F80" s="234" t="s">
        <v>4346</v>
      </c>
      <c r="G80" s="234" t="s">
        <v>4347</v>
      </c>
      <c r="H80" s="234" t="s">
        <v>4348</v>
      </c>
      <c r="I80" s="234" t="s">
        <v>4348</v>
      </c>
      <c r="J80" s="234" t="s">
        <v>4349</v>
      </c>
      <c r="K80" s="239" t="s">
        <v>4344</v>
      </c>
      <c r="L80" s="238" t="s">
        <v>4348</v>
      </c>
      <c r="M80" s="234" t="s">
        <v>4350</v>
      </c>
      <c r="N80" s="72" t="s">
        <v>4351</v>
      </c>
    </row>
    <row r="81" spans="1:14" ht="28.5">
      <c r="A81" s="234" t="str">
        <f t="shared" ref="A81:A112" si="2">B81&amp;C81</f>
        <v>DefinitionsB11</v>
      </c>
      <c r="B81" s="234" t="s">
        <v>4266</v>
      </c>
      <c r="C81" s="234" t="s">
        <v>4352</v>
      </c>
      <c r="D81" s="234" t="s">
        <v>4353</v>
      </c>
      <c r="E81" s="237" t="s">
        <v>4354</v>
      </c>
      <c r="F81" s="234" t="s">
        <v>4355</v>
      </c>
      <c r="G81" s="234" t="s">
        <v>4356</v>
      </c>
      <c r="H81" s="234" t="s">
        <v>4357</v>
      </c>
      <c r="I81" s="234" t="s">
        <v>4358</v>
      </c>
      <c r="J81" s="234" t="s">
        <v>4359</v>
      </c>
      <c r="K81" s="239" t="s">
        <v>4360</v>
      </c>
      <c r="L81" s="238" t="s">
        <v>4361</v>
      </c>
      <c r="M81" s="234" t="s">
        <v>4362</v>
      </c>
      <c r="N81" s="72" t="s">
        <v>4363</v>
      </c>
    </row>
    <row r="82" spans="1:14">
      <c r="A82" s="234" t="str">
        <f t="shared" si="2"/>
        <v>DefinitionsB12</v>
      </c>
      <c r="B82" s="234" t="s">
        <v>4266</v>
      </c>
      <c r="C82" s="234" t="s">
        <v>4364</v>
      </c>
      <c r="D82" s="234" t="s">
        <v>4365</v>
      </c>
      <c r="E82" s="237" t="s">
        <v>4366</v>
      </c>
      <c r="F82" s="234" t="s">
        <v>4367</v>
      </c>
      <c r="G82" s="234" t="s">
        <v>4368</v>
      </c>
      <c r="H82" s="234" t="s">
        <v>4369</v>
      </c>
      <c r="I82" s="234" t="s">
        <v>4370</v>
      </c>
      <c r="J82" s="234" t="s">
        <v>4371</v>
      </c>
      <c r="K82" s="239" t="s">
        <v>4372</v>
      </c>
      <c r="L82" s="238" t="s">
        <v>4373</v>
      </c>
      <c r="M82" s="234" t="s">
        <v>4374</v>
      </c>
      <c r="N82" s="72" t="s">
        <v>4375</v>
      </c>
    </row>
    <row r="83" spans="1:14" ht="28.5">
      <c r="A83" s="234" t="str">
        <f t="shared" si="2"/>
        <v>DefinitionsB13</v>
      </c>
      <c r="B83" s="234" t="s">
        <v>4266</v>
      </c>
      <c r="C83" s="234" t="s">
        <v>4376</v>
      </c>
      <c r="D83" s="234" t="s">
        <v>4377</v>
      </c>
      <c r="E83" s="237" t="s">
        <v>4378</v>
      </c>
      <c r="F83" s="234" t="s">
        <v>4379</v>
      </c>
      <c r="G83" s="234" t="s">
        <v>4380</v>
      </c>
      <c r="H83" s="234" t="s">
        <v>4381</v>
      </c>
      <c r="I83" s="234" t="s">
        <v>4382</v>
      </c>
      <c r="J83" s="234" t="s">
        <v>4383</v>
      </c>
      <c r="K83" s="239" t="s">
        <v>4384</v>
      </c>
      <c r="L83" s="238" t="s">
        <v>4385</v>
      </c>
      <c r="M83" s="234" t="s">
        <v>4386</v>
      </c>
      <c r="N83" s="72" t="s">
        <v>4387</v>
      </c>
    </row>
    <row r="84" spans="1:14">
      <c r="A84" s="234" t="str">
        <f t="shared" si="2"/>
        <v>DefinitionsB14</v>
      </c>
      <c r="B84" s="234" t="s">
        <v>4266</v>
      </c>
      <c r="C84" s="234" t="s">
        <v>4388</v>
      </c>
      <c r="D84" s="234" t="s">
        <v>4389</v>
      </c>
      <c r="E84" s="237" t="s">
        <v>4390</v>
      </c>
      <c r="F84" s="234" t="s">
        <v>4391</v>
      </c>
      <c r="G84" s="234" t="s">
        <v>4392</v>
      </c>
      <c r="H84" s="234" t="s">
        <v>4393</v>
      </c>
      <c r="I84" s="234" t="s">
        <v>4394</v>
      </c>
      <c r="J84" s="234" t="s">
        <v>4395</v>
      </c>
      <c r="K84" s="239" t="s">
        <v>4396</v>
      </c>
      <c r="L84" s="238" t="s">
        <v>4397</v>
      </c>
      <c r="M84" s="234" t="s">
        <v>4398</v>
      </c>
      <c r="N84" s="72" t="s">
        <v>4399</v>
      </c>
    </row>
    <row r="85" spans="1:14">
      <c r="A85" s="234" t="str">
        <f t="shared" si="2"/>
        <v>DefinitionsB15</v>
      </c>
      <c r="B85" s="234" t="s">
        <v>4266</v>
      </c>
      <c r="C85" s="234" t="s">
        <v>4400</v>
      </c>
      <c r="D85" s="234" t="s">
        <v>4401</v>
      </c>
      <c r="E85" s="237" t="s">
        <v>4401</v>
      </c>
      <c r="F85" s="234" t="s">
        <v>4401</v>
      </c>
      <c r="G85" s="234" t="s">
        <v>4401</v>
      </c>
      <c r="H85" s="234" t="s">
        <v>4401</v>
      </c>
      <c r="I85" s="234" t="s">
        <v>4401</v>
      </c>
      <c r="J85" s="234" t="s">
        <v>4401</v>
      </c>
      <c r="K85" s="239" t="s">
        <v>4401</v>
      </c>
      <c r="L85" s="238" t="s">
        <v>4401</v>
      </c>
      <c r="M85" s="234" t="s">
        <v>4401</v>
      </c>
      <c r="N85" s="72" t="s">
        <v>4402</v>
      </c>
    </row>
    <row r="86" spans="1:14" ht="28.5">
      <c r="A86" s="234" t="str">
        <f t="shared" si="2"/>
        <v>DefinitionsB16</v>
      </c>
      <c r="B86" s="234" t="s">
        <v>4266</v>
      </c>
      <c r="C86" s="234" t="s">
        <v>4403</v>
      </c>
      <c r="D86" s="234" t="s">
        <v>4404</v>
      </c>
      <c r="E86" s="237" t="s">
        <v>4405</v>
      </c>
      <c r="F86" s="234" t="s">
        <v>4406</v>
      </c>
      <c r="G86" s="234" t="s">
        <v>4407</v>
      </c>
      <c r="H86" s="234" t="s">
        <v>4408</v>
      </c>
      <c r="I86" s="234" t="s">
        <v>4409</v>
      </c>
      <c r="J86" s="234" t="s">
        <v>4410</v>
      </c>
      <c r="K86" s="239" t="s">
        <v>4411</v>
      </c>
      <c r="L86" s="238" t="s">
        <v>4412</v>
      </c>
      <c r="M86" s="234" t="s">
        <v>4413</v>
      </c>
      <c r="N86" s="72" t="s">
        <v>4414</v>
      </c>
    </row>
    <row r="87" spans="1:14">
      <c r="A87" s="234" t="str">
        <f t="shared" si="2"/>
        <v>DefinitionsB17</v>
      </c>
      <c r="B87" s="234" t="s">
        <v>4266</v>
      </c>
      <c r="C87" s="234" t="s">
        <v>4415</v>
      </c>
      <c r="D87" s="234" t="s">
        <v>4416</v>
      </c>
      <c r="E87" s="237" t="s">
        <v>4417</v>
      </c>
      <c r="F87" s="234" t="s">
        <v>4418</v>
      </c>
      <c r="G87" s="234" t="s">
        <v>4419</v>
      </c>
      <c r="H87" s="234" t="s">
        <v>4420</v>
      </c>
      <c r="I87" s="234" t="s">
        <v>4421</v>
      </c>
      <c r="J87" s="234" t="s">
        <v>4422</v>
      </c>
      <c r="K87" s="239" t="s">
        <v>4423</v>
      </c>
      <c r="L87" s="238" t="s">
        <v>4424</v>
      </c>
      <c r="M87" s="234" t="s">
        <v>4425</v>
      </c>
      <c r="N87" s="72" t="s">
        <v>4426</v>
      </c>
    </row>
    <row r="88" spans="1:14">
      <c r="A88" s="234" t="str">
        <f t="shared" si="2"/>
        <v>DefinitionsB18</v>
      </c>
      <c r="B88" s="234" t="s">
        <v>4266</v>
      </c>
      <c r="C88" s="234" t="s">
        <v>4427</v>
      </c>
      <c r="D88" s="234" t="s">
        <v>4428</v>
      </c>
      <c r="E88" s="237" t="s">
        <v>4429</v>
      </c>
      <c r="F88" s="234" t="s">
        <v>4430</v>
      </c>
      <c r="G88" s="234" t="s">
        <v>4431</v>
      </c>
      <c r="H88" s="234" t="s">
        <v>4432</v>
      </c>
      <c r="I88" s="234" t="s">
        <v>4433</v>
      </c>
      <c r="J88" s="234" t="s">
        <v>4434</v>
      </c>
      <c r="K88" s="239" t="s">
        <v>4435</v>
      </c>
      <c r="L88" s="238" t="s">
        <v>4436</v>
      </c>
      <c r="M88" s="234" t="s">
        <v>4437</v>
      </c>
      <c r="N88" s="72" t="s">
        <v>4438</v>
      </c>
    </row>
    <row r="89" spans="1:14" ht="28.5">
      <c r="A89" s="234" t="str">
        <f t="shared" si="2"/>
        <v>DefinitionsB19</v>
      </c>
      <c r="B89" s="234" t="s">
        <v>4266</v>
      </c>
      <c r="C89" s="234" t="s">
        <v>4439</v>
      </c>
      <c r="D89" s="234" t="s">
        <v>4440</v>
      </c>
      <c r="E89" s="237" t="s">
        <v>4441</v>
      </c>
      <c r="F89" s="234" t="s">
        <v>4442</v>
      </c>
      <c r="G89" s="234" t="s">
        <v>4440</v>
      </c>
      <c r="H89" s="234" t="s">
        <v>4443</v>
      </c>
      <c r="I89" s="234" t="s">
        <v>4443</v>
      </c>
      <c r="J89" s="234" t="s">
        <v>4440</v>
      </c>
      <c r="K89" s="239" t="s">
        <v>4440</v>
      </c>
      <c r="L89" s="238" t="s">
        <v>4440</v>
      </c>
      <c r="M89" s="234" t="s">
        <v>4440</v>
      </c>
      <c r="N89" s="72" t="s">
        <v>4444</v>
      </c>
    </row>
    <row r="90" spans="1:14">
      <c r="A90" s="234" t="str">
        <f t="shared" si="2"/>
        <v>DefinitionsB20</v>
      </c>
      <c r="B90" s="234" t="s">
        <v>4266</v>
      </c>
      <c r="C90" s="234" t="s">
        <v>4445</v>
      </c>
      <c r="D90" s="234" t="s">
        <v>4446</v>
      </c>
      <c r="E90" s="237" t="s">
        <v>4447</v>
      </c>
      <c r="F90" s="234" t="s">
        <v>4448</v>
      </c>
      <c r="G90" s="234" t="s">
        <v>4449</v>
      </c>
      <c r="H90" s="234" t="s">
        <v>4450</v>
      </c>
      <c r="I90" s="234" t="s">
        <v>4451</v>
      </c>
      <c r="J90" s="234" t="s">
        <v>4452</v>
      </c>
      <c r="K90" s="239" t="s">
        <v>4453</v>
      </c>
      <c r="L90" s="238" t="s">
        <v>4454</v>
      </c>
      <c r="M90" s="234" t="s">
        <v>4455</v>
      </c>
      <c r="N90" s="72" t="s">
        <v>4456</v>
      </c>
    </row>
    <row r="91" spans="1:14">
      <c r="A91" s="234" t="str">
        <f t="shared" si="2"/>
        <v>DefinitionsB21</v>
      </c>
      <c r="B91" s="234" t="s">
        <v>4266</v>
      </c>
      <c r="C91" s="234" t="s">
        <v>4457</v>
      </c>
      <c r="D91" s="234" t="s">
        <v>4458</v>
      </c>
      <c r="E91" s="235" t="s">
        <v>4459</v>
      </c>
      <c r="F91" s="234" t="s">
        <v>4458</v>
      </c>
      <c r="G91" s="234" t="s">
        <v>4458</v>
      </c>
      <c r="H91" s="234" t="s">
        <v>4458</v>
      </c>
      <c r="I91" s="234" t="s">
        <v>4458</v>
      </c>
      <c r="J91" s="234" t="s">
        <v>4458</v>
      </c>
      <c r="K91" s="239" t="s">
        <v>4458</v>
      </c>
      <c r="L91" s="238" t="s">
        <v>4458</v>
      </c>
      <c r="M91" s="234" t="s">
        <v>4458</v>
      </c>
      <c r="N91" s="72" t="s">
        <v>4460</v>
      </c>
    </row>
    <row r="92" spans="1:14" ht="28.5">
      <c r="A92" s="234" t="str">
        <f t="shared" si="2"/>
        <v>DefinitionsB22</v>
      </c>
      <c r="B92" s="234" t="s">
        <v>4266</v>
      </c>
      <c r="C92" s="234" t="s">
        <v>4461</v>
      </c>
      <c r="D92" s="234" t="s">
        <v>4462</v>
      </c>
      <c r="E92" s="237" t="s">
        <v>4463</v>
      </c>
      <c r="F92" s="234" t="s">
        <v>4464</v>
      </c>
      <c r="G92" s="234" t="s">
        <v>4465</v>
      </c>
      <c r="H92" s="234" t="s">
        <v>4466</v>
      </c>
      <c r="I92" s="234" t="s">
        <v>4467</v>
      </c>
      <c r="J92" s="234" t="s">
        <v>4468</v>
      </c>
      <c r="K92" s="239" t="s">
        <v>4469</v>
      </c>
      <c r="L92" s="238" t="s">
        <v>4470</v>
      </c>
      <c r="M92" s="234" t="s">
        <v>4471</v>
      </c>
      <c r="N92" s="72" t="s">
        <v>4472</v>
      </c>
    </row>
    <row r="93" spans="1:14" ht="28.5">
      <c r="A93" s="234" t="str">
        <f t="shared" si="2"/>
        <v>DefinitionsB23</v>
      </c>
      <c r="B93" s="234" t="s">
        <v>4266</v>
      </c>
      <c r="C93" s="234" t="s">
        <v>4473</v>
      </c>
      <c r="D93" s="234" t="s">
        <v>4474</v>
      </c>
      <c r="E93" s="237" t="s">
        <v>4475</v>
      </c>
      <c r="F93" s="234" t="s">
        <v>4476</v>
      </c>
      <c r="G93" s="234" t="s">
        <v>4477</v>
      </c>
      <c r="H93" s="234" t="s">
        <v>4478</v>
      </c>
      <c r="I93" s="234" t="s">
        <v>4479</v>
      </c>
      <c r="J93" s="234" t="s">
        <v>4474</v>
      </c>
      <c r="K93" s="239" t="s">
        <v>4480</v>
      </c>
      <c r="L93" s="257" t="s">
        <v>4474</v>
      </c>
      <c r="M93" s="234" t="s">
        <v>4481</v>
      </c>
      <c r="N93" s="72" t="s">
        <v>4482</v>
      </c>
    </row>
    <row r="94" spans="1:14" ht="28.5">
      <c r="A94" s="234" t="str">
        <f t="shared" si="2"/>
        <v>DefinitionsB24</v>
      </c>
      <c r="B94" s="234" t="s">
        <v>4266</v>
      </c>
      <c r="C94" s="234" t="s">
        <v>4483</v>
      </c>
      <c r="D94" s="234" t="s">
        <v>4484</v>
      </c>
      <c r="E94" s="237" t="s">
        <v>4485</v>
      </c>
      <c r="F94" s="234" t="s">
        <v>4486</v>
      </c>
      <c r="G94" s="234" t="s">
        <v>4487</v>
      </c>
      <c r="H94" s="234" t="s">
        <v>4488</v>
      </c>
      <c r="I94" s="234" t="s">
        <v>4484</v>
      </c>
      <c r="J94" s="234" t="s">
        <v>4484</v>
      </c>
      <c r="K94" s="239" t="s">
        <v>4489</v>
      </c>
      <c r="L94" s="238" t="s">
        <v>4490</v>
      </c>
      <c r="M94" s="234" t="s">
        <v>4491</v>
      </c>
      <c r="N94" s="72" t="s">
        <v>4492</v>
      </c>
    </row>
    <row r="95" spans="1:14" ht="101.65" customHeight="1">
      <c r="A95" s="234" t="str">
        <f t="shared" si="2"/>
        <v>DefinitionsB25</v>
      </c>
      <c r="B95" s="234" t="s">
        <v>4266</v>
      </c>
      <c r="C95" s="234" t="s">
        <v>4493</v>
      </c>
      <c r="D95" s="234" t="s">
        <v>4494</v>
      </c>
      <c r="E95" s="237" t="s">
        <v>4495</v>
      </c>
      <c r="F95" s="234" t="s">
        <v>4496</v>
      </c>
      <c r="G95" s="234" t="s">
        <v>4497</v>
      </c>
      <c r="H95" s="256" t="s">
        <v>4498</v>
      </c>
      <c r="I95" s="234" t="s">
        <v>4499</v>
      </c>
      <c r="J95" s="234" t="s">
        <v>4500</v>
      </c>
      <c r="K95" s="239" t="s">
        <v>4501</v>
      </c>
      <c r="L95" s="238" t="s">
        <v>4502</v>
      </c>
      <c r="M95" s="234" t="s">
        <v>4503</v>
      </c>
      <c r="N95" s="113" t="s">
        <v>4504</v>
      </c>
    </row>
    <row r="96" spans="1:14">
      <c r="A96" s="234" t="str">
        <f t="shared" si="2"/>
        <v>DefinitionsB26</v>
      </c>
      <c r="B96" s="234" t="s">
        <v>4266</v>
      </c>
      <c r="C96" s="234" t="s">
        <v>4505</v>
      </c>
      <c r="D96" s="234" t="s">
        <v>4506</v>
      </c>
      <c r="E96" s="237" t="s">
        <v>4507</v>
      </c>
      <c r="F96" s="234" t="s">
        <v>4508</v>
      </c>
      <c r="G96" s="234" t="s">
        <v>4509</v>
      </c>
      <c r="H96" s="234" t="s">
        <v>4506</v>
      </c>
      <c r="I96" s="234" t="s">
        <v>4506</v>
      </c>
      <c r="J96" s="234" t="s">
        <v>4506</v>
      </c>
      <c r="K96" s="239" t="s">
        <v>4506</v>
      </c>
      <c r="L96" s="238" t="s">
        <v>4506</v>
      </c>
      <c r="M96" s="234" t="s">
        <v>4506</v>
      </c>
      <c r="N96" s="72" t="s">
        <v>4510</v>
      </c>
    </row>
    <row r="97" spans="1:14" ht="28.5">
      <c r="A97" s="234" t="str">
        <f t="shared" si="2"/>
        <v>DefinitionsB27</v>
      </c>
      <c r="B97" s="234" t="s">
        <v>4266</v>
      </c>
      <c r="C97" s="234" t="s">
        <v>4511</v>
      </c>
      <c r="D97" s="234" t="s">
        <v>4512</v>
      </c>
      <c r="E97" s="237" t="s">
        <v>4513</v>
      </c>
      <c r="F97" s="234" t="s">
        <v>4514</v>
      </c>
      <c r="G97" s="234" t="s">
        <v>4515</v>
      </c>
      <c r="H97" s="234" t="s">
        <v>4516</v>
      </c>
      <c r="I97" s="234" t="s">
        <v>4517</v>
      </c>
      <c r="J97" s="234" t="s">
        <v>4518</v>
      </c>
      <c r="K97" s="239" t="s">
        <v>4519</v>
      </c>
      <c r="L97" s="238" t="s">
        <v>4520</v>
      </c>
      <c r="M97" s="234" t="s">
        <v>4521</v>
      </c>
      <c r="N97" s="72" t="s">
        <v>4522</v>
      </c>
    </row>
    <row r="98" spans="1:14">
      <c r="A98" s="234" t="str">
        <f t="shared" si="2"/>
        <v>DefinitionsB28</v>
      </c>
      <c r="B98" s="234" t="s">
        <v>4266</v>
      </c>
      <c r="C98" s="234" t="s">
        <v>4523</v>
      </c>
      <c r="D98" s="234" t="s">
        <v>4524</v>
      </c>
      <c r="E98" s="237" t="s">
        <v>4525</v>
      </c>
      <c r="F98" s="234" t="s">
        <v>4526</v>
      </c>
      <c r="G98" s="234" t="s">
        <v>4527</v>
      </c>
      <c r="H98" s="234" t="s">
        <v>4528</v>
      </c>
      <c r="I98" s="234" t="s">
        <v>4529</v>
      </c>
      <c r="J98" s="234" t="s">
        <v>4530</v>
      </c>
      <c r="K98" s="239" t="s">
        <v>4531</v>
      </c>
      <c r="L98" s="238" t="s">
        <v>4532</v>
      </c>
      <c r="M98" s="234" t="s">
        <v>4533</v>
      </c>
      <c r="N98" s="72" t="s">
        <v>4534</v>
      </c>
    </row>
    <row r="99" spans="1:14" ht="28.5">
      <c r="A99" s="234" t="str">
        <f t="shared" si="2"/>
        <v>DefinitionsB29</v>
      </c>
      <c r="B99" s="234" t="s">
        <v>4266</v>
      </c>
      <c r="C99" s="234" t="s">
        <v>4535</v>
      </c>
      <c r="D99" s="234" t="s">
        <v>4536</v>
      </c>
      <c r="E99" s="237" t="s">
        <v>4537</v>
      </c>
      <c r="F99" s="234" t="s">
        <v>4538</v>
      </c>
      <c r="G99" s="234" t="s">
        <v>4539</v>
      </c>
      <c r="H99" s="234" t="s">
        <v>4540</v>
      </c>
      <c r="I99" s="234" t="s">
        <v>4541</v>
      </c>
      <c r="J99" s="234" t="s">
        <v>4542</v>
      </c>
      <c r="K99" s="239" t="s">
        <v>4543</v>
      </c>
      <c r="L99" s="238" t="s">
        <v>4544</v>
      </c>
      <c r="M99" s="234" t="s">
        <v>4545</v>
      </c>
      <c r="N99" s="72" t="s">
        <v>4546</v>
      </c>
    </row>
    <row r="100" spans="1:14" ht="28.5">
      <c r="A100" s="234" t="str">
        <f t="shared" si="2"/>
        <v>DefinitionsB30</v>
      </c>
      <c r="B100" s="234" t="s">
        <v>4266</v>
      </c>
      <c r="C100" s="234" t="s">
        <v>4547</v>
      </c>
      <c r="D100" s="234" t="s">
        <v>4548</v>
      </c>
      <c r="E100" s="237" t="s">
        <v>4549</v>
      </c>
      <c r="F100" s="234" t="s">
        <v>4550</v>
      </c>
      <c r="G100" s="234" t="s">
        <v>4551</v>
      </c>
      <c r="H100" s="234" t="s">
        <v>4552</v>
      </c>
      <c r="I100" s="234" t="s">
        <v>4553</v>
      </c>
      <c r="J100" s="234" t="s">
        <v>4554</v>
      </c>
      <c r="K100" s="239" t="s">
        <v>4555</v>
      </c>
      <c r="L100" s="238" t="s">
        <v>4556</v>
      </c>
      <c r="M100" s="234" t="s">
        <v>4557</v>
      </c>
      <c r="N100" s="72" t="s">
        <v>4558</v>
      </c>
    </row>
    <row r="101" spans="1:14" ht="28.5">
      <c r="A101" s="234" t="str">
        <f t="shared" si="2"/>
        <v>DefinitionsB31</v>
      </c>
      <c r="B101" s="234" t="s">
        <v>4266</v>
      </c>
      <c r="C101" s="234" t="s">
        <v>4559</v>
      </c>
      <c r="D101" s="234" t="s">
        <v>4560</v>
      </c>
      <c r="E101" s="237" t="s">
        <v>4561</v>
      </c>
      <c r="F101" s="234" t="s">
        <v>4562</v>
      </c>
      <c r="G101" s="234" t="s">
        <v>4563</v>
      </c>
      <c r="H101" s="234" t="s">
        <v>4564</v>
      </c>
      <c r="I101" s="234" t="s">
        <v>4565</v>
      </c>
      <c r="J101" s="234" t="s">
        <v>4566</v>
      </c>
      <c r="K101" s="239" t="s">
        <v>4567</v>
      </c>
      <c r="L101" s="238" t="s">
        <v>4568</v>
      </c>
      <c r="M101" s="234" t="s">
        <v>4569</v>
      </c>
    </row>
    <row r="102" spans="1:14">
      <c r="A102" s="234" t="str">
        <f t="shared" si="2"/>
        <v>DefinitionsC2</v>
      </c>
      <c r="B102" s="234" t="s">
        <v>4266</v>
      </c>
      <c r="C102" s="234" t="s">
        <v>4570</v>
      </c>
      <c r="D102" s="234" t="s">
        <v>4571</v>
      </c>
      <c r="E102" s="235" t="s">
        <v>4572</v>
      </c>
      <c r="F102" s="234" t="s">
        <v>4573</v>
      </c>
      <c r="G102" s="234" t="s">
        <v>4574</v>
      </c>
      <c r="H102" s="234" t="s">
        <v>4571</v>
      </c>
      <c r="I102" s="234" t="s">
        <v>4575</v>
      </c>
      <c r="J102" s="234" t="s">
        <v>4576</v>
      </c>
      <c r="K102" s="239" t="s">
        <v>4577</v>
      </c>
      <c r="L102" s="238" t="s">
        <v>4578</v>
      </c>
      <c r="M102" s="234" t="s">
        <v>4579</v>
      </c>
    </row>
    <row r="103" spans="1:14">
      <c r="A103" s="234" t="str">
        <f t="shared" si="2"/>
        <v>DefinitionsC3</v>
      </c>
      <c r="B103" s="234" t="s">
        <v>4266</v>
      </c>
      <c r="C103" s="234" t="s">
        <v>4580</v>
      </c>
      <c r="D103" s="234" t="s">
        <v>4581</v>
      </c>
      <c r="E103" s="237" t="s">
        <v>4582</v>
      </c>
      <c r="F103" s="234" t="s">
        <v>4583</v>
      </c>
      <c r="G103" s="234" t="s">
        <v>4584</v>
      </c>
      <c r="H103" s="234" t="s">
        <v>4585</v>
      </c>
      <c r="I103" s="234" t="s">
        <v>4586</v>
      </c>
      <c r="J103" s="234" t="s">
        <v>4587</v>
      </c>
      <c r="K103" s="239" t="s">
        <v>4588</v>
      </c>
      <c r="L103" s="238" t="s">
        <v>4589</v>
      </c>
      <c r="M103" s="234" t="s">
        <v>4590</v>
      </c>
    </row>
    <row r="104" spans="1:14" ht="85.5">
      <c r="A104" s="234" t="str">
        <f t="shared" si="2"/>
        <v>DefinitionsC4</v>
      </c>
      <c r="B104" s="234" t="s">
        <v>4266</v>
      </c>
      <c r="C104" s="234" t="s">
        <v>4591</v>
      </c>
      <c r="D104" s="234" t="s">
        <v>4592</v>
      </c>
      <c r="E104" s="237" t="s">
        <v>4593</v>
      </c>
      <c r="F104" s="234" t="s">
        <v>4594</v>
      </c>
      <c r="G104" s="234" t="s">
        <v>4595</v>
      </c>
      <c r="H104" s="234" t="s">
        <v>4596</v>
      </c>
      <c r="I104" s="234" t="s">
        <v>4597</v>
      </c>
      <c r="J104" s="234" t="s">
        <v>4598</v>
      </c>
      <c r="K104" s="239" t="s">
        <v>4599</v>
      </c>
      <c r="L104" s="238" t="s">
        <v>4600</v>
      </c>
      <c r="M104" s="234" t="s">
        <v>4601</v>
      </c>
    </row>
    <row r="105" spans="1:14" ht="82.5" customHeight="1">
      <c r="A105" s="234" t="str">
        <f t="shared" si="2"/>
        <v>DefinitionsC5</v>
      </c>
      <c r="B105" s="234" t="s">
        <v>4266</v>
      </c>
      <c r="C105" s="234" t="s">
        <v>4602</v>
      </c>
      <c r="D105" s="243" t="s">
        <v>4603</v>
      </c>
      <c r="E105" s="237" t="s">
        <v>4604</v>
      </c>
      <c r="F105" s="234" t="s">
        <v>4605</v>
      </c>
      <c r="G105" s="234" t="s">
        <v>4606</v>
      </c>
      <c r="H105" s="234" t="s">
        <v>4607</v>
      </c>
      <c r="I105" s="234" t="s">
        <v>4608</v>
      </c>
      <c r="J105" s="234" t="s">
        <v>4609</v>
      </c>
      <c r="K105" s="239" t="s">
        <v>4610</v>
      </c>
      <c r="L105" s="238" t="s">
        <v>4611</v>
      </c>
      <c r="M105" s="234" t="s">
        <v>4612</v>
      </c>
    </row>
    <row r="106" spans="1:14" ht="191.25">
      <c r="A106" s="234" t="str">
        <f t="shared" si="2"/>
        <v>DefinitionsC6</v>
      </c>
      <c r="B106" s="234" t="s">
        <v>4266</v>
      </c>
      <c r="C106" s="234" t="s">
        <v>4613</v>
      </c>
      <c r="D106" s="113" t="s">
        <v>4614</v>
      </c>
      <c r="E106" s="241" t="s">
        <v>4615</v>
      </c>
      <c r="F106" s="113" t="s">
        <v>4616</v>
      </c>
      <c r="G106" s="113" t="s">
        <v>4617</v>
      </c>
      <c r="H106" s="113" t="s">
        <v>4618</v>
      </c>
      <c r="I106" s="113" t="s">
        <v>4619</v>
      </c>
      <c r="J106" s="113" t="s">
        <v>4620</v>
      </c>
      <c r="K106" s="113" t="s">
        <v>4621</v>
      </c>
      <c r="L106" s="242" t="s">
        <v>4622</v>
      </c>
      <c r="M106" s="113" t="s">
        <v>4623</v>
      </c>
    </row>
    <row r="107" spans="1:14" ht="156.75">
      <c r="A107" s="234" t="str">
        <f t="shared" si="2"/>
        <v>DefinitionsC7</v>
      </c>
      <c r="B107" s="234" t="s">
        <v>4266</v>
      </c>
      <c r="C107" s="234" t="s">
        <v>4624</v>
      </c>
      <c r="D107" s="234" t="s">
        <v>4625</v>
      </c>
      <c r="E107" s="237" t="s">
        <v>4626</v>
      </c>
      <c r="F107" s="234" t="s">
        <v>4627</v>
      </c>
      <c r="G107" s="234" t="s">
        <v>4628</v>
      </c>
      <c r="H107" s="234" t="s">
        <v>4629</v>
      </c>
      <c r="I107" s="234" t="s">
        <v>4630</v>
      </c>
      <c r="J107" s="234" t="s">
        <v>4631</v>
      </c>
      <c r="K107" s="239" t="s">
        <v>4632</v>
      </c>
      <c r="L107" s="238" t="s">
        <v>4633</v>
      </c>
      <c r="M107" s="234" t="s">
        <v>4325</v>
      </c>
    </row>
    <row r="108" spans="1:14" ht="185.25">
      <c r="A108" s="234" t="str">
        <f t="shared" si="2"/>
        <v>DefinitionsC8</v>
      </c>
      <c r="B108" s="234" t="s">
        <v>4266</v>
      </c>
      <c r="C108" s="234" t="s">
        <v>4634</v>
      </c>
      <c r="D108" s="234" t="s">
        <v>4635</v>
      </c>
      <c r="E108" s="237" t="s">
        <v>4636</v>
      </c>
      <c r="F108" s="234" t="s">
        <v>4637</v>
      </c>
      <c r="G108" s="234" t="s">
        <v>4638</v>
      </c>
      <c r="H108" s="256" t="s">
        <v>4639</v>
      </c>
      <c r="I108" s="234" t="s">
        <v>4640</v>
      </c>
      <c r="J108" s="234" t="s">
        <v>4641</v>
      </c>
      <c r="K108" s="239" t="s">
        <v>4642</v>
      </c>
      <c r="L108" s="238" t="s">
        <v>4643</v>
      </c>
      <c r="M108" s="234" t="s">
        <v>4337</v>
      </c>
    </row>
    <row r="109" spans="1:14" ht="85.5">
      <c r="A109" s="234" t="str">
        <f t="shared" si="2"/>
        <v>DefinitionsC9</v>
      </c>
      <c r="B109" s="234" t="s">
        <v>4266</v>
      </c>
      <c r="C109" s="234" t="s">
        <v>4644</v>
      </c>
      <c r="D109" s="234" t="s">
        <v>4645</v>
      </c>
      <c r="E109" s="237" t="s">
        <v>4646</v>
      </c>
      <c r="F109" s="234" t="s">
        <v>4647</v>
      </c>
      <c r="G109" s="234" t="s">
        <v>4648</v>
      </c>
      <c r="H109" s="234" t="s">
        <v>4649</v>
      </c>
      <c r="I109" s="234" t="s">
        <v>4650</v>
      </c>
      <c r="J109" s="234" t="s">
        <v>4651</v>
      </c>
      <c r="K109" s="239" t="s">
        <v>4652</v>
      </c>
      <c r="L109" s="238" t="s">
        <v>4653</v>
      </c>
      <c r="M109" s="234" t="s">
        <v>4342</v>
      </c>
    </row>
    <row r="110" spans="1:14">
      <c r="A110" s="234" t="str">
        <f t="shared" si="2"/>
        <v>DefinitionsC10</v>
      </c>
      <c r="B110" s="234" t="s">
        <v>4266</v>
      </c>
      <c r="C110" s="234" t="s">
        <v>4654</v>
      </c>
      <c r="D110" s="234" t="s">
        <v>4655</v>
      </c>
      <c r="E110" s="237" t="s">
        <v>4345</v>
      </c>
      <c r="F110" s="234" t="s">
        <v>4656</v>
      </c>
      <c r="G110" s="234" t="s">
        <v>4657</v>
      </c>
      <c r="H110" s="234" t="s">
        <v>4658</v>
      </c>
      <c r="I110" s="234" t="s">
        <v>4659</v>
      </c>
      <c r="J110" s="234" t="s">
        <v>4660</v>
      </c>
      <c r="K110" s="239" t="s">
        <v>4661</v>
      </c>
      <c r="L110" s="238" t="s">
        <v>4662</v>
      </c>
      <c r="M110" s="234" t="s">
        <v>4351</v>
      </c>
    </row>
    <row r="111" spans="1:14" ht="156.75">
      <c r="A111" s="234" t="str">
        <f t="shared" si="2"/>
        <v>DefinitionsC11</v>
      </c>
      <c r="B111" s="234" t="s">
        <v>4266</v>
      </c>
      <c r="C111" s="234" t="s">
        <v>4663</v>
      </c>
      <c r="D111" s="234" t="s">
        <v>4664</v>
      </c>
      <c r="E111" s="240" t="s">
        <v>4665</v>
      </c>
      <c r="F111" s="234" t="s">
        <v>4666</v>
      </c>
      <c r="G111" s="234" t="s">
        <v>4667</v>
      </c>
      <c r="H111" s="234" t="s">
        <v>4668</v>
      </c>
      <c r="I111" s="234" t="s">
        <v>4669</v>
      </c>
      <c r="J111" s="234" t="s">
        <v>4670</v>
      </c>
      <c r="K111" s="239" t="s">
        <v>4671</v>
      </c>
      <c r="L111" s="238" t="s">
        <v>4672</v>
      </c>
      <c r="M111" s="234" t="s">
        <v>4363</v>
      </c>
    </row>
    <row r="112" spans="1:14" ht="128.25">
      <c r="A112" s="234" t="str">
        <f t="shared" si="2"/>
        <v>DefinitionsC12</v>
      </c>
      <c r="B112" s="234" t="s">
        <v>4266</v>
      </c>
      <c r="C112" s="234" t="s">
        <v>4673</v>
      </c>
      <c r="D112" s="234" t="s">
        <v>4674</v>
      </c>
      <c r="E112" s="240" t="s">
        <v>4675</v>
      </c>
      <c r="F112" s="234" t="s">
        <v>4676</v>
      </c>
      <c r="G112" s="234" t="s">
        <v>4677</v>
      </c>
      <c r="H112" s="234" t="s">
        <v>4678</v>
      </c>
      <c r="I112" s="234" t="s">
        <v>4679</v>
      </c>
      <c r="J112" s="234" t="s">
        <v>4680</v>
      </c>
      <c r="K112" s="239" t="s">
        <v>4681</v>
      </c>
      <c r="L112" s="238" t="s">
        <v>4682</v>
      </c>
      <c r="M112" s="234" t="s">
        <v>4375</v>
      </c>
    </row>
    <row r="113" spans="1:13" ht="156.75">
      <c r="A113" s="234" t="str">
        <f t="shared" ref="A113:A144" si="3">B113&amp;C113</f>
        <v>DefinitionsC13</v>
      </c>
      <c r="B113" s="234" t="s">
        <v>4266</v>
      </c>
      <c r="C113" s="234" t="s">
        <v>4683</v>
      </c>
      <c r="D113" s="234" t="s">
        <v>4684</v>
      </c>
      <c r="E113" s="240" t="s">
        <v>4685</v>
      </c>
      <c r="F113" s="234" t="s">
        <v>4686</v>
      </c>
      <c r="G113" s="234" t="s">
        <v>4687</v>
      </c>
      <c r="H113" s="256" t="s">
        <v>4688</v>
      </c>
      <c r="I113" s="234" t="s">
        <v>4689</v>
      </c>
      <c r="J113" s="234" t="s">
        <v>4690</v>
      </c>
      <c r="K113" s="239" t="s">
        <v>4691</v>
      </c>
      <c r="L113" s="238" t="s">
        <v>4692</v>
      </c>
      <c r="M113" s="234" t="s">
        <v>4387</v>
      </c>
    </row>
    <row r="114" spans="1:13" ht="409.5">
      <c r="A114" s="234" t="str">
        <f t="shared" si="3"/>
        <v>DefinitionsC14</v>
      </c>
      <c r="B114" s="234" t="s">
        <v>4266</v>
      </c>
      <c r="C114" s="234" t="s">
        <v>4693</v>
      </c>
      <c r="D114" s="234" t="s">
        <v>4694</v>
      </c>
      <c r="E114" s="240" t="s">
        <v>4695</v>
      </c>
      <c r="F114" s="234" t="s">
        <v>4696</v>
      </c>
      <c r="G114" s="234" t="s">
        <v>4697</v>
      </c>
      <c r="H114" s="234" t="s">
        <v>4698</v>
      </c>
      <c r="I114" s="234" t="s">
        <v>4699</v>
      </c>
      <c r="J114" s="234" t="s">
        <v>4700</v>
      </c>
      <c r="K114" s="239" t="s">
        <v>4701</v>
      </c>
      <c r="L114" s="238" t="s">
        <v>4702</v>
      </c>
      <c r="M114" s="234" t="s">
        <v>4703</v>
      </c>
    </row>
    <row r="115" spans="1:13" ht="270.75">
      <c r="A115" s="234" t="str">
        <f t="shared" si="3"/>
        <v>DefinitionsC15</v>
      </c>
      <c r="B115" s="234" t="s">
        <v>4266</v>
      </c>
      <c r="C115" s="234" t="s">
        <v>4704</v>
      </c>
      <c r="D115" s="234" t="s">
        <v>4705</v>
      </c>
      <c r="E115" s="240" t="s">
        <v>4706</v>
      </c>
      <c r="F115" s="234" t="s">
        <v>4707</v>
      </c>
      <c r="G115" s="234" t="s">
        <v>4708</v>
      </c>
      <c r="H115" s="234" t="s">
        <v>4709</v>
      </c>
      <c r="I115" s="234" t="s">
        <v>4710</v>
      </c>
      <c r="J115" s="234" t="s">
        <v>4711</v>
      </c>
      <c r="K115" s="239" t="s">
        <v>4712</v>
      </c>
      <c r="L115" s="238" t="s">
        <v>4713</v>
      </c>
      <c r="M115" s="234" t="s">
        <v>4402</v>
      </c>
    </row>
    <row r="116" spans="1:13" ht="142.5">
      <c r="A116" s="234" t="str">
        <f t="shared" si="3"/>
        <v>DefinitionsC16</v>
      </c>
      <c r="B116" s="234" t="s">
        <v>4266</v>
      </c>
      <c r="C116" s="234" t="s">
        <v>4714</v>
      </c>
      <c r="D116" s="234" t="s">
        <v>4715</v>
      </c>
      <c r="E116" s="237" t="s">
        <v>4716</v>
      </c>
      <c r="F116" s="234" t="s">
        <v>4717</v>
      </c>
      <c r="G116" s="234" t="s">
        <v>4718</v>
      </c>
      <c r="H116" s="234" t="s">
        <v>4719</v>
      </c>
      <c r="I116" s="234" t="s">
        <v>4720</v>
      </c>
      <c r="J116" s="234" t="s">
        <v>4721</v>
      </c>
      <c r="K116" s="239" t="s">
        <v>4722</v>
      </c>
      <c r="L116" s="238" t="s">
        <v>4723</v>
      </c>
      <c r="M116" s="234" t="s">
        <v>4414</v>
      </c>
    </row>
    <row r="117" spans="1:13" ht="370.5">
      <c r="A117" s="234" t="str">
        <f t="shared" si="3"/>
        <v>DefinitionsC17</v>
      </c>
      <c r="B117" s="234" t="s">
        <v>4266</v>
      </c>
      <c r="C117" s="234" t="s">
        <v>4724</v>
      </c>
      <c r="D117" s="234" t="s">
        <v>4725</v>
      </c>
      <c r="E117" s="240" t="s">
        <v>4726</v>
      </c>
      <c r="F117" s="234" t="s">
        <v>4727</v>
      </c>
      <c r="G117" s="234" t="s">
        <v>4728</v>
      </c>
      <c r="H117" s="234" t="s">
        <v>4729</v>
      </c>
      <c r="I117" s="234" t="s">
        <v>4730</v>
      </c>
      <c r="J117" s="234" t="s">
        <v>4731</v>
      </c>
      <c r="K117" s="239" t="s">
        <v>4732</v>
      </c>
      <c r="L117" s="238" t="s">
        <v>4733</v>
      </c>
      <c r="M117" s="234" t="s">
        <v>4734</v>
      </c>
    </row>
    <row r="118" spans="1:13" ht="242.25">
      <c r="A118" s="234" t="str">
        <f t="shared" si="3"/>
        <v>DefinitionsC18</v>
      </c>
      <c r="B118" s="234" t="s">
        <v>4266</v>
      </c>
      <c r="C118" s="234" t="s">
        <v>4735</v>
      </c>
      <c r="D118" s="234" t="s">
        <v>4736</v>
      </c>
      <c r="E118" s="240" t="s">
        <v>4737</v>
      </c>
      <c r="F118" s="234" t="s">
        <v>4738</v>
      </c>
      <c r="G118" s="234" t="s">
        <v>4739</v>
      </c>
      <c r="H118" s="256" t="s">
        <v>4740</v>
      </c>
      <c r="I118" s="234" t="s">
        <v>4741</v>
      </c>
      <c r="J118" s="234" t="s">
        <v>4742</v>
      </c>
      <c r="K118" s="239" t="s">
        <v>4743</v>
      </c>
      <c r="L118" s="238" t="s">
        <v>4744</v>
      </c>
      <c r="M118" s="234" t="s">
        <v>4745</v>
      </c>
    </row>
    <row r="119" spans="1:13" ht="28.5">
      <c r="A119" s="234" t="str">
        <f t="shared" si="3"/>
        <v>DefinitionsC19</v>
      </c>
      <c r="B119" s="234" t="s">
        <v>4266</v>
      </c>
      <c r="C119" s="234" t="s">
        <v>4746</v>
      </c>
      <c r="D119" s="234" t="s">
        <v>4747</v>
      </c>
      <c r="E119" s="237" t="s">
        <v>4748</v>
      </c>
      <c r="F119" s="234" t="s">
        <v>4749</v>
      </c>
      <c r="G119" s="234" t="s">
        <v>4750</v>
      </c>
      <c r="H119" s="234" t="s">
        <v>4751</v>
      </c>
      <c r="I119" s="234" t="s">
        <v>4752</v>
      </c>
      <c r="J119" s="234" t="s">
        <v>4753</v>
      </c>
      <c r="K119" s="239" t="s">
        <v>4754</v>
      </c>
      <c r="L119" s="238" t="s">
        <v>4755</v>
      </c>
      <c r="M119" s="234" t="s">
        <v>4444</v>
      </c>
    </row>
    <row r="120" spans="1:13" ht="71.25">
      <c r="A120" s="234" t="str">
        <f t="shared" si="3"/>
        <v>DefinitionsC20</v>
      </c>
      <c r="B120" s="234" t="s">
        <v>4266</v>
      </c>
      <c r="C120" s="234" t="s">
        <v>4756</v>
      </c>
      <c r="D120" s="234" t="s">
        <v>4757</v>
      </c>
      <c r="E120" s="237" t="s">
        <v>4758</v>
      </c>
      <c r="F120" s="234" t="s">
        <v>4759</v>
      </c>
      <c r="G120" s="234" t="s">
        <v>4760</v>
      </c>
      <c r="H120" s="234" t="s">
        <v>4761</v>
      </c>
      <c r="I120" s="234" t="s">
        <v>4762</v>
      </c>
      <c r="J120" s="234" t="s">
        <v>4763</v>
      </c>
      <c r="K120" s="239" t="s">
        <v>4764</v>
      </c>
      <c r="L120" s="238" t="s">
        <v>4765</v>
      </c>
      <c r="M120" s="234" t="s">
        <v>4456</v>
      </c>
    </row>
    <row r="121" spans="1:13" ht="28.5">
      <c r="A121" s="234" t="str">
        <f t="shared" si="3"/>
        <v>DefinitionsC21</v>
      </c>
      <c r="B121" s="234" t="s">
        <v>4266</v>
      </c>
      <c r="C121" s="234" t="s">
        <v>4766</v>
      </c>
      <c r="D121" s="234" t="s">
        <v>4460</v>
      </c>
      <c r="E121" s="237" t="s">
        <v>4767</v>
      </c>
      <c r="F121" s="234" t="s">
        <v>4768</v>
      </c>
      <c r="G121" s="234" t="s">
        <v>4769</v>
      </c>
      <c r="H121" s="234" t="s">
        <v>4460</v>
      </c>
      <c r="I121" s="234" t="s">
        <v>4460</v>
      </c>
      <c r="J121" s="234" t="s">
        <v>4460</v>
      </c>
      <c r="K121" s="239" t="s">
        <v>4460</v>
      </c>
      <c r="L121" s="238" t="s">
        <v>4460</v>
      </c>
      <c r="M121" s="234" t="s">
        <v>4460</v>
      </c>
    </row>
    <row r="122" spans="1:13" ht="171">
      <c r="A122" s="234" t="str">
        <f t="shared" si="3"/>
        <v>DefinitionsC22</v>
      </c>
      <c r="B122" s="234" t="s">
        <v>4266</v>
      </c>
      <c r="C122" s="234" t="s">
        <v>4770</v>
      </c>
      <c r="D122" s="234" t="s">
        <v>4771</v>
      </c>
      <c r="E122" s="240" t="s">
        <v>4772</v>
      </c>
      <c r="F122" s="234" t="s">
        <v>4773</v>
      </c>
      <c r="G122" s="234" t="s">
        <v>4774</v>
      </c>
      <c r="H122" s="234" t="s">
        <v>4775</v>
      </c>
      <c r="I122" s="234" t="s">
        <v>4776</v>
      </c>
      <c r="J122" s="234" t="s">
        <v>4777</v>
      </c>
      <c r="K122" s="239" t="s">
        <v>4778</v>
      </c>
      <c r="L122" s="238" t="s">
        <v>4779</v>
      </c>
      <c r="M122" s="234" t="s">
        <v>4780</v>
      </c>
    </row>
    <row r="123" spans="1:13" ht="114">
      <c r="A123" s="234" t="str">
        <f t="shared" si="3"/>
        <v>DefinitionsC23</v>
      </c>
      <c r="B123" s="234" t="s">
        <v>4266</v>
      </c>
      <c r="C123" s="234" t="s">
        <v>4781</v>
      </c>
      <c r="D123" s="234" t="s">
        <v>4782</v>
      </c>
      <c r="E123" s="237" t="s">
        <v>4783</v>
      </c>
      <c r="F123" s="234" t="s">
        <v>4784</v>
      </c>
      <c r="G123" s="234" t="s">
        <v>4785</v>
      </c>
      <c r="H123" s="234" t="s">
        <v>4786</v>
      </c>
      <c r="I123" s="234" t="s">
        <v>4787</v>
      </c>
      <c r="J123" s="234" t="s">
        <v>4788</v>
      </c>
      <c r="K123" s="239" t="s">
        <v>4789</v>
      </c>
      <c r="L123" s="238" t="s">
        <v>4790</v>
      </c>
      <c r="M123" s="234" t="s">
        <v>4791</v>
      </c>
    </row>
    <row r="124" spans="1:13" ht="313.5">
      <c r="A124" s="234" t="str">
        <f t="shared" si="3"/>
        <v>DefinitionsC24</v>
      </c>
      <c r="B124" s="234" t="s">
        <v>4266</v>
      </c>
      <c r="C124" s="234" t="s">
        <v>4792</v>
      </c>
      <c r="D124" s="234" t="s">
        <v>4793</v>
      </c>
      <c r="E124" s="240" t="s">
        <v>4794</v>
      </c>
      <c r="F124" s="234" t="s">
        <v>4795</v>
      </c>
      <c r="G124" s="234" t="s">
        <v>4796</v>
      </c>
      <c r="H124" s="234" t="s">
        <v>4797</v>
      </c>
      <c r="I124" s="234" t="s">
        <v>4798</v>
      </c>
      <c r="J124" s="234" t="s">
        <v>4799</v>
      </c>
      <c r="K124" s="239" t="s">
        <v>4800</v>
      </c>
      <c r="L124" s="238" t="s">
        <v>4801</v>
      </c>
      <c r="M124" s="234" t="s">
        <v>4802</v>
      </c>
    </row>
    <row r="125" spans="1:13" ht="285">
      <c r="A125" s="234" t="str">
        <f t="shared" si="3"/>
        <v>DefinitionsC25</v>
      </c>
      <c r="B125" s="234" t="s">
        <v>4266</v>
      </c>
      <c r="C125" s="234" t="s">
        <v>4803</v>
      </c>
      <c r="D125" s="234" t="s">
        <v>4804</v>
      </c>
      <c r="E125" s="240" t="s">
        <v>4805</v>
      </c>
      <c r="F125" s="234" t="s">
        <v>4806</v>
      </c>
      <c r="G125" s="234" t="s">
        <v>4807</v>
      </c>
      <c r="H125" s="234" t="s">
        <v>4808</v>
      </c>
      <c r="I125" s="234" t="s">
        <v>4809</v>
      </c>
      <c r="J125" s="234" t="s">
        <v>4810</v>
      </c>
      <c r="K125" s="239" t="s">
        <v>4811</v>
      </c>
      <c r="L125" s="238" t="s">
        <v>4812</v>
      </c>
      <c r="M125" s="234" t="s">
        <v>4813</v>
      </c>
    </row>
    <row r="126" spans="1:13" ht="28.5">
      <c r="A126" s="234" t="str">
        <f t="shared" si="3"/>
        <v>DefinitionsC26</v>
      </c>
      <c r="B126" s="234" t="s">
        <v>4266</v>
      </c>
      <c r="C126" s="234" t="s">
        <v>4814</v>
      </c>
      <c r="D126" s="234" t="s">
        <v>4815</v>
      </c>
      <c r="E126" s="237" t="s">
        <v>4816</v>
      </c>
      <c r="F126" s="234" t="s">
        <v>4817</v>
      </c>
      <c r="G126" s="234" t="s">
        <v>4818</v>
      </c>
      <c r="H126" s="234" t="s">
        <v>4815</v>
      </c>
      <c r="I126" s="234" t="s">
        <v>4819</v>
      </c>
      <c r="J126" s="234" t="s">
        <v>4815</v>
      </c>
      <c r="K126" s="239" t="s">
        <v>4815</v>
      </c>
      <c r="L126" s="238" t="s">
        <v>4815</v>
      </c>
      <c r="M126" s="234" t="s">
        <v>4472</v>
      </c>
    </row>
    <row r="127" spans="1:13" ht="156.75">
      <c r="A127" s="234" t="str">
        <f t="shared" si="3"/>
        <v>DefinitionsC27</v>
      </c>
      <c r="B127" s="234" t="s">
        <v>4266</v>
      </c>
      <c r="C127" s="234" t="s">
        <v>4820</v>
      </c>
      <c r="D127" s="234" t="s">
        <v>4821</v>
      </c>
      <c r="E127" s="240" t="s">
        <v>4822</v>
      </c>
      <c r="F127" s="234" t="s">
        <v>4823</v>
      </c>
      <c r="G127" s="234" t="s">
        <v>4824</v>
      </c>
      <c r="H127" s="234" t="s">
        <v>4825</v>
      </c>
      <c r="I127" s="234" t="s">
        <v>4826</v>
      </c>
      <c r="J127" s="234" t="s">
        <v>4827</v>
      </c>
      <c r="K127" s="239" t="s">
        <v>4828</v>
      </c>
      <c r="L127" s="238" t="s">
        <v>4829</v>
      </c>
      <c r="M127" s="234" t="s">
        <v>4510</v>
      </c>
    </row>
    <row r="128" spans="1:13" ht="99.75">
      <c r="A128" s="234" t="str">
        <f t="shared" si="3"/>
        <v>DefinitionsC28</v>
      </c>
      <c r="B128" s="234" t="s">
        <v>4266</v>
      </c>
      <c r="C128" s="234" t="s">
        <v>4830</v>
      </c>
      <c r="D128" s="234" t="s">
        <v>4831</v>
      </c>
      <c r="E128" s="237" t="s">
        <v>4832</v>
      </c>
      <c r="F128" s="234" t="s">
        <v>4833</v>
      </c>
      <c r="G128" s="234" t="s">
        <v>4834</v>
      </c>
      <c r="H128" s="234" t="s">
        <v>4835</v>
      </c>
      <c r="I128" s="234" t="s">
        <v>4836</v>
      </c>
      <c r="J128" s="234" t="s">
        <v>4837</v>
      </c>
      <c r="K128" s="239" t="s">
        <v>4838</v>
      </c>
      <c r="L128" s="238" t="s">
        <v>4839</v>
      </c>
      <c r="M128" s="234" t="s">
        <v>4840</v>
      </c>
    </row>
    <row r="129" spans="1:13" ht="228">
      <c r="A129" s="234" t="str">
        <f t="shared" si="3"/>
        <v>DefinitionsC29</v>
      </c>
      <c r="B129" s="234" t="s">
        <v>4266</v>
      </c>
      <c r="C129" s="234" t="s">
        <v>4841</v>
      </c>
      <c r="D129" s="234" t="s">
        <v>4842</v>
      </c>
      <c r="E129" s="240" t="s">
        <v>4843</v>
      </c>
      <c r="F129" s="234" t="s">
        <v>4844</v>
      </c>
      <c r="G129" s="234" t="s">
        <v>4845</v>
      </c>
      <c r="H129" s="234" t="s">
        <v>4846</v>
      </c>
      <c r="I129" s="234" t="s">
        <v>4847</v>
      </c>
      <c r="J129" s="234" t="s">
        <v>4848</v>
      </c>
      <c r="K129" s="239" t="s">
        <v>4849</v>
      </c>
      <c r="L129" s="238" t="s">
        <v>4850</v>
      </c>
      <c r="M129" s="234" t="s">
        <v>4534</v>
      </c>
    </row>
    <row r="130" spans="1:13" ht="213.75">
      <c r="A130" s="234" t="str">
        <f t="shared" si="3"/>
        <v>DefinitionsC30</v>
      </c>
      <c r="B130" s="234" t="s">
        <v>4266</v>
      </c>
      <c r="C130" s="234" t="s">
        <v>4851</v>
      </c>
      <c r="D130" s="234" t="s">
        <v>4852</v>
      </c>
      <c r="E130" s="240" t="s">
        <v>4853</v>
      </c>
      <c r="F130" s="234" t="s">
        <v>4854</v>
      </c>
      <c r="G130" s="234" t="s">
        <v>4855</v>
      </c>
      <c r="H130" s="256" t="s">
        <v>4856</v>
      </c>
      <c r="I130" s="234" t="s">
        <v>4857</v>
      </c>
      <c r="J130" s="234" t="s">
        <v>4858</v>
      </c>
      <c r="K130" s="239" t="s">
        <v>4859</v>
      </c>
      <c r="L130" s="238" t="s">
        <v>4860</v>
      </c>
      <c r="M130" s="234" t="s">
        <v>4546</v>
      </c>
    </row>
    <row r="131" spans="1:13" ht="202.5">
      <c r="A131" s="234" t="str">
        <f t="shared" si="3"/>
        <v>DefinitionsC31</v>
      </c>
      <c r="B131" s="234" t="s">
        <v>4266</v>
      </c>
      <c r="C131" s="234" t="s">
        <v>4861</v>
      </c>
      <c r="D131" s="234" t="s">
        <v>4862</v>
      </c>
      <c r="E131" s="240" t="s">
        <v>4863</v>
      </c>
      <c r="F131" s="234" t="s">
        <v>4864</v>
      </c>
      <c r="G131" s="234" t="s">
        <v>4865</v>
      </c>
      <c r="H131" s="256" t="s">
        <v>4866</v>
      </c>
      <c r="I131" s="234" t="s">
        <v>4867</v>
      </c>
      <c r="J131" s="234" t="s">
        <v>4868</v>
      </c>
      <c r="K131" s="239" t="s">
        <v>4869</v>
      </c>
      <c r="L131" s="238" t="s">
        <v>4870</v>
      </c>
      <c r="M131" s="234" t="s">
        <v>4558</v>
      </c>
    </row>
    <row r="132" spans="1:13">
      <c r="A132" s="234" t="str">
        <f t="shared" si="3"/>
        <v>DeclarationD2</v>
      </c>
      <c r="B132" s="234" t="s">
        <v>4871</v>
      </c>
      <c r="C132" s="234" t="s">
        <v>4872</v>
      </c>
      <c r="D132" s="234" t="s">
        <v>4873</v>
      </c>
      <c r="E132" s="237" t="s">
        <v>4873</v>
      </c>
      <c r="F132" s="234" t="s">
        <v>4873</v>
      </c>
      <c r="G132" s="234" t="s">
        <v>4873</v>
      </c>
      <c r="H132" s="234" t="s">
        <v>4873</v>
      </c>
      <c r="I132" s="234" t="s">
        <v>4873</v>
      </c>
      <c r="J132" s="234" t="s">
        <v>4873</v>
      </c>
      <c r="K132" s="234" t="s">
        <v>4873</v>
      </c>
      <c r="L132" s="238" t="s">
        <v>4873</v>
      </c>
      <c r="M132" s="258" t="s">
        <v>4873</v>
      </c>
    </row>
    <row r="133" spans="1:13" ht="28.5">
      <c r="A133" s="234" t="str">
        <f t="shared" si="3"/>
        <v>DeclarationF3</v>
      </c>
      <c r="B133" s="234" t="s">
        <v>4871</v>
      </c>
      <c r="C133" s="234" t="s">
        <v>4874</v>
      </c>
      <c r="D133" s="234" t="s">
        <v>4875</v>
      </c>
      <c r="E133" s="237" t="s">
        <v>4876</v>
      </c>
      <c r="F133" s="234" t="s">
        <v>4877</v>
      </c>
      <c r="G133" s="234" t="s">
        <v>4878</v>
      </c>
      <c r="H133" s="234" t="s">
        <v>4879</v>
      </c>
      <c r="I133" s="234" t="s">
        <v>4880</v>
      </c>
      <c r="J133" s="234" t="s">
        <v>4881</v>
      </c>
      <c r="K133" s="234" t="s">
        <v>4882</v>
      </c>
      <c r="L133" s="257" t="s">
        <v>4883</v>
      </c>
      <c r="M133" s="234" t="s">
        <v>4884</v>
      </c>
    </row>
    <row r="134" spans="1:13" ht="28.5">
      <c r="A134" s="234" t="str">
        <f t="shared" si="3"/>
        <v>DeclarationI3</v>
      </c>
      <c r="B134" s="234" t="s">
        <v>4871</v>
      </c>
      <c r="C134" s="234" t="s">
        <v>4885</v>
      </c>
      <c r="D134" s="234" t="s">
        <v>4886</v>
      </c>
      <c r="E134" s="237" t="s">
        <v>4887</v>
      </c>
      <c r="F134" s="234" t="s">
        <v>4888</v>
      </c>
      <c r="G134" s="234" t="s">
        <v>4889</v>
      </c>
      <c r="H134" s="234" t="s">
        <v>4890</v>
      </c>
      <c r="I134" s="234" t="s">
        <v>4891</v>
      </c>
      <c r="J134" s="234" t="s">
        <v>4892</v>
      </c>
      <c r="K134" s="234" t="s">
        <v>4893</v>
      </c>
      <c r="L134" s="257" t="s">
        <v>4894</v>
      </c>
      <c r="M134" s="234" t="s">
        <v>4895</v>
      </c>
    </row>
    <row r="135" spans="1:13">
      <c r="A135" s="234" t="str">
        <f t="shared" si="3"/>
        <v>DeclarationI4</v>
      </c>
      <c r="B135" s="234" t="s">
        <v>4871</v>
      </c>
      <c r="C135" s="234" t="s">
        <v>4896</v>
      </c>
      <c r="D135" s="234" t="s">
        <v>4897</v>
      </c>
      <c r="F135" s="234" t="s">
        <v>4898</v>
      </c>
      <c r="G135" s="234" t="s">
        <v>4899</v>
      </c>
      <c r="H135" s="234" t="s">
        <v>4900</v>
      </c>
      <c r="I135" s="234" t="s">
        <v>4901</v>
      </c>
      <c r="J135" s="234" t="s">
        <v>4902</v>
      </c>
      <c r="K135" s="234" t="s">
        <v>4903</v>
      </c>
      <c r="L135" s="257" t="s">
        <v>4904</v>
      </c>
      <c r="M135" s="234" t="s">
        <v>4905</v>
      </c>
    </row>
    <row r="136" spans="1:13" ht="57">
      <c r="A136" s="234" t="str">
        <f t="shared" si="3"/>
        <v>DeclarationB4</v>
      </c>
      <c r="B136" s="234" t="s">
        <v>4871</v>
      </c>
      <c r="C136" s="234" t="s">
        <v>4280</v>
      </c>
      <c r="D136" s="234" t="s">
        <v>4906</v>
      </c>
      <c r="E136" s="240" t="s">
        <v>4907</v>
      </c>
      <c r="F136" s="234" t="s">
        <v>4908</v>
      </c>
      <c r="G136" s="234" t="s">
        <v>4909</v>
      </c>
      <c r="H136" s="234" t="s">
        <v>4910</v>
      </c>
      <c r="I136" s="234" t="s">
        <v>4911</v>
      </c>
      <c r="J136" s="234" t="s">
        <v>4912</v>
      </c>
      <c r="K136" s="239" t="s">
        <v>4913</v>
      </c>
      <c r="L136" s="238" t="s">
        <v>4914</v>
      </c>
      <c r="M136" s="234" t="s">
        <v>4915</v>
      </c>
    </row>
    <row r="137" spans="1:13" ht="60">
      <c r="A137" s="234" t="str">
        <f t="shared" si="3"/>
        <v>DeclarationB6</v>
      </c>
      <c r="B137" s="234" t="s">
        <v>4871</v>
      </c>
      <c r="C137" s="234" t="s">
        <v>4302</v>
      </c>
      <c r="D137" s="234" t="s">
        <v>4916</v>
      </c>
      <c r="E137" s="234" t="s">
        <v>4917</v>
      </c>
      <c r="F137" s="248" t="s">
        <v>4918</v>
      </c>
      <c r="G137" s="246" t="s">
        <v>4919</v>
      </c>
      <c r="H137" s="245" t="s">
        <v>4920</v>
      </c>
      <c r="I137" s="246" t="s">
        <v>4921</v>
      </c>
      <c r="J137" s="246" t="s">
        <v>4922</v>
      </c>
      <c r="K137" s="247" t="s">
        <v>4923</v>
      </c>
      <c r="L137" s="245" t="s">
        <v>4924</v>
      </c>
      <c r="M137" s="246" t="s">
        <v>4925</v>
      </c>
    </row>
    <row r="138" spans="1:13" ht="57">
      <c r="A138" s="234" t="str">
        <f t="shared" si="3"/>
        <v>DeclarationB7</v>
      </c>
      <c r="B138" s="234" t="s">
        <v>4871</v>
      </c>
      <c r="C138" s="234" t="s">
        <v>4314</v>
      </c>
      <c r="D138" s="234" t="s">
        <v>4926</v>
      </c>
      <c r="E138" s="240" t="s">
        <v>4927</v>
      </c>
      <c r="F138" s="234" t="s">
        <v>4928</v>
      </c>
      <c r="G138" s="234" t="s">
        <v>4929</v>
      </c>
      <c r="H138" s="234" t="s">
        <v>4930</v>
      </c>
      <c r="I138" s="234" t="s">
        <v>4931</v>
      </c>
      <c r="J138" s="234" t="s">
        <v>4932</v>
      </c>
      <c r="K138" s="239" t="s">
        <v>4933</v>
      </c>
      <c r="L138" s="238" t="s">
        <v>4934</v>
      </c>
      <c r="M138" s="234" t="s">
        <v>4935</v>
      </c>
    </row>
    <row r="139" spans="1:13">
      <c r="A139" s="234" t="str">
        <f t="shared" si="3"/>
        <v>DeclarationB8</v>
      </c>
      <c r="B139" s="234" t="s">
        <v>4871</v>
      </c>
      <c r="C139" s="234" t="s">
        <v>4326</v>
      </c>
      <c r="D139" s="234" t="s">
        <v>4936</v>
      </c>
      <c r="E139" s="237" t="s">
        <v>4937</v>
      </c>
      <c r="F139" s="234" t="s">
        <v>4938</v>
      </c>
      <c r="G139" s="234" t="s">
        <v>4939</v>
      </c>
      <c r="H139" s="234" t="s">
        <v>4940</v>
      </c>
      <c r="I139" s="234" t="s">
        <v>4941</v>
      </c>
      <c r="J139" s="234" t="s">
        <v>4942</v>
      </c>
      <c r="K139" s="239" t="s">
        <v>4943</v>
      </c>
      <c r="L139" s="238" t="s">
        <v>4944</v>
      </c>
      <c r="M139" s="234" t="s">
        <v>4945</v>
      </c>
    </row>
    <row r="140" spans="1:13">
      <c r="A140" s="234" t="str">
        <f t="shared" si="3"/>
        <v>DeclarationB9</v>
      </c>
      <c r="B140" s="234" t="s">
        <v>4871</v>
      </c>
      <c r="C140" s="234" t="s">
        <v>4338</v>
      </c>
      <c r="D140" s="234" t="s">
        <v>4946</v>
      </c>
      <c r="E140" s="237" t="s">
        <v>4947</v>
      </c>
      <c r="F140" s="234" t="s">
        <v>4948</v>
      </c>
      <c r="G140" s="234" t="s">
        <v>4949</v>
      </c>
      <c r="H140" s="234" t="s">
        <v>4950</v>
      </c>
      <c r="I140" s="234" t="s">
        <v>4951</v>
      </c>
      <c r="J140" s="234" t="s">
        <v>4952</v>
      </c>
      <c r="K140" s="239" t="s">
        <v>4953</v>
      </c>
      <c r="L140" s="238" t="s">
        <v>4954</v>
      </c>
      <c r="M140" s="234" t="s">
        <v>4955</v>
      </c>
    </row>
    <row r="141" spans="1:13" ht="28.5">
      <c r="A141" s="234" t="str">
        <f t="shared" si="3"/>
        <v>DeclarationB10</v>
      </c>
      <c r="B141" s="234" t="s">
        <v>4871</v>
      </c>
      <c r="C141" s="234" t="s">
        <v>4343</v>
      </c>
      <c r="D141" s="234" t="s">
        <v>4956</v>
      </c>
      <c r="E141" s="237" t="s">
        <v>4957</v>
      </c>
      <c r="F141" s="234" t="s">
        <v>4958</v>
      </c>
      <c r="G141" s="234" t="s">
        <v>4959</v>
      </c>
      <c r="H141" s="234" t="s">
        <v>4960</v>
      </c>
      <c r="I141" s="234" t="s">
        <v>4961</v>
      </c>
      <c r="J141" s="234" t="s">
        <v>4962</v>
      </c>
      <c r="K141" s="239" t="s">
        <v>4963</v>
      </c>
      <c r="L141" s="238" t="s">
        <v>4964</v>
      </c>
      <c r="M141" s="234" t="s">
        <v>4965</v>
      </c>
    </row>
    <row r="142" spans="1:13" ht="28.5">
      <c r="A142" s="234" t="str">
        <f t="shared" si="3"/>
        <v>DeclarationB10A</v>
      </c>
      <c r="B142" s="234" t="s">
        <v>4871</v>
      </c>
      <c r="C142" s="234" t="s">
        <v>4966</v>
      </c>
      <c r="D142" s="234" t="s">
        <v>4956</v>
      </c>
      <c r="E142" s="237" t="s">
        <v>4957</v>
      </c>
      <c r="F142" s="234" t="s">
        <v>4958</v>
      </c>
      <c r="G142" s="234" t="s">
        <v>4959</v>
      </c>
      <c r="H142" s="234" t="s">
        <v>4960</v>
      </c>
      <c r="I142" s="234" t="s">
        <v>4961</v>
      </c>
      <c r="J142" s="234" t="s">
        <v>4962</v>
      </c>
      <c r="K142" s="239" t="s">
        <v>4963</v>
      </c>
      <c r="L142" s="238" t="s">
        <v>4964</v>
      </c>
      <c r="M142" s="234" t="s">
        <v>4965</v>
      </c>
    </row>
    <row r="143" spans="1:13" ht="28.5">
      <c r="A143" s="234" t="str">
        <f t="shared" si="3"/>
        <v>DeclarationB10C</v>
      </c>
      <c r="B143" s="234" t="s">
        <v>4871</v>
      </c>
      <c r="C143" s="234" t="s">
        <v>4967</v>
      </c>
      <c r="D143" s="234" t="s">
        <v>4968</v>
      </c>
      <c r="E143" s="237" t="s">
        <v>4969</v>
      </c>
      <c r="F143" s="234" t="s">
        <v>4970</v>
      </c>
      <c r="G143" s="234" t="s">
        <v>4971</v>
      </c>
      <c r="H143" s="234" t="s">
        <v>4972</v>
      </c>
      <c r="I143" s="234" t="s">
        <v>4973</v>
      </c>
      <c r="J143" s="234" t="s">
        <v>4974</v>
      </c>
      <c r="K143" s="239" t="s">
        <v>4975</v>
      </c>
      <c r="L143" s="238" t="s">
        <v>4976</v>
      </c>
      <c r="M143" s="234" t="s">
        <v>4977</v>
      </c>
    </row>
    <row r="144" spans="1:13" ht="28.5">
      <c r="A144" s="234" t="str">
        <f t="shared" si="3"/>
        <v>DeclarationB10B</v>
      </c>
      <c r="B144" s="234" t="s">
        <v>4871</v>
      </c>
      <c r="C144" s="234" t="s">
        <v>4978</v>
      </c>
      <c r="D144" s="234" t="s">
        <v>4979</v>
      </c>
      <c r="E144" s="240" t="s">
        <v>4980</v>
      </c>
      <c r="F144" s="234" t="s">
        <v>4981</v>
      </c>
      <c r="G144" s="234" t="s">
        <v>4982</v>
      </c>
      <c r="H144" s="234" t="s">
        <v>4983</v>
      </c>
      <c r="I144" s="234" t="s">
        <v>4984</v>
      </c>
      <c r="J144" s="234" t="s">
        <v>4985</v>
      </c>
      <c r="K144" s="239" t="s">
        <v>4986</v>
      </c>
      <c r="L144" s="238" t="s">
        <v>4987</v>
      </c>
      <c r="M144" s="234" t="s">
        <v>4988</v>
      </c>
    </row>
    <row r="145" spans="1:13" ht="28.5">
      <c r="A145" s="234" t="str">
        <f t="shared" ref="A145:A176" si="4">B145&amp;C145</f>
        <v>DeclarationD11</v>
      </c>
      <c r="B145" s="234" t="s">
        <v>4871</v>
      </c>
      <c r="C145" s="234" t="s">
        <v>4989</v>
      </c>
      <c r="D145" s="234" t="s">
        <v>4990</v>
      </c>
      <c r="E145" s="240" t="s">
        <v>4991</v>
      </c>
      <c r="F145" s="234" t="s">
        <v>4992</v>
      </c>
      <c r="G145" s="234" t="s">
        <v>4993</v>
      </c>
      <c r="H145" s="234" t="s">
        <v>4994</v>
      </c>
      <c r="I145" s="234" t="s">
        <v>4995</v>
      </c>
      <c r="J145" s="234" t="s">
        <v>4996</v>
      </c>
      <c r="K145" s="234" t="s">
        <v>4997</v>
      </c>
      <c r="L145" s="257" t="s">
        <v>4998</v>
      </c>
      <c r="M145" s="234" t="s">
        <v>4999</v>
      </c>
    </row>
    <row r="146" spans="1:13" ht="28.5">
      <c r="A146" s="234" t="str">
        <f t="shared" si="4"/>
        <v>DeclarationB12</v>
      </c>
      <c r="B146" s="234" t="s">
        <v>4871</v>
      </c>
      <c r="C146" s="234" t="s">
        <v>4364</v>
      </c>
      <c r="D146" s="234" t="s">
        <v>5000</v>
      </c>
      <c r="E146" s="240" t="s">
        <v>5001</v>
      </c>
      <c r="F146" s="234" t="s">
        <v>5002</v>
      </c>
      <c r="G146" s="234" t="s">
        <v>5003</v>
      </c>
      <c r="H146" s="234" t="s">
        <v>5004</v>
      </c>
      <c r="I146" s="234" t="s">
        <v>5005</v>
      </c>
      <c r="J146" s="234" t="s">
        <v>5006</v>
      </c>
      <c r="K146" s="239" t="s">
        <v>5007</v>
      </c>
      <c r="L146" s="238" t="s">
        <v>5008</v>
      </c>
      <c r="M146" s="234" t="s">
        <v>5009</v>
      </c>
    </row>
    <row r="147" spans="1:13" ht="28.5">
      <c r="A147" s="234" t="str">
        <f t="shared" si="4"/>
        <v>DeclarationB13</v>
      </c>
      <c r="B147" s="234" t="s">
        <v>4871</v>
      </c>
      <c r="C147" s="234" t="s">
        <v>4376</v>
      </c>
      <c r="D147" s="234" t="s">
        <v>5010</v>
      </c>
      <c r="E147" s="240" t="s">
        <v>5011</v>
      </c>
      <c r="F147" s="234" t="s">
        <v>5012</v>
      </c>
      <c r="G147" s="234" t="s">
        <v>5013</v>
      </c>
      <c r="H147" s="234" t="s">
        <v>5014</v>
      </c>
      <c r="I147" s="234" t="s">
        <v>5015</v>
      </c>
      <c r="J147" s="234" t="s">
        <v>5016</v>
      </c>
      <c r="K147" s="239" t="s">
        <v>5017</v>
      </c>
      <c r="L147" s="238" t="s">
        <v>5018</v>
      </c>
      <c r="M147" s="234" t="s">
        <v>5019</v>
      </c>
    </row>
    <row r="148" spans="1:13" ht="28.5">
      <c r="A148" s="234" t="str">
        <f t="shared" si="4"/>
        <v>DeclarationB14</v>
      </c>
      <c r="B148" s="234" t="s">
        <v>4871</v>
      </c>
      <c r="C148" s="234" t="s">
        <v>4388</v>
      </c>
      <c r="D148" s="234" t="s">
        <v>5020</v>
      </c>
      <c r="E148" s="237" t="s">
        <v>5021</v>
      </c>
      <c r="F148" s="234" t="s">
        <v>5022</v>
      </c>
      <c r="G148" s="234" t="s">
        <v>5023</v>
      </c>
      <c r="H148" s="234" t="s">
        <v>5024</v>
      </c>
      <c r="I148" s="234" t="s">
        <v>5025</v>
      </c>
      <c r="J148" s="234" t="s">
        <v>5024</v>
      </c>
      <c r="K148" s="239" t="s">
        <v>5026</v>
      </c>
      <c r="L148" s="238" t="s">
        <v>5027</v>
      </c>
      <c r="M148" s="234" t="s">
        <v>5028</v>
      </c>
    </row>
    <row r="149" spans="1:13" ht="28.5">
      <c r="A149" s="234" t="str">
        <f t="shared" si="4"/>
        <v>DeclarationB15</v>
      </c>
      <c r="B149" s="234" t="s">
        <v>4871</v>
      </c>
      <c r="C149" s="234" t="s">
        <v>4400</v>
      </c>
      <c r="D149" s="234" t="s">
        <v>5029</v>
      </c>
      <c r="E149" s="237" t="s">
        <v>5030</v>
      </c>
      <c r="F149" s="234" t="s">
        <v>5031</v>
      </c>
      <c r="G149" s="234" t="s">
        <v>5032</v>
      </c>
      <c r="H149" s="234" t="s">
        <v>5033</v>
      </c>
      <c r="I149" s="234" t="s">
        <v>5034</v>
      </c>
      <c r="J149" s="234" t="s">
        <v>5035</v>
      </c>
      <c r="K149" s="239" t="s">
        <v>5036</v>
      </c>
      <c r="L149" s="238" t="s">
        <v>5037</v>
      </c>
      <c r="M149" s="234" t="s">
        <v>5038</v>
      </c>
    </row>
    <row r="150" spans="1:13" ht="28.5">
      <c r="A150" s="234" t="str">
        <f t="shared" si="4"/>
        <v>DeclarationB16</v>
      </c>
      <c r="B150" s="234" t="s">
        <v>4871</v>
      </c>
      <c r="C150" s="234" t="s">
        <v>4403</v>
      </c>
      <c r="D150" s="234" t="s">
        <v>5039</v>
      </c>
      <c r="E150" s="237" t="s">
        <v>5040</v>
      </c>
      <c r="F150" s="234" t="s">
        <v>5041</v>
      </c>
      <c r="G150" s="234" t="s">
        <v>5042</v>
      </c>
      <c r="H150" s="234" t="s">
        <v>5043</v>
      </c>
      <c r="I150" s="234" t="s">
        <v>5044</v>
      </c>
      <c r="J150" s="234" t="s">
        <v>5045</v>
      </c>
      <c r="K150" s="239" t="s">
        <v>5046</v>
      </c>
      <c r="L150" s="238" t="s">
        <v>5047</v>
      </c>
      <c r="M150" s="234" t="s">
        <v>5048</v>
      </c>
    </row>
    <row r="151" spans="1:13" ht="28.5">
      <c r="A151" s="234" t="str">
        <f t="shared" si="4"/>
        <v>DeclarationB17</v>
      </c>
      <c r="B151" s="234" t="s">
        <v>4871</v>
      </c>
      <c r="C151" s="234" t="s">
        <v>4415</v>
      </c>
      <c r="D151" s="234" t="s">
        <v>5049</v>
      </c>
      <c r="E151" s="237" t="s">
        <v>5050</v>
      </c>
      <c r="F151" s="234" t="s">
        <v>5051</v>
      </c>
      <c r="G151" s="234" t="s">
        <v>5052</v>
      </c>
      <c r="H151" s="234" t="s">
        <v>5053</v>
      </c>
      <c r="I151" s="234" t="s">
        <v>5054</v>
      </c>
      <c r="J151" s="234" t="s">
        <v>5055</v>
      </c>
      <c r="K151" s="239" t="s">
        <v>5056</v>
      </c>
      <c r="L151" s="238" t="s">
        <v>5057</v>
      </c>
      <c r="M151" s="234" t="s">
        <v>5058</v>
      </c>
    </row>
    <row r="152" spans="1:13" ht="28.5">
      <c r="A152" s="234" t="str">
        <f t="shared" si="4"/>
        <v>DeclarationB18</v>
      </c>
      <c r="B152" s="234" t="s">
        <v>4871</v>
      </c>
      <c r="C152" s="234" t="s">
        <v>4427</v>
      </c>
      <c r="D152" s="234" t="s">
        <v>5059</v>
      </c>
      <c r="E152" s="237" t="s">
        <v>5060</v>
      </c>
      <c r="F152" s="234" t="s">
        <v>5061</v>
      </c>
      <c r="G152" s="234" t="s">
        <v>5062</v>
      </c>
      <c r="H152" s="234" t="s">
        <v>5063</v>
      </c>
      <c r="I152" s="234" t="s">
        <v>5064</v>
      </c>
      <c r="J152" s="234" t="s">
        <v>5065</v>
      </c>
      <c r="K152" s="239" t="s">
        <v>5066</v>
      </c>
      <c r="L152" s="238" t="s">
        <v>5067</v>
      </c>
      <c r="M152" s="234" t="s">
        <v>5068</v>
      </c>
    </row>
    <row r="153" spans="1:13" ht="28.5">
      <c r="A153" s="234" t="str">
        <f t="shared" si="4"/>
        <v>DeclarationB19</v>
      </c>
      <c r="B153" s="234" t="s">
        <v>4871</v>
      </c>
      <c r="C153" s="234" t="s">
        <v>4439</v>
      </c>
      <c r="D153" s="234" t="s">
        <v>5069</v>
      </c>
      <c r="E153" s="237" t="s">
        <v>5070</v>
      </c>
      <c r="F153" s="234" t="s">
        <v>5071</v>
      </c>
      <c r="G153" s="234" t="s">
        <v>5072</v>
      </c>
      <c r="H153" s="234" t="s">
        <v>5073</v>
      </c>
      <c r="I153" s="234" t="s">
        <v>5074</v>
      </c>
      <c r="J153" s="234" t="s">
        <v>5075</v>
      </c>
      <c r="K153" s="239" t="s">
        <v>5076</v>
      </c>
      <c r="L153" s="238" t="s">
        <v>5077</v>
      </c>
      <c r="M153" s="234" t="s">
        <v>5078</v>
      </c>
    </row>
    <row r="154" spans="1:13" ht="28.5">
      <c r="A154" s="234" t="str">
        <f t="shared" si="4"/>
        <v>DeclarationB20</v>
      </c>
      <c r="B154" s="234" t="s">
        <v>4871</v>
      </c>
      <c r="C154" s="234" t="s">
        <v>4445</v>
      </c>
      <c r="D154" s="234" t="s">
        <v>5079</v>
      </c>
      <c r="E154" s="237" t="s">
        <v>5080</v>
      </c>
      <c r="F154" s="234" t="s">
        <v>5081</v>
      </c>
      <c r="G154" s="234" t="s">
        <v>5082</v>
      </c>
      <c r="H154" s="234" t="s">
        <v>5083</v>
      </c>
      <c r="I154" s="234" t="s">
        <v>5084</v>
      </c>
      <c r="J154" s="234" t="s">
        <v>5085</v>
      </c>
      <c r="K154" s="239" t="s">
        <v>5086</v>
      </c>
      <c r="L154" s="238" t="s">
        <v>5087</v>
      </c>
      <c r="M154" s="234" t="s">
        <v>5088</v>
      </c>
    </row>
    <row r="155" spans="1:13" ht="28.5">
      <c r="A155" s="234" t="str">
        <f t="shared" si="4"/>
        <v>DeclarationB21</v>
      </c>
      <c r="B155" s="234" t="s">
        <v>4871</v>
      </c>
      <c r="C155" s="234" t="s">
        <v>4457</v>
      </c>
      <c r="D155" s="234" t="s">
        <v>5089</v>
      </c>
      <c r="E155" s="237" t="s">
        <v>5090</v>
      </c>
      <c r="F155" s="256" t="s">
        <v>5091</v>
      </c>
      <c r="G155" s="234" t="s">
        <v>5092</v>
      </c>
      <c r="H155" s="234" t="s">
        <v>5093</v>
      </c>
      <c r="I155" s="234" t="s">
        <v>5094</v>
      </c>
      <c r="J155" s="234" t="s">
        <v>5095</v>
      </c>
      <c r="K155" s="239" t="s">
        <v>5096</v>
      </c>
      <c r="L155" s="238" t="s">
        <v>5097</v>
      </c>
      <c r="M155" s="234" t="s">
        <v>5098</v>
      </c>
    </row>
    <row r="156" spans="1:13" ht="28.5">
      <c r="A156" s="234" t="str">
        <f t="shared" si="4"/>
        <v>DeclarationB22</v>
      </c>
      <c r="B156" s="234" t="s">
        <v>4871</v>
      </c>
      <c r="C156" s="234" t="s">
        <v>4461</v>
      </c>
      <c r="D156" s="234" t="s">
        <v>5099</v>
      </c>
      <c r="E156" s="235" t="s">
        <v>5100</v>
      </c>
      <c r="F156" s="234" t="s">
        <v>5101</v>
      </c>
      <c r="G156" s="234" t="s">
        <v>5102</v>
      </c>
      <c r="H156" s="234" t="s">
        <v>5103</v>
      </c>
      <c r="I156" s="234" t="s">
        <v>5104</v>
      </c>
      <c r="J156" s="234" t="s">
        <v>5105</v>
      </c>
      <c r="K156" s="239" t="s">
        <v>5106</v>
      </c>
      <c r="L156" s="238" t="s">
        <v>5107</v>
      </c>
      <c r="M156" s="234" t="s">
        <v>5108</v>
      </c>
    </row>
    <row r="157" spans="1:13" ht="42.75">
      <c r="A157" s="234" t="str">
        <f t="shared" si="4"/>
        <v>DeclarationB24</v>
      </c>
      <c r="B157" s="234" t="s">
        <v>4871</v>
      </c>
      <c r="C157" s="234" t="s">
        <v>4483</v>
      </c>
      <c r="D157" s="234" t="s">
        <v>5109</v>
      </c>
      <c r="E157" s="237" t="s">
        <v>5110</v>
      </c>
      <c r="F157" s="234" t="s">
        <v>5111</v>
      </c>
      <c r="G157" s="234" t="s">
        <v>5112</v>
      </c>
      <c r="H157" s="234" t="s">
        <v>5113</v>
      </c>
      <c r="I157" s="234" t="s">
        <v>5114</v>
      </c>
      <c r="J157" s="234" t="s">
        <v>5115</v>
      </c>
      <c r="K157" s="239" t="s">
        <v>5116</v>
      </c>
      <c r="L157" s="238" t="s">
        <v>5117</v>
      </c>
      <c r="M157" s="234" t="s">
        <v>5118</v>
      </c>
    </row>
    <row r="158" spans="1:13" ht="30">
      <c r="A158" s="234" t="str">
        <f t="shared" si="4"/>
        <v>DeclarationB25</v>
      </c>
      <c r="B158" s="234" t="s">
        <v>4871</v>
      </c>
      <c r="C158" s="234" t="s">
        <v>4493</v>
      </c>
      <c r="D158" s="113" t="s">
        <v>5119</v>
      </c>
      <c r="E158" s="252" t="s">
        <v>5120</v>
      </c>
      <c r="F158" s="248" t="s">
        <v>5121</v>
      </c>
      <c r="G158" s="246" t="s">
        <v>5122</v>
      </c>
      <c r="H158" s="246" t="s">
        <v>5123</v>
      </c>
      <c r="I158" s="246" t="s">
        <v>5124</v>
      </c>
      <c r="J158" s="246" t="s">
        <v>5125</v>
      </c>
      <c r="K158" s="247" t="s">
        <v>5126</v>
      </c>
      <c r="L158" s="245" t="s">
        <v>5127</v>
      </c>
      <c r="M158" s="246" t="s">
        <v>5128</v>
      </c>
    </row>
    <row r="159" spans="1:13" ht="28.5">
      <c r="A159" s="234" t="str">
        <f t="shared" si="4"/>
        <v>DeclarationB31</v>
      </c>
      <c r="B159" s="234" t="s">
        <v>4871</v>
      </c>
      <c r="C159" s="234" t="s">
        <v>4559</v>
      </c>
      <c r="D159" s="113" t="s">
        <v>5129</v>
      </c>
      <c r="E159" s="252" t="s">
        <v>5130</v>
      </c>
      <c r="F159" s="248" t="s">
        <v>5131</v>
      </c>
      <c r="G159" s="245" t="s">
        <v>5132</v>
      </c>
      <c r="H159" s="246" t="s">
        <v>5133</v>
      </c>
      <c r="I159" s="245" t="s">
        <v>5134</v>
      </c>
      <c r="J159" s="245" t="s">
        <v>5135</v>
      </c>
      <c r="K159" s="247" t="s">
        <v>5136</v>
      </c>
      <c r="L159" s="245" t="s">
        <v>5137</v>
      </c>
      <c r="M159" s="245" t="s">
        <v>5138</v>
      </c>
    </row>
    <row r="160" spans="1:13" ht="51">
      <c r="A160" s="234" t="str">
        <f t="shared" si="4"/>
        <v>DeclarationB37</v>
      </c>
      <c r="B160" s="234" t="s">
        <v>4871</v>
      </c>
      <c r="C160" s="234" t="s">
        <v>5139</v>
      </c>
      <c r="D160" s="113" t="s">
        <v>5140</v>
      </c>
      <c r="E160" s="235" t="s">
        <v>5141</v>
      </c>
      <c r="F160" s="113" t="s">
        <v>5142</v>
      </c>
      <c r="G160" s="113" t="s">
        <v>5143</v>
      </c>
      <c r="H160" s="113" t="s">
        <v>5144</v>
      </c>
      <c r="I160" s="113" t="s">
        <v>5145</v>
      </c>
      <c r="J160" s="113" t="s">
        <v>5146</v>
      </c>
      <c r="K160" s="113" t="s">
        <v>5147</v>
      </c>
      <c r="L160" s="242" t="s">
        <v>5148</v>
      </c>
      <c r="M160" s="113" t="s">
        <v>5149</v>
      </c>
    </row>
    <row r="161" spans="1:13" ht="38.25">
      <c r="A161" s="234" t="str">
        <f t="shared" si="4"/>
        <v>DeclarationB43</v>
      </c>
      <c r="B161" s="234" t="s">
        <v>4871</v>
      </c>
      <c r="C161" s="234" t="s">
        <v>5150</v>
      </c>
      <c r="D161" s="113" t="s">
        <v>5151</v>
      </c>
      <c r="E161" s="113" t="s">
        <v>5152</v>
      </c>
      <c r="F161" s="113" t="s">
        <v>5153</v>
      </c>
      <c r="G161" s="113" t="s">
        <v>5154</v>
      </c>
      <c r="H161" s="113" t="s">
        <v>5155</v>
      </c>
      <c r="I161" s="113" t="s">
        <v>5156</v>
      </c>
      <c r="J161" s="113" t="s">
        <v>5157</v>
      </c>
      <c r="K161" s="113" t="s">
        <v>5158</v>
      </c>
      <c r="L161" s="113" t="s">
        <v>5159</v>
      </c>
      <c r="M161" s="113" t="s">
        <v>5160</v>
      </c>
    </row>
    <row r="162" spans="1:13" ht="45">
      <c r="A162" s="234" t="str">
        <f t="shared" si="4"/>
        <v>DeclarationB49</v>
      </c>
      <c r="B162" s="234" t="s">
        <v>4871</v>
      </c>
      <c r="C162" s="234" t="s">
        <v>5161</v>
      </c>
      <c r="D162" s="113" t="s">
        <v>5162</v>
      </c>
      <c r="E162" s="235" t="s">
        <v>5163</v>
      </c>
      <c r="F162" s="113" t="s">
        <v>5164</v>
      </c>
      <c r="G162" s="113" t="s">
        <v>5165</v>
      </c>
      <c r="H162" s="113" t="s">
        <v>5166</v>
      </c>
      <c r="I162" s="113" t="s">
        <v>5167</v>
      </c>
      <c r="J162" s="113" t="s">
        <v>5168</v>
      </c>
      <c r="K162" s="113" t="s">
        <v>5169</v>
      </c>
      <c r="L162" s="242" t="s">
        <v>5170</v>
      </c>
      <c r="M162" s="113" t="s">
        <v>5171</v>
      </c>
    </row>
    <row r="163" spans="1:13" ht="42.75">
      <c r="A163" s="234" t="str">
        <f t="shared" si="4"/>
        <v>DeclarationB55</v>
      </c>
      <c r="B163" s="234" t="s">
        <v>4871</v>
      </c>
      <c r="C163" s="234" t="s">
        <v>5172</v>
      </c>
      <c r="D163" s="113" t="s">
        <v>5173</v>
      </c>
      <c r="E163" s="244" t="s">
        <v>5174</v>
      </c>
      <c r="F163" s="245" t="s">
        <v>5175</v>
      </c>
      <c r="G163" s="245" t="s">
        <v>5176</v>
      </c>
      <c r="H163" s="245" t="s">
        <v>5177</v>
      </c>
      <c r="I163" s="245" t="s">
        <v>5178</v>
      </c>
      <c r="J163" s="245" t="s">
        <v>5179</v>
      </c>
      <c r="K163" s="247" t="s">
        <v>5180</v>
      </c>
      <c r="L163" s="245" t="s">
        <v>5181</v>
      </c>
      <c r="M163" s="245" t="s">
        <v>5182</v>
      </c>
    </row>
    <row r="164" spans="1:13" ht="38.25">
      <c r="A164" s="234" t="str">
        <f t="shared" si="4"/>
        <v>DeclarationB61</v>
      </c>
      <c r="B164" s="234" t="s">
        <v>4871</v>
      </c>
      <c r="C164" s="234" t="s">
        <v>5183</v>
      </c>
      <c r="D164" s="113" t="s">
        <v>5184</v>
      </c>
      <c r="E164" s="241" t="s">
        <v>5185</v>
      </c>
      <c r="F164" s="113" t="s">
        <v>5186</v>
      </c>
      <c r="G164" s="113" t="s">
        <v>5187</v>
      </c>
      <c r="H164" s="113" t="s">
        <v>5188</v>
      </c>
      <c r="I164" s="113" t="s">
        <v>5189</v>
      </c>
      <c r="J164" s="113" t="s">
        <v>5190</v>
      </c>
      <c r="K164" s="113" t="s">
        <v>5191</v>
      </c>
      <c r="L164" s="242" t="s">
        <v>5192</v>
      </c>
      <c r="M164" s="113" t="s">
        <v>5193</v>
      </c>
    </row>
    <row r="165" spans="1:13" ht="38.25">
      <c r="A165" s="234" t="str">
        <f t="shared" si="4"/>
        <v>DeclarationB67</v>
      </c>
      <c r="B165" s="234" t="s">
        <v>4871</v>
      </c>
      <c r="C165" s="234" t="s">
        <v>5194</v>
      </c>
      <c r="D165" s="113" t="s">
        <v>5195</v>
      </c>
      <c r="E165" s="241" t="s">
        <v>5196</v>
      </c>
      <c r="F165" s="113" t="s">
        <v>5197</v>
      </c>
      <c r="G165" s="113" t="s">
        <v>5198</v>
      </c>
      <c r="H165" s="113" t="s">
        <v>5199</v>
      </c>
      <c r="I165" s="113" t="s">
        <v>5200</v>
      </c>
      <c r="J165" s="113" t="s">
        <v>5201</v>
      </c>
      <c r="K165" s="113" t="s">
        <v>5202</v>
      </c>
      <c r="L165" s="242" t="s">
        <v>5203</v>
      </c>
      <c r="M165" s="113" t="s">
        <v>5204</v>
      </c>
    </row>
    <row r="166" spans="1:13" ht="28.5">
      <c r="A166" s="234" t="str">
        <f t="shared" si="4"/>
        <v>DeclarationB73</v>
      </c>
      <c r="B166" s="234" t="s">
        <v>4871</v>
      </c>
      <c r="C166" s="234" t="s">
        <v>5205</v>
      </c>
      <c r="D166" s="234" t="s">
        <v>5206</v>
      </c>
      <c r="E166" s="240" t="s">
        <v>5207</v>
      </c>
      <c r="F166" s="234" t="s">
        <v>5208</v>
      </c>
      <c r="G166" s="234" t="s">
        <v>5209</v>
      </c>
      <c r="H166" s="234" t="s">
        <v>5210</v>
      </c>
      <c r="I166" s="234" t="s">
        <v>5211</v>
      </c>
      <c r="J166" s="234" t="s">
        <v>5212</v>
      </c>
      <c r="K166" s="239" t="s">
        <v>5213</v>
      </c>
      <c r="L166" s="238" t="s">
        <v>5214</v>
      </c>
      <c r="M166" s="234" t="s">
        <v>5215</v>
      </c>
    </row>
    <row r="167" spans="1:13" ht="28.5">
      <c r="A167" s="234" t="str">
        <f t="shared" si="4"/>
        <v>DeclarationB75</v>
      </c>
      <c r="B167" s="234" t="s">
        <v>4871</v>
      </c>
      <c r="C167" s="234" t="s">
        <v>5216</v>
      </c>
      <c r="D167" s="234" t="s">
        <v>5217</v>
      </c>
      <c r="E167" s="234" t="s">
        <v>5218</v>
      </c>
      <c r="F167" s="234" t="s">
        <v>5219</v>
      </c>
      <c r="G167" s="234" t="s">
        <v>5220</v>
      </c>
      <c r="H167" s="234" t="s">
        <v>5221</v>
      </c>
      <c r="I167" s="234" t="s">
        <v>5222</v>
      </c>
      <c r="J167" s="234" t="s">
        <v>5223</v>
      </c>
      <c r="K167" s="234" t="s">
        <v>5224</v>
      </c>
      <c r="L167" s="234" t="s">
        <v>5225</v>
      </c>
      <c r="M167" s="234" t="s">
        <v>5226</v>
      </c>
    </row>
    <row r="168" spans="1:13" ht="71.25">
      <c r="A168" s="234" t="str">
        <f t="shared" si="4"/>
        <v>DeclarationB77</v>
      </c>
      <c r="B168" s="234" t="s">
        <v>4871</v>
      </c>
      <c r="C168" s="234" t="s">
        <v>5227</v>
      </c>
      <c r="D168" s="234" t="s">
        <v>5228</v>
      </c>
      <c r="E168" s="234" t="s">
        <v>5229</v>
      </c>
      <c r="F168" s="234" t="s">
        <v>5230</v>
      </c>
      <c r="G168" s="234" t="s">
        <v>5231</v>
      </c>
      <c r="H168" s="234" t="s">
        <v>5232</v>
      </c>
      <c r="I168" s="234" t="s">
        <v>5233</v>
      </c>
      <c r="J168" s="234" t="s">
        <v>5234</v>
      </c>
      <c r="K168" s="234" t="s">
        <v>5235</v>
      </c>
      <c r="L168" s="234" t="s">
        <v>5236</v>
      </c>
      <c r="M168" s="234" t="s">
        <v>5237</v>
      </c>
    </row>
    <row r="169" spans="1:13" ht="51">
      <c r="A169" s="234" t="str">
        <f t="shared" si="4"/>
        <v>DeclarationB79</v>
      </c>
      <c r="B169" s="234" t="s">
        <v>4871</v>
      </c>
      <c r="C169" s="234" t="s">
        <v>5238</v>
      </c>
      <c r="D169" s="113" t="s">
        <v>5239</v>
      </c>
      <c r="E169" s="241" t="s">
        <v>5240</v>
      </c>
      <c r="F169" s="113" t="s">
        <v>5241</v>
      </c>
      <c r="G169" s="113" t="s">
        <v>5242</v>
      </c>
      <c r="H169" s="113" t="s">
        <v>5243</v>
      </c>
      <c r="I169" s="113" t="s">
        <v>5244</v>
      </c>
      <c r="J169" s="113" t="s">
        <v>5245</v>
      </c>
      <c r="K169" s="113" t="s">
        <v>5246</v>
      </c>
      <c r="L169" s="242" t="s">
        <v>5247</v>
      </c>
      <c r="M169" s="113" t="s">
        <v>5248</v>
      </c>
    </row>
    <row r="170" spans="1:13" ht="38.25">
      <c r="A170" s="234" t="str">
        <f t="shared" si="4"/>
        <v>DeclarationB81</v>
      </c>
      <c r="B170" s="234" t="s">
        <v>4871</v>
      </c>
      <c r="C170" s="234" t="s">
        <v>5249</v>
      </c>
      <c r="D170" s="113" t="s">
        <v>5250</v>
      </c>
      <c r="E170" s="113" t="s">
        <v>5251</v>
      </c>
      <c r="F170" s="113" t="s">
        <v>5252</v>
      </c>
      <c r="G170" s="113" t="s">
        <v>5253</v>
      </c>
      <c r="H170" s="113" t="s">
        <v>5254</v>
      </c>
      <c r="I170" s="113" t="s">
        <v>5255</v>
      </c>
      <c r="J170" s="113" t="s">
        <v>5256</v>
      </c>
      <c r="K170" s="113" t="s">
        <v>5257</v>
      </c>
      <c r="L170" s="113" t="s">
        <v>5258</v>
      </c>
      <c r="M170" s="113" t="s">
        <v>5259</v>
      </c>
    </row>
    <row r="171" spans="1:13" ht="45">
      <c r="A171" s="234" t="str">
        <f t="shared" si="4"/>
        <v>DeclarationB83</v>
      </c>
      <c r="B171" s="234" t="s">
        <v>4871</v>
      </c>
      <c r="C171" s="234" t="s">
        <v>5260</v>
      </c>
      <c r="D171" s="113" t="s">
        <v>5261</v>
      </c>
      <c r="E171" s="244" t="s">
        <v>5262</v>
      </c>
      <c r="F171" s="248" t="s">
        <v>5263</v>
      </c>
      <c r="G171" s="245" t="s">
        <v>5264</v>
      </c>
      <c r="H171" s="245" t="s">
        <v>5265</v>
      </c>
      <c r="I171" s="245" t="s">
        <v>5266</v>
      </c>
      <c r="J171" s="245" t="s">
        <v>5267</v>
      </c>
      <c r="K171" s="247" t="s">
        <v>5268</v>
      </c>
      <c r="L171" s="245" t="s">
        <v>5269</v>
      </c>
      <c r="M171" s="245" t="s">
        <v>5270</v>
      </c>
    </row>
    <row r="172" spans="1:13" ht="57">
      <c r="A172" s="234" t="str">
        <f t="shared" si="4"/>
        <v>DeclarationB85</v>
      </c>
      <c r="B172" s="234" t="s">
        <v>4871</v>
      </c>
      <c r="C172" s="234" t="s">
        <v>5271</v>
      </c>
      <c r="D172" s="234" t="s">
        <v>5272</v>
      </c>
      <c r="E172" s="240" t="s">
        <v>5273</v>
      </c>
      <c r="F172" s="234" t="s">
        <v>5274</v>
      </c>
      <c r="G172" s="234" t="s">
        <v>5275</v>
      </c>
      <c r="H172" s="234" t="s">
        <v>5276</v>
      </c>
      <c r="I172" s="234" t="s">
        <v>5277</v>
      </c>
      <c r="J172" s="234" t="s">
        <v>5278</v>
      </c>
      <c r="K172" s="239" t="s">
        <v>5279</v>
      </c>
      <c r="L172" s="238" t="s">
        <v>5280</v>
      </c>
      <c r="M172" s="234" t="s">
        <v>5281</v>
      </c>
    </row>
    <row r="173" spans="1:13" ht="42.75">
      <c r="A173" s="234" t="str">
        <f t="shared" si="4"/>
        <v>DeclarationB87</v>
      </c>
      <c r="B173" s="234" t="s">
        <v>4871</v>
      </c>
      <c r="C173" s="234" t="s">
        <v>5282</v>
      </c>
      <c r="D173" s="234" t="s">
        <v>5283</v>
      </c>
      <c r="E173" s="240" t="s">
        <v>5284</v>
      </c>
      <c r="F173" s="234" t="s">
        <v>5285</v>
      </c>
      <c r="G173" s="234" t="s">
        <v>5286</v>
      </c>
      <c r="H173" s="234" t="s">
        <v>5287</v>
      </c>
      <c r="I173" s="234" t="s">
        <v>5288</v>
      </c>
      <c r="J173" s="234" t="s">
        <v>5289</v>
      </c>
      <c r="K173" s="239" t="s">
        <v>5290</v>
      </c>
      <c r="L173" s="238" t="s">
        <v>5291</v>
      </c>
      <c r="M173" s="234" t="s">
        <v>5292</v>
      </c>
    </row>
    <row r="174" spans="1:13" ht="30">
      <c r="A174" s="234" t="str">
        <f t="shared" si="4"/>
        <v>DeclarationB89</v>
      </c>
      <c r="B174" s="234" t="s">
        <v>4871</v>
      </c>
      <c r="C174" s="234" t="s">
        <v>5293</v>
      </c>
      <c r="D174" s="234" t="s">
        <v>5294</v>
      </c>
      <c r="E174" s="260" t="s">
        <v>5295</v>
      </c>
      <c r="F174" s="248" t="s">
        <v>5296</v>
      </c>
      <c r="G174" s="260" t="s">
        <v>5297</v>
      </c>
      <c r="H174" s="260" t="s">
        <v>5298</v>
      </c>
      <c r="I174" s="260" t="s">
        <v>5299</v>
      </c>
      <c r="J174" s="260" t="s">
        <v>5300</v>
      </c>
      <c r="K174" s="260" t="s">
        <v>5301</v>
      </c>
      <c r="L174" s="260" t="s">
        <v>5302</v>
      </c>
      <c r="M174" s="260" t="s">
        <v>5303</v>
      </c>
    </row>
    <row r="175" spans="1:13" ht="28.5">
      <c r="A175" s="234" t="str">
        <f t="shared" si="4"/>
        <v>DeclarationD25</v>
      </c>
      <c r="B175" s="234" t="s">
        <v>4871</v>
      </c>
      <c r="C175" s="234" t="s">
        <v>5304</v>
      </c>
      <c r="D175" s="234" t="s">
        <v>5305</v>
      </c>
      <c r="E175" s="237" t="s">
        <v>5306</v>
      </c>
      <c r="F175" s="234" t="s">
        <v>5306</v>
      </c>
      <c r="G175" s="234" t="s">
        <v>5307</v>
      </c>
      <c r="H175" s="234" t="s">
        <v>5308</v>
      </c>
      <c r="I175" s="234" t="s">
        <v>5309</v>
      </c>
      <c r="J175" s="234" t="s">
        <v>5310</v>
      </c>
      <c r="K175" s="239" t="s">
        <v>5311</v>
      </c>
      <c r="L175" s="238" t="s">
        <v>5312</v>
      </c>
      <c r="M175" s="234" t="s">
        <v>5313</v>
      </c>
    </row>
    <row r="176" spans="1:13" ht="28.5">
      <c r="A176" s="234" t="str">
        <f t="shared" si="4"/>
        <v>DeclarationB74</v>
      </c>
      <c r="B176" s="234" t="s">
        <v>4871</v>
      </c>
      <c r="C176" s="234" t="s">
        <v>5314</v>
      </c>
      <c r="D176" s="234" t="s">
        <v>5315</v>
      </c>
      <c r="E176" s="237" t="s">
        <v>5316</v>
      </c>
      <c r="F176" s="234" t="s">
        <v>5317</v>
      </c>
      <c r="G176" s="234" t="s">
        <v>5318</v>
      </c>
      <c r="H176" s="234" t="s">
        <v>5315</v>
      </c>
      <c r="I176" s="234" t="s">
        <v>5319</v>
      </c>
      <c r="J176" s="234" t="s">
        <v>5320</v>
      </c>
      <c r="K176" s="239" t="s">
        <v>5321</v>
      </c>
      <c r="L176" s="238" t="s">
        <v>5322</v>
      </c>
      <c r="M176" s="234" t="s">
        <v>5323</v>
      </c>
    </row>
    <row r="177" spans="1:13" ht="28.5">
      <c r="A177" s="234" t="str">
        <f t="shared" ref="A177:A208" si="5">B177&amp;C177</f>
        <v>DeclarationG25</v>
      </c>
      <c r="B177" s="234" t="s">
        <v>4871</v>
      </c>
      <c r="C177" s="234" t="s">
        <v>5324</v>
      </c>
      <c r="D177" s="234" t="s">
        <v>5325</v>
      </c>
      <c r="E177" s="237" t="s">
        <v>5326</v>
      </c>
      <c r="F177" s="234" t="s">
        <v>5327</v>
      </c>
      <c r="G177" s="234" t="s">
        <v>5328</v>
      </c>
      <c r="H177" s="234" t="s">
        <v>5329</v>
      </c>
      <c r="I177" s="234" t="s">
        <v>5330</v>
      </c>
      <c r="J177" s="234" t="s">
        <v>5331</v>
      </c>
      <c r="K177" s="239" t="s">
        <v>5332</v>
      </c>
      <c r="L177" s="238" t="s">
        <v>5333</v>
      </c>
      <c r="M177" s="234" t="s">
        <v>5334</v>
      </c>
    </row>
    <row r="178" spans="1:13" ht="28.5">
      <c r="A178" s="234" t="str">
        <f t="shared" si="5"/>
        <v>DeclarationB26</v>
      </c>
      <c r="B178" s="234" t="s">
        <v>4871</v>
      </c>
      <c r="C178" s="234" t="s">
        <v>4505</v>
      </c>
      <c r="D178" s="234" t="s">
        <v>5335</v>
      </c>
      <c r="E178" s="237" t="s">
        <v>5336</v>
      </c>
      <c r="F178" s="234" t="s">
        <v>5337</v>
      </c>
      <c r="G178" s="234" t="s">
        <v>5338</v>
      </c>
      <c r="H178" s="234" t="s">
        <v>5339</v>
      </c>
      <c r="I178" s="234" t="s">
        <v>5340</v>
      </c>
      <c r="J178" s="234" t="s">
        <v>5341</v>
      </c>
      <c r="K178" s="239" t="s">
        <v>5342</v>
      </c>
      <c r="L178" s="238" t="s">
        <v>5342</v>
      </c>
      <c r="M178" s="234" t="s">
        <v>5343</v>
      </c>
    </row>
    <row r="179" spans="1:13" ht="28.5">
      <c r="A179" s="234" t="str">
        <f t="shared" si="5"/>
        <v>DeclarationB27</v>
      </c>
      <c r="B179" s="234" t="s">
        <v>4871</v>
      </c>
      <c r="C179" s="234" t="s">
        <v>4511</v>
      </c>
      <c r="D179" s="234" t="s">
        <v>5344</v>
      </c>
      <c r="E179" s="237" t="s">
        <v>5345</v>
      </c>
      <c r="F179" s="234" t="s">
        <v>5346</v>
      </c>
      <c r="G179" s="234" t="s">
        <v>5347</v>
      </c>
      <c r="H179" s="234" t="s">
        <v>5348</v>
      </c>
      <c r="I179" s="234" t="s">
        <v>5349</v>
      </c>
      <c r="J179" s="234" t="s">
        <v>5350</v>
      </c>
      <c r="K179" s="239" t="s">
        <v>5351</v>
      </c>
      <c r="L179" s="238" t="s">
        <v>5352</v>
      </c>
      <c r="M179" s="234" t="s">
        <v>5353</v>
      </c>
    </row>
    <row r="180" spans="1:13" ht="28.5">
      <c r="A180" s="234" t="str">
        <f t="shared" si="5"/>
        <v>DeclarationB28</v>
      </c>
      <c r="B180" s="234" t="s">
        <v>4871</v>
      </c>
      <c r="C180" s="234" t="s">
        <v>4523</v>
      </c>
      <c r="D180" s="234" t="s">
        <v>5354</v>
      </c>
      <c r="E180" s="237" t="s">
        <v>5355</v>
      </c>
      <c r="F180" s="234" t="s">
        <v>5355</v>
      </c>
      <c r="G180" s="234" t="s">
        <v>5356</v>
      </c>
      <c r="H180" s="234" t="s">
        <v>5357</v>
      </c>
      <c r="I180" s="234" t="s">
        <v>5358</v>
      </c>
      <c r="J180" s="234" t="s">
        <v>5354</v>
      </c>
      <c r="K180" s="239" t="s">
        <v>5359</v>
      </c>
      <c r="L180" s="238" t="s">
        <v>5359</v>
      </c>
      <c r="M180" s="234" t="s">
        <v>5360</v>
      </c>
    </row>
    <row r="181" spans="1:13" ht="28.5">
      <c r="A181" s="234" t="str">
        <f t="shared" si="5"/>
        <v>DeclarationB29</v>
      </c>
      <c r="B181" s="234" t="s">
        <v>4871</v>
      </c>
      <c r="C181" s="234" t="s">
        <v>4535</v>
      </c>
      <c r="D181" s="234" t="s">
        <v>5361</v>
      </c>
      <c r="E181" s="235" t="s">
        <v>5362</v>
      </c>
      <c r="F181" s="234" t="s">
        <v>5363</v>
      </c>
      <c r="G181" s="234" t="s">
        <v>5364</v>
      </c>
      <c r="H181" s="234" t="s">
        <v>5365</v>
      </c>
      <c r="I181" s="234" t="s">
        <v>5366</v>
      </c>
      <c r="J181" s="234" t="s">
        <v>5367</v>
      </c>
      <c r="K181" s="239" t="s">
        <v>5368</v>
      </c>
      <c r="L181" s="238" t="s">
        <v>5368</v>
      </c>
      <c r="M181" s="234" t="s">
        <v>5369</v>
      </c>
    </row>
    <row r="182" spans="1:13" ht="28.5">
      <c r="A182" s="234" t="str">
        <f t="shared" si="5"/>
        <v>DeclarationB38</v>
      </c>
      <c r="B182" s="234" t="s">
        <v>4871</v>
      </c>
      <c r="C182" s="234" t="s">
        <v>5370</v>
      </c>
      <c r="D182" s="234" t="s">
        <v>5335</v>
      </c>
      <c r="E182" s="235" t="s">
        <v>5336</v>
      </c>
      <c r="F182" s="234" t="s">
        <v>5337</v>
      </c>
      <c r="G182" s="234" t="s">
        <v>5338</v>
      </c>
      <c r="H182" s="234" t="s">
        <v>5339</v>
      </c>
      <c r="I182" s="234" t="s">
        <v>5340</v>
      </c>
      <c r="J182" s="234" t="s">
        <v>5341</v>
      </c>
      <c r="K182" s="239" t="s">
        <v>5342</v>
      </c>
      <c r="L182" s="238" t="s">
        <v>5342</v>
      </c>
      <c r="M182" s="234" t="s">
        <v>5343</v>
      </c>
    </row>
    <row r="183" spans="1:13" ht="28.5">
      <c r="A183" s="234" t="str">
        <f t="shared" si="5"/>
        <v>DeclarationB39</v>
      </c>
      <c r="B183" s="234" t="s">
        <v>4871</v>
      </c>
      <c r="C183" s="234" t="s">
        <v>5371</v>
      </c>
      <c r="D183" s="234" t="s">
        <v>5344</v>
      </c>
      <c r="E183" s="235" t="s">
        <v>5345</v>
      </c>
      <c r="F183" s="234" t="s">
        <v>5346</v>
      </c>
      <c r="G183" s="234" t="s">
        <v>5347</v>
      </c>
      <c r="H183" s="234" t="s">
        <v>5348</v>
      </c>
      <c r="I183" s="234" t="s">
        <v>5349</v>
      </c>
      <c r="J183" s="234" t="s">
        <v>5350</v>
      </c>
      <c r="K183" s="239" t="s">
        <v>5351</v>
      </c>
      <c r="L183" s="238" t="s">
        <v>5352</v>
      </c>
      <c r="M183" s="234" t="s">
        <v>5353</v>
      </c>
    </row>
    <row r="184" spans="1:13" ht="28.5">
      <c r="A184" s="234" t="str">
        <f t="shared" si="5"/>
        <v>DeclarationB40</v>
      </c>
      <c r="B184" s="234" t="s">
        <v>4871</v>
      </c>
      <c r="C184" s="234" t="s">
        <v>5372</v>
      </c>
      <c r="D184" s="234" t="s">
        <v>5354</v>
      </c>
      <c r="E184" s="235" t="s">
        <v>5355</v>
      </c>
      <c r="F184" s="234" t="s">
        <v>5355</v>
      </c>
      <c r="G184" s="234" t="s">
        <v>5356</v>
      </c>
      <c r="H184" s="234" t="s">
        <v>5357</v>
      </c>
      <c r="I184" s="234" t="s">
        <v>5358</v>
      </c>
      <c r="J184" s="234" t="s">
        <v>5354</v>
      </c>
      <c r="K184" s="239" t="s">
        <v>5359</v>
      </c>
      <c r="L184" s="238" t="s">
        <v>5359</v>
      </c>
      <c r="M184" s="234" t="s">
        <v>5360</v>
      </c>
    </row>
    <row r="185" spans="1:13" ht="28.5">
      <c r="A185" s="234" t="str">
        <f t="shared" si="5"/>
        <v>DeclarationB41</v>
      </c>
      <c r="B185" s="234" t="s">
        <v>4871</v>
      </c>
      <c r="C185" s="234" t="s">
        <v>5373</v>
      </c>
      <c r="D185" s="234" t="s">
        <v>5361</v>
      </c>
      <c r="E185" s="235" t="s">
        <v>5362</v>
      </c>
      <c r="F185" s="234" t="s">
        <v>5363</v>
      </c>
      <c r="G185" s="234" t="s">
        <v>5364</v>
      </c>
      <c r="H185" s="234" t="s">
        <v>5365</v>
      </c>
      <c r="I185" s="234" t="s">
        <v>5366</v>
      </c>
      <c r="J185" s="234" t="s">
        <v>5367</v>
      </c>
      <c r="K185" s="239" t="s">
        <v>5368</v>
      </c>
      <c r="L185" s="238" t="s">
        <v>5368</v>
      </c>
      <c r="M185" s="234" t="s">
        <v>5369</v>
      </c>
    </row>
    <row r="186" spans="1:13" ht="28.5">
      <c r="A186" s="234" t="str">
        <f t="shared" si="5"/>
        <v>DeclarationB44</v>
      </c>
      <c r="B186" s="234" t="s">
        <v>4871</v>
      </c>
      <c r="C186" s="234" t="s">
        <v>5374</v>
      </c>
      <c r="D186" s="234" t="s">
        <v>5335</v>
      </c>
      <c r="E186" s="235" t="s">
        <v>5336</v>
      </c>
      <c r="F186" s="234" t="s">
        <v>5337</v>
      </c>
      <c r="G186" s="234" t="s">
        <v>5338</v>
      </c>
      <c r="H186" s="234" t="s">
        <v>5339</v>
      </c>
      <c r="I186" s="234" t="s">
        <v>5340</v>
      </c>
      <c r="J186" s="234" t="s">
        <v>5341</v>
      </c>
      <c r="K186" s="239" t="s">
        <v>5342</v>
      </c>
      <c r="L186" s="238" t="s">
        <v>5342</v>
      </c>
      <c r="M186" s="234" t="s">
        <v>5343</v>
      </c>
    </row>
    <row r="187" spans="1:13" ht="28.5">
      <c r="A187" s="234" t="str">
        <f t="shared" si="5"/>
        <v>DeclarationB45</v>
      </c>
      <c r="B187" s="234" t="s">
        <v>4871</v>
      </c>
      <c r="C187" s="234" t="s">
        <v>5375</v>
      </c>
      <c r="D187" s="234" t="s">
        <v>5344</v>
      </c>
      <c r="E187" s="235" t="s">
        <v>5345</v>
      </c>
      <c r="F187" s="234" t="s">
        <v>5346</v>
      </c>
      <c r="G187" s="234" t="s">
        <v>5347</v>
      </c>
      <c r="H187" s="234" t="s">
        <v>5348</v>
      </c>
      <c r="I187" s="234" t="s">
        <v>5349</v>
      </c>
      <c r="J187" s="234" t="s">
        <v>5350</v>
      </c>
      <c r="K187" s="239" t="s">
        <v>5351</v>
      </c>
      <c r="L187" s="238" t="s">
        <v>5352</v>
      </c>
      <c r="M187" s="234" t="s">
        <v>5353</v>
      </c>
    </row>
    <row r="188" spans="1:13" ht="28.5">
      <c r="A188" s="234" t="str">
        <f t="shared" si="5"/>
        <v>DeclarationB46</v>
      </c>
      <c r="B188" s="234" t="s">
        <v>4871</v>
      </c>
      <c r="C188" s="234" t="s">
        <v>5376</v>
      </c>
      <c r="D188" s="234" t="s">
        <v>5354</v>
      </c>
      <c r="E188" s="235" t="s">
        <v>5355</v>
      </c>
      <c r="F188" s="234" t="s">
        <v>5355</v>
      </c>
      <c r="G188" s="234" t="s">
        <v>5356</v>
      </c>
      <c r="H188" s="234" t="s">
        <v>5357</v>
      </c>
      <c r="I188" s="234" t="s">
        <v>5358</v>
      </c>
      <c r="J188" s="234" t="s">
        <v>5354</v>
      </c>
      <c r="K188" s="239" t="s">
        <v>5359</v>
      </c>
      <c r="L188" s="238" t="s">
        <v>5359</v>
      </c>
      <c r="M188" s="234" t="s">
        <v>5360</v>
      </c>
    </row>
    <row r="189" spans="1:13" ht="28.5">
      <c r="A189" s="234" t="str">
        <f t="shared" si="5"/>
        <v>DeclarationB47</v>
      </c>
      <c r="B189" s="234" t="s">
        <v>4871</v>
      </c>
      <c r="C189" s="234" t="s">
        <v>5377</v>
      </c>
      <c r="D189" s="234" t="s">
        <v>5361</v>
      </c>
      <c r="E189" s="235" t="s">
        <v>5362</v>
      </c>
      <c r="F189" s="234" t="s">
        <v>5363</v>
      </c>
      <c r="G189" s="234" t="s">
        <v>5364</v>
      </c>
      <c r="H189" s="234" t="s">
        <v>5365</v>
      </c>
      <c r="I189" s="234" t="s">
        <v>5366</v>
      </c>
      <c r="J189" s="234" t="s">
        <v>5367</v>
      </c>
      <c r="K189" s="239" t="s">
        <v>5368</v>
      </c>
      <c r="L189" s="238" t="s">
        <v>5368</v>
      </c>
      <c r="M189" s="234" t="s">
        <v>5369</v>
      </c>
    </row>
    <row r="190" spans="1:13" ht="28.5">
      <c r="A190" s="234" t="str">
        <f t="shared" si="5"/>
        <v>DeclarationAth</v>
      </c>
      <c r="B190" s="234" t="s">
        <v>4871</v>
      </c>
      <c r="C190" s="234" t="s">
        <v>5378</v>
      </c>
      <c r="D190" s="234" t="s">
        <v>5379</v>
      </c>
      <c r="E190" s="237" t="s">
        <v>5380</v>
      </c>
      <c r="F190" s="234" t="s">
        <v>5381</v>
      </c>
      <c r="G190" s="234" t="s">
        <v>5382</v>
      </c>
      <c r="H190" s="234" t="s">
        <v>5383</v>
      </c>
      <c r="I190" s="234" t="s">
        <v>5384</v>
      </c>
      <c r="J190" s="234" t="s">
        <v>5385</v>
      </c>
      <c r="K190" s="239" t="s">
        <v>5386</v>
      </c>
      <c r="L190" s="238" t="s">
        <v>5387</v>
      </c>
      <c r="M190" s="234" t="s">
        <v>5388</v>
      </c>
    </row>
    <row r="191" spans="1:13" ht="28.5">
      <c r="A191" s="234" t="str">
        <f t="shared" si="5"/>
        <v>DeclarationB96</v>
      </c>
      <c r="B191" s="234" t="s">
        <v>4871</v>
      </c>
      <c r="C191" s="234" t="s">
        <v>5389</v>
      </c>
      <c r="D191" s="234" t="s">
        <v>116</v>
      </c>
      <c r="E191" s="237" t="s">
        <v>5390</v>
      </c>
      <c r="F191" s="234" t="s">
        <v>5391</v>
      </c>
      <c r="G191" s="234" t="s">
        <v>5392</v>
      </c>
      <c r="H191" s="234" t="s">
        <v>5393</v>
      </c>
      <c r="I191" s="234" t="s">
        <v>5394</v>
      </c>
      <c r="J191" s="234" t="s">
        <v>5395</v>
      </c>
      <c r="K191" s="239" t="s">
        <v>5396</v>
      </c>
      <c r="L191" s="238" t="s">
        <v>5397</v>
      </c>
      <c r="M191" s="234" t="s">
        <v>5398</v>
      </c>
    </row>
    <row r="192" spans="1:13" ht="28.5">
      <c r="A192" s="234" t="str">
        <f t="shared" si="5"/>
        <v>DeclarationB97</v>
      </c>
      <c r="B192" s="234" t="s">
        <v>4871</v>
      </c>
      <c r="C192" s="234" t="s">
        <v>5399</v>
      </c>
      <c r="D192" s="234" t="s">
        <v>117</v>
      </c>
      <c r="E192" s="237" t="s">
        <v>5400</v>
      </c>
      <c r="F192" s="234" t="s">
        <v>5401</v>
      </c>
      <c r="G192" s="234" t="s">
        <v>5402</v>
      </c>
      <c r="H192" s="234" t="s">
        <v>117</v>
      </c>
      <c r="I192" s="234" t="s">
        <v>5403</v>
      </c>
      <c r="J192" s="234" t="s">
        <v>5404</v>
      </c>
      <c r="K192" s="239" t="s">
        <v>117</v>
      </c>
      <c r="L192" s="238" t="s">
        <v>5405</v>
      </c>
      <c r="M192" s="234" t="s">
        <v>5406</v>
      </c>
    </row>
    <row r="193" spans="1:13" ht="28.5">
      <c r="A193" s="234" t="str">
        <f t="shared" si="5"/>
        <v>DeclarationB98</v>
      </c>
      <c r="B193" s="234" t="s">
        <v>4871</v>
      </c>
      <c r="C193" s="234" t="s">
        <v>5407</v>
      </c>
      <c r="D193" s="234" t="s">
        <v>121</v>
      </c>
      <c r="E193" s="235" t="s">
        <v>5408</v>
      </c>
      <c r="F193" s="234" t="s">
        <v>5409</v>
      </c>
      <c r="G193" s="234" t="s">
        <v>5410</v>
      </c>
      <c r="H193" s="234" t="s">
        <v>5411</v>
      </c>
      <c r="I193" s="234" t="s">
        <v>5412</v>
      </c>
      <c r="J193" s="234" t="s">
        <v>5413</v>
      </c>
      <c r="K193" s="239" t="s">
        <v>5414</v>
      </c>
      <c r="L193" s="238" t="s">
        <v>5415</v>
      </c>
      <c r="M193" s="234" t="s">
        <v>5416</v>
      </c>
    </row>
    <row r="194" spans="1:13" ht="28.5">
      <c r="A194" s="234" t="str">
        <f t="shared" si="5"/>
        <v>DeclarationB99</v>
      </c>
      <c r="B194" s="234" t="s">
        <v>4871</v>
      </c>
      <c r="C194" s="234" t="s">
        <v>5417</v>
      </c>
      <c r="D194" s="261">
        <v>1</v>
      </c>
      <c r="E194" s="262">
        <v>1</v>
      </c>
      <c r="F194" s="261">
        <v>1</v>
      </c>
      <c r="G194" s="261">
        <v>1</v>
      </c>
      <c r="H194" s="261" t="s">
        <v>5418</v>
      </c>
      <c r="I194" s="263">
        <v>1</v>
      </c>
      <c r="J194" s="263">
        <v>1</v>
      </c>
      <c r="K194" s="264">
        <v>1</v>
      </c>
      <c r="L194" s="265">
        <v>1</v>
      </c>
      <c r="M194" s="263" t="s">
        <v>5419</v>
      </c>
    </row>
    <row r="195" spans="1:13" ht="28.5">
      <c r="A195" s="234" t="str">
        <f t="shared" si="5"/>
        <v>DeclarationB100</v>
      </c>
      <c r="B195" s="234" t="s">
        <v>4871</v>
      </c>
      <c r="C195" s="234" t="s">
        <v>5420</v>
      </c>
      <c r="D195" s="266" t="s">
        <v>122</v>
      </c>
      <c r="E195" s="235" t="s">
        <v>5421</v>
      </c>
      <c r="F195" s="267" t="s">
        <v>5422</v>
      </c>
      <c r="G195" s="268" t="s">
        <v>5423</v>
      </c>
      <c r="H195" s="269" t="s">
        <v>5424</v>
      </c>
      <c r="I195" s="268" t="s">
        <v>5425</v>
      </c>
      <c r="J195" s="268" t="s">
        <v>5426</v>
      </c>
      <c r="K195" s="270" t="s">
        <v>5427</v>
      </c>
      <c r="L195" s="269" t="s">
        <v>5428</v>
      </c>
      <c r="M195" s="269" t="s">
        <v>5429</v>
      </c>
    </row>
    <row r="196" spans="1:13" ht="28.5">
      <c r="A196" s="234" t="str">
        <f t="shared" si="5"/>
        <v>DeclarationB101</v>
      </c>
      <c r="B196" s="234" t="s">
        <v>4871</v>
      </c>
      <c r="C196" s="234" t="s">
        <v>5430</v>
      </c>
      <c r="D196" s="266" t="s">
        <v>123</v>
      </c>
      <c r="E196" s="235" t="s">
        <v>5431</v>
      </c>
      <c r="F196" s="267" t="s">
        <v>5432</v>
      </c>
      <c r="G196" s="268" t="s">
        <v>5433</v>
      </c>
      <c r="H196" s="269" t="s">
        <v>5434</v>
      </c>
      <c r="I196" s="268" t="s">
        <v>5435</v>
      </c>
      <c r="J196" s="268" t="s">
        <v>5436</v>
      </c>
      <c r="K196" s="270" t="s">
        <v>5437</v>
      </c>
      <c r="L196" s="271" t="s">
        <v>5438</v>
      </c>
      <c r="M196" s="268" t="s">
        <v>5439</v>
      </c>
    </row>
    <row r="197" spans="1:13" ht="28.5">
      <c r="A197" s="234" t="str">
        <f t="shared" si="5"/>
        <v>DeclarationB102</v>
      </c>
      <c r="B197" s="234" t="s">
        <v>4871</v>
      </c>
      <c r="C197" s="234" t="s">
        <v>5440</v>
      </c>
      <c r="D197" s="266" t="s">
        <v>118</v>
      </c>
      <c r="E197" s="235" t="s">
        <v>5441</v>
      </c>
      <c r="F197" s="267" t="s">
        <v>5442</v>
      </c>
      <c r="G197" s="268" t="s">
        <v>5443</v>
      </c>
      <c r="H197" s="269" t="s">
        <v>5444</v>
      </c>
      <c r="I197" s="268" t="s">
        <v>5445</v>
      </c>
      <c r="J197" s="268" t="s">
        <v>5446</v>
      </c>
      <c r="K197" s="270" t="s">
        <v>5447</v>
      </c>
      <c r="L197" s="271" t="s">
        <v>5448</v>
      </c>
      <c r="M197" s="268" t="s">
        <v>5449</v>
      </c>
    </row>
    <row r="198" spans="1:13" ht="28.5">
      <c r="A198" s="234" t="str">
        <f t="shared" si="5"/>
        <v>DeclarationB103</v>
      </c>
      <c r="B198" s="234" t="s">
        <v>4871</v>
      </c>
      <c r="C198" s="234" t="s">
        <v>5450</v>
      </c>
      <c r="D198" s="266" t="s">
        <v>124</v>
      </c>
      <c r="E198" s="235" t="s">
        <v>5451</v>
      </c>
      <c r="F198" s="267" t="s">
        <v>5452</v>
      </c>
      <c r="G198" s="268" t="s">
        <v>5453</v>
      </c>
      <c r="H198" s="268" t="s">
        <v>5454</v>
      </c>
      <c r="I198" s="268" t="s">
        <v>5455</v>
      </c>
      <c r="J198" s="268" t="s">
        <v>5456</v>
      </c>
      <c r="K198" s="270" t="s">
        <v>5457</v>
      </c>
      <c r="L198" s="271" t="s">
        <v>5458</v>
      </c>
      <c r="M198" s="268" t="s">
        <v>5459</v>
      </c>
    </row>
    <row r="199" spans="1:13" ht="28.5">
      <c r="A199" s="234" t="str">
        <f t="shared" si="5"/>
        <v>DeclarationB104</v>
      </c>
      <c r="B199" s="234" t="s">
        <v>4871</v>
      </c>
      <c r="C199" s="234" t="s">
        <v>5460</v>
      </c>
      <c r="D199" s="234" t="s">
        <v>125</v>
      </c>
      <c r="E199" s="237" t="s">
        <v>5461</v>
      </c>
      <c r="F199" s="234" t="s">
        <v>5462</v>
      </c>
      <c r="G199" s="234" t="s">
        <v>5463</v>
      </c>
      <c r="H199" s="234" t="s">
        <v>5464</v>
      </c>
      <c r="I199" s="234" t="s">
        <v>5465</v>
      </c>
      <c r="J199" s="234" t="s">
        <v>5466</v>
      </c>
      <c r="K199" s="239" t="s">
        <v>5467</v>
      </c>
      <c r="L199" s="238" t="s">
        <v>5468</v>
      </c>
      <c r="M199" s="234" t="s">
        <v>5469</v>
      </c>
    </row>
    <row r="200" spans="1:13" ht="28.5">
      <c r="A200" s="234" t="str">
        <f t="shared" si="5"/>
        <v>DeclarationB105</v>
      </c>
      <c r="B200" s="234" t="s">
        <v>4871</v>
      </c>
      <c r="C200" s="234" t="s">
        <v>5470</v>
      </c>
      <c r="D200" s="272" t="s">
        <v>5471</v>
      </c>
      <c r="E200" s="252" t="s">
        <v>5472</v>
      </c>
      <c r="F200" s="248" t="s">
        <v>5473</v>
      </c>
      <c r="G200" s="246" t="s">
        <v>5474</v>
      </c>
      <c r="H200" s="246" t="s">
        <v>5475</v>
      </c>
      <c r="I200" s="246" t="s">
        <v>5476</v>
      </c>
      <c r="J200" s="246" t="s">
        <v>5477</v>
      </c>
      <c r="K200" s="247" t="s">
        <v>5478</v>
      </c>
      <c r="L200" s="245" t="s">
        <v>5479</v>
      </c>
      <c r="M200" s="246" t="s">
        <v>5480</v>
      </c>
    </row>
    <row r="201" spans="1:13" ht="30">
      <c r="A201" s="234" t="str">
        <f t="shared" si="5"/>
        <v>DeclarationB106</v>
      </c>
      <c r="B201" s="234" t="s">
        <v>4871</v>
      </c>
      <c r="C201" s="234" t="s">
        <v>5481</v>
      </c>
      <c r="D201" s="272" t="s">
        <v>126</v>
      </c>
      <c r="E201" s="252" t="s">
        <v>5482</v>
      </c>
      <c r="F201" s="248" t="s">
        <v>5483</v>
      </c>
      <c r="G201" s="246" t="s">
        <v>5484</v>
      </c>
      <c r="H201" s="246" t="s">
        <v>5485</v>
      </c>
      <c r="I201" s="246" t="s">
        <v>5486</v>
      </c>
      <c r="J201" s="246" t="s">
        <v>5487</v>
      </c>
      <c r="K201" s="247" t="s">
        <v>5488</v>
      </c>
      <c r="L201" s="245" t="s">
        <v>5489</v>
      </c>
      <c r="M201" s="246" t="s">
        <v>5490</v>
      </c>
    </row>
    <row r="202" spans="1:13" ht="28.5">
      <c r="A202" s="234" t="str">
        <f t="shared" si="5"/>
        <v>DeclarationB107</v>
      </c>
      <c r="B202" s="234" t="s">
        <v>4871</v>
      </c>
      <c r="C202" s="234" t="s">
        <v>5491</v>
      </c>
      <c r="D202" s="272" t="s">
        <v>117</v>
      </c>
      <c r="E202" s="252" t="s">
        <v>5400</v>
      </c>
      <c r="F202" s="248" t="s">
        <v>5492</v>
      </c>
      <c r="G202" s="246" t="s">
        <v>5493</v>
      </c>
      <c r="H202" s="246" t="s">
        <v>5494</v>
      </c>
      <c r="I202" s="246" t="s">
        <v>5495</v>
      </c>
      <c r="J202" s="246" t="s">
        <v>5496</v>
      </c>
      <c r="K202" s="247" t="s">
        <v>5493</v>
      </c>
      <c r="L202" s="273" t="s">
        <v>5497</v>
      </c>
      <c r="M202" s="246" t="s">
        <v>5498</v>
      </c>
    </row>
    <row r="203" spans="1:13" ht="28.5">
      <c r="A203" s="234" t="str">
        <f t="shared" si="5"/>
        <v>DeclarationB108</v>
      </c>
      <c r="B203" s="234" t="s">
        <v>4871</v>
      </c>
      <c r="C203" s="234" t="s">
        <v>5499</v>
      </c>
      <c r="D203" s="272" t="s">
        <v>120</v>
      </c>
      <c r="E203" s="272" t="s">
        <v>5500</v>
      </c>
      <c r="F203" s="272" t="s">
        <v>5501</v>
      </c>
      <c r="G203" s="272" t="s">
        <v>5502</v>
      </c>
      <c r="H203" s="272" t="s">
        <v>5503</v>
      </c>
      <c r="I203" s="272" t="s">
        <v>5504</v>
      </c>
      <c r="J203" s="272" t="s">
        <v>5505</v>
      </c>
      <c r="K203" s="272" t="s">
        <v>5506</v>
      </c>
      <c r="L203" s="272" t="s">
        <v>5507</v>
      </c>
      <c r="M203" s="272" t="s">
        <v>5508</v>
      </c>
    </row>
    <row r="204" spans="1:13" ht="28.5">
      <c r="A204" s="234" t="str">
        <f t="shared" si="5"/>
        <v>DeclarationB109</v>
      </c>
      <c r="B204" s="234" t="s">
        <v>4871</v>
      </c>
      <c r="C204" s="234" t="s">
        <v>5509</v>
      </c>
      <c r="D204" s="272" t="s">
        <v>127</v>
      </c>
      <c r="E204" s="272" t="s">
        <v>5510</v>
      </c>
      <c r="F204" s="272" t="s">
        <v>5511</v>
      </c>
      <c r="G204" s="272" t="s">
        <v>5512</v>
      </c>
      <c r="H204" s="272" t="s">
        <v>5513</v>
      </c>
      <c r="I204" s="272" t="s">
        <v>5514</v>
      </c>
      <c r="J204" s="272" t="s">
        <v>5515</v>
      </c>
      <c r="K204" s="272" t="s">
        <v>5516</v>
      </c>
      <c r="L204" s="272" t="s">
        <v>5517</v>
      </c>
      <c r="M204" s="272" t="s">
        <v>5518</v>
      </c>
    </row>
    <row r="205" spans="1:13" ht="28.5">
      <c r="A205" s="234" t="str">
        <f t="shared" si="5"/>
        <v>DeclarationB110</v>
      </c>
      <c r="B205" s="234" t="s">
        <v>4871</v>
      </c>
      <c r="C205" s="234" t="s">
        <v>5519</v>
      </c>
      <c r="D205" s="272" t="s">
        <v>128</v>
      </c>
      <c r="E205" s="272" t="s">
        <v>5520</v>
      </c>
      <c r="F205" s="272" t="s">
        <v>5521</v>
      </c>
      <c r="G205" s="272" t="s">
        <v>5522</v>
      </c>
      <c r="H205" s="272" t="s">
        <v>5523</v>
      </c>
      <c r="I205" s="272" t="s">
        <v>5524</v>
      </c>
      <c r="J205" s="272" t="s">
        <v>5525</v>
      </c>
      <c r="K205" s="272" t="s">
        <v>5526</v>
      </c>
      <c r="L205" s="272" t="s">
        <v>5527</v>
      </c>
      <c r="M205" s="272" t="s">
        <v>5528</v>
      </c>
    </row>
    <row r="206" spans="1:13" ht="28.5">
      <c r="A206" s="234" t="str">
        <f t="shared" si="5"/>
        <v>DeclarationB111</v>
      </c>
      <c r="B206" s="234" t="s">
        <v>4871</v>
      </c>
      <c r="C206" s="234" t="s">
        <v>5529</v>
      </c>
      <c r="D206" s="272" t="s">
        <v>117</v>
      </c>
      <c r="E206" s="252" t="s">
        <v>5400</v>
      </c>
      <c r="F206" s="248" t="s">
        <v>5492</v>
      </c>
      <c r="G206" s="246" t="s">
        <v>5493</v>
      </c>
      <c r="H206" s="246" t="s">
        <v>5494</v>
      </c>
      <c r="I206" s="246" t="s">
        <v>5495</v>
      </c>
      <c r="J206" s="246" t="s">
        <v>5496</v>
      </c>
      <c r="K206" s="247" t="s">
        <v>5493</v>
      </c>
      <c r="L206" s="273" t="s">
        <v>5497</v>
      </c>
      <c r="M206" s="246" t="s">
        <v>5498</v>
      </c>
    </row>
    <row r="207" spans="1:13" ht="409.5" customHeight="1">
      <c r="A207" s="234" t="str">
        <f t="shared" si="5"/>
        <v>Smelter Look-upA1</v>
      </c>
      <c r="B207" s="234" t="s">
        <v>5530</v>
      </c>
      <c r="C207" s="234" t="s">
        <v>3502</v>
      </c>
      <c r="D207" s="113" t="s">
        <v>5531</v>
      </c>
      <c r="E207" s="244" t="s">
        <v>5532</v>
      </c>
      <c r="F207" s="248" t="s">
        <v>5533</v>
      </c>
      <c r="G207" s="246" t="s">
        <v>5534</v>
      </c>
      <c r="H207" s="246" t="s">
        <v>5535</v>
      </c>
      <c r="I207" s="246" t="s">
        <v>5536</v>
      </c>
      <c r="J207" s="246" t="s">
        <v>5537</v>
      </c>
      <c r="K207" s="247" t="s">
        <v>5538</v>
      </c>
      <c r="L207" s="274" t="s">
        <v>5539</v>
      </c>
      <c r="M207" s="246" t="s">
        <v>5540</v>
      </c>
    </row>
    <row r="208" spans="1:13" ht="28.5">
      <c r="A208" s="234" t="str">
        <f t="shared" si="5"/>
        <v>Smelter Look-upA4</v>
      </c>
      <c r="B208" s="234" t="s">
        <v>5530</v>
      </c>
      <c r="C208" s="234" t="s">
        <v>3534</v>
      </c>
      <c r="D208" s="234" t="s">
        <v>5541</v>
      </c>
      <c r="E208" s="252" t="s">
        <v>5542</v>
      </c>
      <c r="F208" s="234" t="s">
        <v>5542</v>
      </c>
      <c r="G208" s="234" t="s">
        <v>5543</v>
      </c>
      <c r="H208" s="234" t="s">
        <v>5544</v>
      </c>
      <c r="I208" s="234" t="s">
        <v>5541</v>
      </c>
      <c r="J208" s="258" t="s">
        <v>5545</v>
      </c>
      <c r="K208" s="239" t="s">
        <v>5541</v>
      </c>
      <c r="L208" s="238" t="s">
        <v>5546</v>
      </c>
      <c r="M208" s="234" t="s">
        <v>5541</v>
      </c>
    </row>
    <row r="209" spans="1:13" ht="28.5">
      <c r="A209" s="234" t="str">
        <f t="shared" ref="A209:A217" si="6">B209&amp;C209</f>
        <v>Smelter Look-upB4</v>
      </c>
      <c r="B209" s="234" t="s">
        <v>5530</v>
      </c>
      <c r="C209" s="234" t="s">
        <v>4280</v>
      </c>
      <c r="D209" s="234" t="s">
        <v>5547</v>
      </c>
      <c r="E209" s="252" t="s">
        <v>5548</v>
      </c>
      <c r="F209" s="248" t="s">
        <v>5549</v>
      </c>
      <c r="G209" s="246" t="s">
        <v>5550</v>
      </c>
      <c r="H209" s="246" t="s">
        <v>5551</v>
      </c>
      <c r="I209" s="246" t="s">
        <v>5552</v>
      </c>
      <c r="J209" s="245" t="s">
        <v>5553</v>
      </c>
      <c r="K209" s="247" t="s">
        <v>5554</v>
      </c>
      <c r="L209" s="245" t="s">
        <v>5555</v>
      </c>
      <c r="M209" s="246" t="s">
        <v>5556</v>
      </c>
    </row>
    <row r="210" spans="1:13" ht="28.5">
      <c r="A210" s="234" t="str">
        <f t="shared" si="6"/>
        <v>Smelter Look-up</v>
      </c>
      <c r="B210" s="234" t="s">
        <v>5530</v>
      </c>
      <c r="D210" s="234" t="s">
        <v>5557</v>
      </c>
      <c r="E210" s="252" t="s">
        <v>5558</v>
      </c>
      <c r="F210" s="234" t="s">
        <v>5559</v>
      </c>
      <c r="G210" s="234" t="s">
        <v>5560</v>
      </c>
      <c r="H210" s="234" t="s">
        <v>5561</v>
      </c>
      <c r="I210" s="234" t="s">
        <v>5562</v>
      </c>
      <c r="J210" s="258" t="s">
        <v>5563</v>
      </c>
      <c r="K210" s="239" t="s">
        <v>5564</v>
      </c>
      <c r="L210" s="238" t="s">
        <v>5565</v>
      </c>
      <c r="M210" s="234" t="s">
        <v>5566</v>
      </c>
    </row>
    <row r="211" spans="1:13" ht="28.5">
      <c r="A211" s="234" t="str">
        <f t="shared" si="6"/>
        <v>Smelter Look-upC4</v>
      </c>
      <c r="B211" s="234" t="s">
        <v>5530</v>
      </c>
      <c r="C211" s="234" t="s">
        <v>4591</v>
      </c>
      <c r="D211" s="234" t="s">
        <v>5567</v>
      </c>
      <c r="E211" s="235" t="s">
        <v>5568</v>
      </c>
      <c r="F211" s="234" t="s">
        <v>5569</v>
      </c>
      <c r="G211" s="234" t="s">
        <v>5570</v>
      </c>
      <c r="H211" s="234" t="s">
        <v>5571</v>
      </c>
      <c r="I211" s="234" t="s">
        <v>5572</v>
      </c>
      <c r="J211" s="258" t="s">
        <v>5573</v>
      </c>
      <c r="K211" s="239" t="s">
        <v>5574</v>
      </c>
      <c r="L211" s="238" t="s">
        <v>5575</v>
      </c>
      <c r="M211" s="234" t="s">
        <v>5576</v>
      </c>
    </row>
    <row r="212" spans="1:13" ht="28.5">
      <c r="A212" s="234" t="str">
        <f t="shared" si="6"/>
        <v>Smelter Look-upD4</v>
      </c>
      <c r="B212" s="234" t="s">
        <v>5530</v>
      </c>
      <c r="C212" s="234" t="s">
        <v>5577</v>
      </c>
      <c r="D212" s="234" t="s">
        <v>5578</v>
      </c>
      <c r="E212" s="275" t="s">
        <v>5579</v>
      </c>
      <c r="F212" s="234" t="s">
        <v>5580</v>
      </c>
      <c r="G212" s="234" t="s">
        <v>5581</v>
      </c>
      <c r="H212" s="234" t="s">
        <v>5582</v>
      </c>
      <c r="I212" s="234" t="s">
        <v>5583</v>
      </c>
      <c r="J212" s="258" t="s">
        <v>5584</v>
      </c>
      <c r="K212" s="239" t="s">
        <v>5585</v>
      </c>
      <c r="L212" s="238" t="s">
        <v>5586</v>
      </c>
      <c r="M212" s="234" t="s">
        <v>5587</v>
      </c>
    </row>
    <row r="213" spans="1:13" ht="28.5">
      <c r="A213" s="234" t="str">
        <f t="shared" si="6"/>
        <v>Smelter Look-upE4</v>
      </c>
      <c r="B213" s="234" t="s">
        <v>5530</v>
      </c>
      <c r="C213" s="234" t="s">
        <v>5588</v>
      </c>
      <c r="D213" s="234" t="s">
        <v>5589</v>
      </c>
      <c r="E213" s="252" t="s">
        <v>5590</v>
      </c>
      <c r="F213" s="248" t="s">
        <v>5591</v>
      </c>
      <c r="G213" s="246" t="s">
        <v>5592</v>
      </c>
      <c r="H213" s="246" t="s">
        <v>5593</v>
      </c>
      <c r="I213" s="246" t="s">
        <v>5594</v>
      </c>
      <c r="J213" s="245" t="s">
        <v>5595</v>
      </c>
      <c r="K213" s="247" t="s">
        <v>5596</v>
      </c>
      <c r="L213" s="245" t="s">
        <v>5597</v>
      </c>
      <c r="M213" s="246" t="s">
        <v>5598</v>
      </c>
    </row>
    <row r="214" spans="1:13" ht="28.5">
      <c r="A214" s="234" t="str">
        <f t="shared" si="6"/>
        <v>Smelter Look-upF4</v>
      </c>
      <c r="B214" s="234" t="s">
        <v>5530</v>
      </c>
      <c r="C214" s="234" t="s">
        <v>5599</v>
      </c>
      <c r="D214" s="234" t="s">
        <v>5600</v>
      </c>
      <c r="E214" s="237" t="s">
        <v>5601</v>
      </c>
      <c r="F214" s="234" t="s">
        <v>5602</v>
      </c>
      <c r="G214" s="234" t="s">
        <v>5603</v>
      </c>
      <c r="H214" s="234" t="s">
        <v>5604</v>
      </c>
      <c r="I214" s="234" t="s">
        <v>5605</v>
      </c>
      <c r="J214" s="258" t="s">
        <v>5606</v>
      </c>
      <c r="K214" s="239" t="s">
        <v>5607</v>
      </c>
      <c r="L214" s="238" t="s">
        <v>5608</v>
      </c>
      <c r="M214" s="234" t="s">
        <v>5609</v>
      </c>
    </row>
    <row r="215" spans="1:13" ht="28.5" customHeight="1">
      <c r="A215" s="234" t="str">
        <f t="shared" si="6"/>
        <v>Smelter Look-upG4</v>
      </c>
      <c r="B215" s="234" t="s">
        <v>5530</v>
      </c>
      <c r="C215" s="234" t="s">
        <v>5610</v>
      </c>
      <c r="D215" s="234" t="s">
        <v>5611</v>
      </c>
      <c r="E215" s="237" t="s">
        <v>5612</v>
      </c>
      <c r="F215" s="234" t="s">
        <v>5613</v>
      </c>
      <c r="G215" s="234" t="s">
        <v>5614</v>
      </c>
      <c r="H215" s="234" t="s">
        <v>5615</v>
      </c>
      <c r="I215" s="234" t="s">
        <v>5616</v>
      </c>
      <c r="J215" s="258" t="s">
        <v>5617</v>
      </c>
      <c r="K215" s="239" t="s">
        <v>5618</v>
      </c>
      <c r="L215" s="238" t="s">
        <v>5619</v>
      </c>
      <c r="M215" s="234" t="s">
        <v>5620</v>
      </c>
    </row>
    <row r="216" spans="1:13" ht="28.5" customHeight="1">
      <c r="A216" s="234" t="str">
        <f t="shared" si="6"/>
        <v>Smelter Look-upH4</v>
      </c>
      <c r="B216" s="234" t="s">
        <v>5530</v>
      </c>
      <c r="C216" s="234" t="s">
        <v>5621</v>
      </c>
      <c r="D216" s="234" t="s">
        <v>5622</v>
      </c>
      <c r="E216" s="237" t="s">
        <v>5623</v>
      </c>
      <c r="F216" s="234" t="s">
        <v>5624</v>
      </c>
      <c r="G216" s="234" t="s">
        <v>5625</v>
      </c>
      <c r="H216" s="234" t="s">
        <v>5626</v>
      </c>
      <c r="I216" s="234" t="s">
        <v>5627</v>
      </c>
      <c r="J216" s="258" t="s">
        <v>5628</v>
      </c>
      <c r="K216" s="239" t="s">
        <v>5629</v>
      </c>
      <c r="L216" s="238" t="s">
        <v>5630</v>
      </c>
      <c r="M216" s="234" t="s">
        <v>5631</v>
      </c>
    </row>
    <row r="217" spans="1:13" ht="28.5" customHeight="1">
      <c r="A217" s="234" t="str">
        <f t="shared" si="6"/>
        <v>Smelter Look-upI4</v>
      </c>
      <c r="B217" s="234" t="s">
        <v>5530</v>
      </c>
      <c r="C217" s="234" t="s">
        <v>4896</v>
      </c>
      <c r="D217" s="234" t="s">
        <v>5632</v>
      </c>
      <c r="E217" s="237" t="s">
        <v>5633</v>
      </c>
      <c r="F217" s="234" t="s">
        <v>5634</v>
      </c>
      <c r="G217" s="234" t="s">
        <v>5635</v>
      </c>
      <c r="H217" s="234" t="s">
        <v>5636</v>
      </c>
      <c r="I217" s="234" t="s">
        <v>5637</v>
      </c>
      <c r="J217" s="258" t="s">
        <v>5638</v>
      </c>
      <c r="K217" s="239" t="s">
        <v>5639</v>
      </c>
      <c r="L217" s="238" t="s">
        <v>5640</v>
      </c>
      <c r="M217" s="234" t="s">
        <v>5641</v>
      </c>
    </row>
    <row r="218" spans="1:13" ht="28.5" customHeight="1">
      <c r="A218" s="234" t="s">
        <v>5642</v>
      </c>
      <c r="B218" s="234" t="s">
        <v>5643</v>
      </c>
      <c r="C218" s="234" t="s">
        <v>3534</v>
      </c>
      <c r="D218" s="234" t="s">
        <v>5644</v>
      </c>
      <c r="E218" s="237" t="s">
        <v>5645</v>
      </c>
      <c r="F218" s="234" t="s">
        <v>5646</v>
      </c>
      <c r="G218" s="234" t="s">
        <v>5647</v>
      </c>
      <c r="H218" s="234" t="s">
        <v>5648</v>
      </c>
      <c r="I218" s="234" t="s">
        <v>5649</v>
      </c>
      <c r="J218" s="258" t="s">
        <v>5650</v>
      </c>
      <c r="K218" s="239" t="s">
        <v>5651</v>
      </c>
      <c r="L218" s="238" t="s">
        <v>5652</v>
      </c>
      <c r="M218" s="234" t="s">
        <v>5653</v>
      </c>
    </row>
    <row r="219" spans="1:13" ht="28.5" customHeight="1">
      <c r="A219" s="234" t="str">
        <f t="shared" ref="A219:A246" si="7">B219&amp;C219</f>
        <v>Smelter ListB4</v>
      </c>
      <c r="B219" s="234" t="s">
        <v>5643</v>
      </c>
      <c r="C219" s="234" t="s">
        <v>4280</v>
      </c>
      <c r="D219" s="234" t="s">
        <v>5654</v>
      </c>
      <c r="E219" s="237" t="s">
        <v>5655</v>
      </c>
      <c r="F219" s="234" t="s">
        <v>5655</v>
      </c>
      <c r="G219" s="234" t="s">
        <v>5656</v>
      </c>
      <c r="H219" s="234" t="s">
        <v>5657</v>
      </c>
      <c r="I219" s="234" t="s">
        <v>5654</v>
      </c>
      <c r="J219" s="258" t="s">
        <v>5658</v>
      </c>
      <c r="K219" s="239" t="s">
        <v>5654</v>
      </c>
      <c r="L219" s="238" t="s">
        <v>5659</v>
      </c>
      <c r="M219" s="234" t="s">
        <v>5660</v>
      </c>
    </row>
    <row r="220" spans="1:13" ht="28.5" customHeight="1">
      <c r="A220" s="234" t="str">
        <f t="shared" si="7"/>
        <v>Smelter ListC4</v>
      </c>
      <c r="B220" s="234" t="s">
        <v>5643</v>
      </c>
      <c r="C220" s="234" t="s">
        <v>4591</v>
      </c>
      <c r="D220" s="234" t="s">
        <v>5547</v>
      </c>
      <c r="E220" s="252" t="s">
        <v>5548</v>
      </c>
      <c r="F220" s="248" t="s">
        <v>5549</v>
      </c>
      <c r="G220" s="246" t="s">
        <v>5550</v>
      </c>
      <c r="H220" s="246" t="s">
        <v>5551</v>
      </c>
      <c r="I220" s="246" t="s">
        <v>5552</v>
      </c>
      <c r="J220" s="245" t="s">
        <v>5553</v>
      </c>
      <c r="K220" s="247" t="s">
        <v>5554</v>
      </c>
      <c r="L220" s="245" t="s">
        <v>5555</v>
      </c>
      <c r="M220" s="246" t="s">
        <v>5556</v>
      </c>
    </row>
    <row r="221" spans="1:13" ht="44.25" customHeight="1">
      <c r="A221" s="234" t="str">
        <f t="shared" si="7"/>
        <v>Smelter ListD4</v>
      </c>
      <c r="B221" s="234" t="s">
        <v>5643</v>
      </c>
      <c r="C221" s="234" t="s">
        <v>5577</v>
      </c>
      <c r="D221" s="246" t="s">
        <v>5661</v>
      </c>
      <c r="E221" s="252" t="s">
        <v>5662</v>
      </c>
      <c r="F221" s="248" t="s">
        <v>5663</v>
      </c>
      <c r="G221" s="245" t="s">
        <v>5664</v>
      </c>
      <c r="H221" s="245" t="s">
        <v>5665</v>
      </c>
      <c r="I221" s="245" t="s">
        <v>5666</v>
      </c>
      <c r="J221" s="245" t="s">
        <v>5667</v>
      </c>
      <c r="K221" s="247" t="s">
        <v>5668</v>
      </c>
      <c r="L221" s="245" t="s">
        <v>5669</v>
      </c>
      <c r="M221" s="245" t="s">
        <v>5670</v>
      </c>
    </row>
    <row r="222" spans="1:13" ht="14.25" customHeight="1">
      <c r="A222" s="234" t="str">
        <f t="shared" si="7"/>
        <v>Smelter ListE4</v>
      </c>
      <c r="B222" s="234" t="s">
        <v>5643</v>
      </c>
      <c r="C222" s="234" t="s">
        <v>5588</v>
      </c>
      <c r="D222" s="234" t="s">
        <v>5671</v>
      </c>
      <c r="E222" s="237" t="s">
        <v>5672</v>
      </c>
      <c r="F222" s="234" t="s">
        <v>5673</v>
      </c>
      <c r="G222" s="234" t="s">
        <v>5674</v>
      </c>
      <c r="H222" s="234" t="s">
        <v>5675</v>
      </c>
      <c r="I222" s="234" t="s">
        <v>5676</v>
      </c>
      <c r="J222" s="258" t="s">
        <v>5677</v>
      </c>
      <c r="K222" s="239" t="s">
        <v>5678</v>
      </c>
      <c r="L222" s="238" t="s">
        <v>5679</v>
      </c>
      <c r="M222" s="234" t="s">
        <v>5680</v>
      </c>
    </row>
    <row r="223" spans="1:13" ht="28.5" customHeight="1">
      <c r="A223" s="234" t="str">
        <f t="shared" si="7"/>
        <v>Smelter ListH4</v>
      </c>
      <c r="B223" s="234" t="s">
        <v>5643</v>
      </c>
      <c r="C223" s="234" t="s">
        <v>5621</v>
      </c>
      <c r="D223" s="234" t="s">
        <v>5611</v>
      </c>
      <c r="E223" s="237" t="s">
        <v>5612</v>
      </c>
      <c r="F223" s="234" t="s">
        <v>5613</v>
      </c>
      <c r="G223" s="234" t="s">
        <v>5614</v>
      </c>
      <c r="H223" s="234" t="s">
        <v>5615</v>
      </c>
      <c r="I223" s="234" t="s">
        <v>5616</v>
      </c>
      <c r="J223" s="258" t="s">
        <v>5617</v>
      </c>
      <c r="K223" s="239" t="s">
        <v>5618</v>
      </c>
      <c r="L223" s="238" t="s">
        <v>5619</v>
      </c>
      <c r="M223" s="234" t="s">
        <v>5620</v>
      </c>
    </row>
    <row r="224" spans="1:13" ht="14.25" customHeight="1">
      <c r="A224" s="234" t="str">
        <f t="shared" si="7"/>
        <v>Smelter ListI4</v>
      </c>
      <c r="B224" s="234" t="s">
        <v>5643</v>
      </c>
      <c r="C224" s="234" t="s">
        <v>4896</v>
      </c>
      <c r="D224" s="234" t="s">
        <v>5622</v>
      </c>
      <c r="E224" s="235" t="s">
        <v>5623</v>
      </c>
      <c r="F224" s="234" t="s">
        <v>5624</v>
      </c>
      <c r="G224" s="234" t="s">
        <v>5625</v>
      </c>
      <c r="H224" s="234" t="s">
        <v>5626</v>
      </c>
      <c r="I224" s="234" t="s">
        <v>5627</v>
      </c>
      <c r="J224" s="258" t="s">
        <v>5628</v>
      </c>
      <c r="K224" s="239" t="s">
        <v>5629</v>
      </c>
      <c r="L224" s="238" t="s">
        <v>5630</v>
      </c>
      <c r="M224" s="234" t="s">
        <v>5631</v>
      </c>
    </row>
    <row r="225" spans="1:13" ht="28.5">
      <c r="A225" s="234" t="str">
        <f t="shared" si="7"/>
        <v>Smelter ListJ4</v>
      </c>
      <c r="B225" s="234" t="s">
        <v>5643</v>
      </c>
      <c r="C225" s="234" t="s">
        <v>5681</v>
      </c>
      <c r="D225" s="234" t="s">
        <v>5632</v>
      </c>
      <c r="E225" s="235" t="s">
        <v>5633</v>
      </c>
      <c r="F225" s="234" t="s">
        <v>5634</v>
      </c>
      <c r="G225" s="234" t="s">
        <v>5635</v>
      </c>
      <c r="H225" s="234" t="s">
        <v>5636</v>
      </c>
      <c r="I225" s="234" t="s">
        <v>5637</v>
      </c>
      <c r="J225" s="258" t="s">
        <v>5638</v>
      </c>
      <c r="K225" s="239" t="s">
        <v>5639</v>
      </c>
      <c r="L225" s="238" t="s">
        <v>5640</v>
      </c>
      <c r="M225" s="234" t="s">
        <v>5641</v>
      </c>
    </row>
    <row r="226" spans="1:13" ht="28.5">
      <c r="A226" s="234" t="str">
        <f t="shared" si="7"/>
        <v>Smelter ListK4</v>
      </c>
      <c r="B226" s="234" t="s">
        <v>5643</v>
      </c>
      <c r="C226" s="234" t="s">
        <v>5682</v>
      </c>
      <c r="D226" s="234" t="s">
        <v>5683</v>
      </c>
      <c r="E226" s="237" t="s">
        <v>5684</v>
      </c>
      <c r="F226" s="234" t="s">
        <v>5685</v>
      </c>
      <c r="G226" s="234" t="s">
        <v>5686</v>
      </c>
      <c r="H226" s="234" t="s">
        <v>5687</v>
      </c>
      <c r="I226" s="234" t="s">
        <v>5688</v>
      </c>
      <c r="J226" s="258" t="s">
        <v>5689</v>
      </c>
      <c r="K226" s="239" t="s">
        <v>5690</v>
      </c>
      <c r="L226" s="238" t="s">
        <v>5691</v>
      </c>
      <c r="M226" s="234" t="s">
        <v>5692</v>
      </c>
    </row>
    <row r="227" spans="1:13">
      <c r="A227" s="234" t="str">
        <f t="shared" si="7"/>
        <v>Smelter ListL4</v>
      </c>
      <c r="B227" s="234" t="s">
        <v>5643</v>
      </c>
      <c r="C227" s="234" t="s">
        <v>5693</v>
      </c>
      <c r="D227" s="234" t="s">
        <v>5694</v>
      </c>
      <c r="E227" s="237" t="s">
        <v>5695</v>
      </c>
      <c r="F227" s="234" t="s">
        <v>5696</v>
      </c>
      <c r="G227" s="234" t="s">
        <v>5697</v>
      </c>
      <c r="H227" s="234" t="s">
        <v>5698</v>
      </c>
      <c r="I227" s="234" t="s">
        <v>5699</v>
      </c>
      <c r="J227" s="258" t="s">
        <v>5700</v>
      </c>
      <c r="K227" s="239" t="s">
        <v>5701</v>
      </c>
      <c r="L227" s="238" t="s">
        <v>5702</v>
      </c>
      <c r="M227" s="234" t="s">
        <v>5703</v>
      </c>
    </row>
    <row r="228" spans="1:13" ht="28.5">
      <c r="A228" s="234" t="str">
        <f t="shared" si="7"/>
        <v>Smelter ListM4</v>
      </c>
      <c r="B228" s="234" t="s">
        <v>5643</v>
      </c>
      <c r="C228" s="234" t="s">
        <v>5704</v>
      </c>
      <c r="D228" s="234" t="s">
        <v>5705</v>
      </c>
      <c r="E228" s="237" t="s">
        <v>5706</v>
      </c>
      <c r="F228" s="234" t="s">
        <v>5707</v>
      </c>
      <c r="G228" s="234" t="s">
        <v>5708</v>
      </c>
      <c r="H228" s="234" t="s">
        <v>5709</v>
      </c>
      <c r="I228" s="234" t="s">
        <v>5710</v>
      </c>
      <c r="J228" s="258" t="s">
        <v>5711</v>
      </c>
      <c r="K228" s="239" t="s">
        <v>5712</v>
      </c>
      <c r="L228" s="238" t="s">
        <v>5713</v>
      </c>
      <c r="M228" s="234" t="s">
        <v>5714</v>
      </c>
    </row>
    <row r="229" spans="1:13" ht="42.75">
      <c r="A229" s="234" t="str">
        <f t="shared" si="7"/>
        <v>Smelter ListN4</v>
      </c>
      <c r="B229" s="234" t="s">
        <v>5643</v>
      </c>
      <c r="C229" s="234" t="s">
        <v>5715</v>
      </c>
      <c r="D229" s="234" t="s">
        <v>5716</v>
      </c>
      <c r="E229" s="237" t="s">
        <v>5717</v>
      </c>
      <c r="F229" s="234" t="s">
        <v>5718</v>
      </c>
      <c r="G229" s="234" t="s">
        <v>5719</v>
      </c>
      <c r="H229" s="256" t="s">
        <v>5720</v>
      </c>
      <c r="I229" s="234" t="s">
        <v>5721</v>
      </c>
      <c r="J229" s="258" t="s">
        <v>5722</v>
      </c>
      <c r="K229" s="239" t="s">
        <v>5723</v>
      </c>
      <c r="L229" s="238" t="s">
        <v>5724</v>
      </c>
      <c r="M229" s="234" t="s">
        <v>5725</v>
      </c>
    </row>
    <row r="230" spans="1:13" ht="42.75">
      <c r="A230" s="234" t="str">
        <f t="shared" si="7"/>
        <v>Smelter ListO4</v>
      </c>
      <c r="B230" s="234" t="s">
        <v>5643</v>
      </c>
      <c r="C230" s="234" t="s">
        <v>5726</v>
      </c>
      <c r="D230" s="234" t="s">
        <v>5727</v>
      </c>
      <c r="E230" s="237" t="s">
        <v>5728</v>
      </c>
      <c r="F230" s="234" t="s">
        <v>5729</v>
      </c>
      <c r="G230" s="234" t="s">
        <v>5730</v>
      </c>
      <c r="H230" s="234" t="s">
        <v>5731</v>
      </c>
      <c r="I230" s="234" t="s">
        <v>5732</v>
      </c>
      <c r="J230" s="258" t="s">
        <v>5733</v>
      </c>
      <c r="K230" s="239" t="s">
        <v>5734</v>
      </c>
      <c r="L230" s="238" t="s">
        <v>5735</v>
      </c>
      <c r="M230" s="234" t="s">
        <v>5736</v>
      </c>
    </row>
    <row r="231" spans="1:13" ht="57">
      <c r="A231" s="234" t="str">
        <f t="shared" si="7"/>
        <v>Smelter ListP4</v>
      </c>
      <c r="B231" s="234" t="s">
        <v>5643</v>
      </c>
      <c r="C231" s="234" t="s">
        <v>5737</v>
      </c>
      <c r="D231" s="234" t="s">
        <v>5738</v>
      </c>
      <c r="E231" s="237" t="s">
        <v>5739</v>
      </c>
      <c r="F231" s="234" t="s">
        <v>5740</v>
      </c>
      <c r="G231" s="234" t="s">
        <v>5741</v>
      </c>
      <c r="H231" s="234" t="s">
        <v>5742</v>
      </c>
      <c r="I231" s="234" t="s">
        <v>5743</v>
      </c>
      <c r="J231" s="258" t="s">
        <v>5744</v>
      </c>
      <c r="K231" s="239" t="s">
        <v>5745</v>
      </c>
      <c r="L231" s="238" t="s">
        <v>5746</v>
      </c>
      <c r="M231" s="234" t="s">
        <v>5747</v>
      </c>
    </row>
    <row r="232" spans="1:13" ht="28.5">
      <c r="A232" s="234" t="str">
        <f t="shared" si="7"/>
        <v>Smelter ListQ4</v>
      </c>
      <c r="B232" s="234" t="s">
        <v>5643</v>
      </c>
      <c r="C232" s="234" t="s">
        <v>5748</v>
      </c>
      <c r="D232" s="234" t="s">
        <v>5325</v>
      </c>
      <c r="E232" s="237" t="s">
        <v>5326</v>
      </c>
      <c r="F232" s="234" t="s">
        <v>5327</v>
      </c>
      <c r="G232" s="234" t="s">
        <v>5328</v>
      </c>
      <c r="H232" s="234" t="s">
        <v>5329</v>
      </c>
      <c r="I232" s="234" t="s">
        <v>5330</v>
      </c>
      <c r="J232" s="258" t="s">
        <v>5331</v>
      </c>
      <c r="K232" s="239" t="s">
        <v>5332</v>
      </c>
      <c r="L232" s="238" t="s">
        <v>5333</v>
      </c>
      <c r="M232" s="234" t="s">
        <v>5334</v>
      </c>
    </row>
    <row r="233" spans="1:13" ht="42.75">
      <c r="A233" s="234" t="str">
        <f t="shared" si="7"/>
        <v>Smelter ListJ2</v>
      </c>
      <c r="B233" s="234" t="s">
        <v>5643</v>
      </c>
      <c r="C233" s="234" t="s">
        <v>5749</v>
      </c>
      <c r="D233" s="234" t="s">
        <v>5750</v>
      </c>
      <c r="E233" s="234" t="s">
        <v>5751</v>
      </c>
      <c r="F233" s="234" t="s">
        <v>5752</v>
      </c>
      <c r="G233" s="234" t="s">
        <v>5753</v>
      </c>
      <c r="H233" s="234" t="s">
        <v>5754</v>
      </c>
      <c r="I233" s="234" t="s">
        <v>5755</v>
      </c>
      <c r="J233" s="258" t="s">
        <v>5756</v>
      </c>
      <c r="K233" s="239" t="s">
        <v>5757</v>
      </c>
      <c r="L233" s="238" t="s">
        <v>5758</v>
      </c>
      <c r="M233" s="234" t="s">
        <v>5759</v>
      </c>
    </row>
    <row r="234" spans="1:13" ht="42.75">
      <c r="A234" s="234" t="str">
        <f t="shared" si="7"/>
        <v>Smelter ListB2</v>
      </c>
      <c r="B234" s="234" t="s">
        <v>5643</v>
      </c>
      <c r="C234" s="234" t="s">
        <v>4267</v>
      </c>
      <c r="D234" s="276" t="s">
        <v>5760</v>
      </c>
      <c r="E234" s="234" t="s">
        <v>5761</v>
      </c>
      <c r="F234" s="234" t="s">
        <v>5762</v>
      </c>
      <c r="G234" s="234" t="s">
        <v>5763</v>
      </c>
      <c r="H234" s="234" t="s">
        <v>5764</v>
      </c>
      <c r="I234" s="234" t="s">
        <v>5765</v>
      </c>
      <c r="J234" s="234" t="s">
        <v>5766</v>
      </c>
      <c r="K234" s="234" t="s">
        <v>5767</v>
      </c>
      <c r="L234" s="257" t="s">
        <v>5768</v>
      </c>
      <c r="M234" s="234" t="s">
        <v>5769</v>
      </c>
    </row>
    <row r="235" spans="1:13" ht="409.5">
      <c r="A235" s="234" t="str">
        <f t="shared" si="7"/>
        <v>Smelter ListB3</v>
      </c>
      <c r="B235" s="234" t="s">
        <v>5643</v>
      </c>
      <c r="C235" s="234" t="s">
        <v>4277</v>
      </c>
      <c r="D235" s="277" t="s">
        <v>5770</v>
      </c>
      <c r="E235" s="234" t="s">
        <v>5771</v>
      </c>
      <c r="F235" s="248" t="s">
        <v>5772</v>
      </c>
      <c r="G235" s="245" t="s">
        <v>5773</v>
      </c>
      <c r="H235" s="246" t="s">
        <v>5774</v>
      </c>
      <c r="I235" s="245" t="s">
        <v>5775</v>
      </c>
      <c r="J235" s="245" t="s">
        <v>5776</v>
      </c>
      <c r="K235" s="247" t="s">
        <v>5777</v>
      </c>
      <c r="L235" s="245" t="s">
        <v>5778</v>
      </c>
      <c r="M235" s="245" t="s">
        <v>5779</v>
      </c>
    </row>
    <row r="236" spans="1:13">
      <c r="A236" s="234" t="str">
        <f t="shared" si="7"/>
        <v>Smelter ListF4</v>
      </c>
      <c r="B236" s="234" t="s">
        <v>5643</v>
      </c>
      <c r="C236" s="234" t="s">
        <v>5599</v>
      </c>
      <c r="D236" s="234" t="s">
        <v>5780</v>
      </c>
      <c r="E236" s="234" t="s">
        <v>5781</v>
      </c>
      <c r="F236" s="234" t="s">
        <v>4526</v>
      </c>
      <c r="G236" s="234" t="s">
        <v>5592</v>
      </c>
      <c r="H236" s="234" t="s">
        <v>5782</v>
      </c>
      <c r="I236" s="234" t="s">
        <v>5783</v>
      </c>
      <c r="J236" s="258" t="s">
        <v>5784</v>
      </c>
      <c r="K236" s="239" t="s">
        <v>5785</v>
      </c>
      <c r="L236" s="238" t="s">
        <v>5786</v>
      </c>
      <c r="M236" s="234" t="s">
        <v>5787</v>
      </c>
    </row>
    <row r="237" spans="1:13" ht="28.5">
      <c r="A237" s="234" t="str">
        <f t="shared" si="7"/>
        <v>Smelter ListG4</v>
      </c>
      <c r="B237" s="234" t="s">
        <v>5643</v>
      </c>
      <c r="C237" s="234" t="s">
        <v>5610</v>
      </c>
      <c r="D237" s="234" t="s">
        <v>5600</v>
      </c>
      <c r="E237" s="234" t="s">
        <v>5601</v>
      </c>
      <c r="F237" s="234" t="s">
        <v>5602</v>
      </c>
      <c r="G237" s="234" t="s">
        <v>5603</v>
      </c>
      <c r="H237" s="234" t="s">
        <v>5604</v>
      </c>
      <c r="I237" s="234" t="s">
        <v>5605</v>
      </c>
      <c r="J237" s="258" t="s">
        <v>5606</v>
      </c>
      <c r="K237" s="239" t="s">
        <v>5607</v>
      </c>
      <c r="L237" s="238" t="s">
        <v>5608</v>
      </c>
      <c r="M237" s="234" t="s">
        <v>5609</v>
      </c>
    </row>
    <row r="238" spans="1:13" ht="28.5">
      <c r="A238" s="234" t="str">
        <f t="shared" si="7"/>
        <v>Smelter ListAH5</v>
      </c>
      <c r="B238" s="234" t="s">
        <v>5643</v>
      </c>
      <c r="C238" s="234" t="s">
        <v>5788</v>
      </c>
      <c r="D238" s="234" t="s">
        <v>116</v>
      </c>
      <c r="E238" s="234" t="s">
        <v>5390</v>
      </c>
      <c r="F238" s="234" t="s">
        <v>5391</v>
      </c>
      <c r="G238" s="234" t="s">
        <v>5392</v>
      </c>
      <c r="H238" s="234" t="s">
        <v>5393</v>
      </c>
      <c r="I238" s="234" t="s">
        <v>5394</v>
      </c>
      <c r="J238" s="234" t="s">
        <v>5395</v>
      </c>
      <c r="K238" s="239" t="s">
        <v>5396</v>
      </c>
      <c r="L238" s="238" t="s">
        <v>5397</v>
      </c>
      <c r="M238" s="234" t="s">
        <v>5398</v>
      </c>
    </row>
    <row r="239" spans="1:13" ht="28.5">
      <c r="A239" s="234" t="str">
        <f t="shared" si="7"/>
        <v>Smelter ListAH6</v>
      </c>
      <c r="B239" s="234" t="s">
        <v>5643</v>
      </c>
      <c r="C239" s="234" t="s">
        <v>5789</v>
      </c>
      <c r="D239" s="234" t="s">
        <v>117</v>
      </c>
      <c r="E239" s="234" t="s">
        <v>5400</v>
      </c>
      <c r="F239" s="234" t="s">
        <v>5401</v>
      </c>
      <c r="G239" s="234" t="s">
        <v>5402</v>
      </c>
      <c r="H239" s="234" t="s">
        <v>117</v>
      </c>
      <c r="I239" s="234" t="s">
        <v>5403</v>
      </c>
      <c r="J239" s="234" t="s">
        <v>5404</v>
      </c>
      <c r="K239" s="239" t="s">
        <v>117</v>
      </c>
      <c r="L239" s="238" t="s">
        <v>5405</v>
      </c>
      <c r="M239" s="234" t="s">
        <v>5406</v>
      </c>
    </row>
    <row r="240" spans="1:13" ht="28.5">
      <c r="A240" s="234" t="str">
        <f t="shared" si="7"/>
        <v>Smelter ListAH7</v>
      </c>
      <c r="B240" s="234" t="s">
        <v>5643</v>
      </c>
      <c r="C240" s="234" t="s">
        <v>5790</v>
      </c>
      <c r="D240" s="234" t="s">
        <v>121</v>
      </c>
      <c r="E240" s="234" t="s">
        <v>5408</v>
      </c>
      <c r="F240" s="234" t="s">
        <v>5409</v>
      </c>
      <c r="G240" s="234" t="s">
        <v>5410</v>
      </c>
      <c r="H240" s="234" t="s">
        <v>5411</v>
      </c>
      <c r="I240" s="234" t="s">
        <v>5412</v>
      </c>
      <c r="J240" s="234" t="s">
        <v>5413</v>
      </c>
      <c r="K240" s="239" t="s">
        <v>5414</v>
      </c>
      <c r="L240" s="238" t="s">
        <v>5415</v>
      </c>
      <c r="M240" s="234" t="s">
        <v>5416</v>
      </c>
    </row>
    <row r="241" spans="1:13" ht="57">
      <c r="A241" s="234" t="str">
        <f t="shared" si="7"/>
        <v>CheckerA1</v>
      </c>
      <c r="B241" s="234" t="s">
        <v>5791</v>
      </c>
      <c r="C241" s="234" t="s">
        <v>3502</v>
      </c>
      <c r="D241" s="234" t="s">
        <v>5792</v>
      </c>
      <c r="E241" s="234" t="s">
        <v>5793</v>
      </c>
      <c r="F241" s="234" t="s">
        <v>5794</v>
      </c>
      <c r="G241" s="234" t="s">
        <v>5795</v>
      </c>
      <c r="H241" s="234" t="s">
        <v>5796</v>
      </c>
      <c r="I241" s="234" t="s">
        <v>5797</v>
      </c>
      <c r="J241" s="258" t="s">
        <v>5798</v>
      </c>
      <c r="K241" s="239" t="s">
        <v>5799</v>
      </c>
      <c r="L241" s="238" t="s">
        <v>5800</v>
      </c>
      <c r="M241" s="234" t="s">
        <v>5801</v>
      </c>
    </row>
    <row r="242" spans="1:13">
      <c r="A242" s="234" t="str">
        <f t="shared" si="7"/>
        <v>CheckerD1</v>
      </c>
      <c r="B242" s="234" t="s">
        <v>5791</v>
      </c>
      <c r="C242" s="234" t="s">
        <v>5802</v>
      </c>
      <c r="D242" s="234" t="s">
        <v>5803</v>
      </c>
      <c r="E242" s="234" t="s">
        <v>5804</v>
      </c>
      <c r="F242" s="234" t="s">
        <v>5805</v>
      </c>
      <c r="G242" s="234" t="s">
        <v>5806</v>
      </c>
      <c r="H242" s="234" t="s">
        <v>5807</v>
      </c>
      <c r="I242" s="234" t="s">
        <v>5808</v>
      </c>
      <c r="J242" s="234" t="s">
        <v>5809</v>
      </c>
      <c r="K242" s="239" t="s">
        <v>5810</v>
      </c>
      <c r="L242" s="238" t="s">
        <v>5811</v>
      </c>
      <c r="M242" s="234" t="s">
        <v>5812</v>
      </c>
    </row>
    <row r="243" spans="1:13">
      <c r="A243" s="234" t="str">
        <f t="shared" si="7"/>
        <v>CheckerA3</v>
      </c>
      <c r="B243" s="234" t="s">
        <v>5791</v>
      </c>
      <c r="C243" s="234" t="s">
        <v>3523</v>
      </c>
      <c r="D243" s="234" t="s">
        <v>5813</v>
      </c>
      <c r="E243" s="234" t="s">
        <v>5814</v>
      </c>
      <c r="F243" s="234" t="s">
        <v>5815</v>
      </c>
      <c r="G243" s="234" t="s">
        <v>5816</v>
      </c>
      <c r="H243" s="234" t="s">
        <v>5817</v>
      </c>
      <c r="I243" s="234" t="s">
        <v>5818</v>
      </c>
      <c r="J243" s="234" t="s">
        <v>5819</v>
      </c>
      <c r="K243" s="239" t="s">
        <v>5820</v>
      </c>
      <c r="L243" s="238" t="s">
        <v>5821</v>
      </c>
      <c r="M243" s="234" t="s">
        <v>5822</v>
      </c>
    </row>
    <row r="244" spans="1:13">
      <c r="A244" s="234" t="str">
        <f t="shared" si="7"/>
        <v>CheckerB3</v>
      </c>
      <c r="B244" s="234" t="s">
        <v>5791</v>
      </c>
      <c r="C244" s="234" t="s">
        <v>4277</v>
      </c>
      <c r="D244" s="234" t="s">
        <v>5823</v>
      </c>
      <c r="E244" s="234" t="s">
        <v>5824</v>
      </c>
      <c r="F244" s="234" t="s">
        <v>5306</v>
      </c>
      <c r="G244" s="234" t="s">
        <v>5825</v>
      </c>
      <c r="H244" s="234" t="s">
        <v>5826</v>
      </c>
      <c r="I244" s="234" t="s">
        <v>5827</v>
      </c>
      <c r="J244" s="234" t="s">
        <v>5828</v>
      </c>
      <c r="K244" s="239" t="s">
        <v>5829</v>
      </c>
      <c r="L244" s="238" t="s">
        <v>5830</v>
      </c>
      <c r="M244" s="234" t="s">
        <v>5831</v>
      </c>
    </row>
    <row r="245" spans="1:13">
      <c r="A245" s="234" t="str">
        <f t="shared" si="7"/>
        <v>CheckerC3</v>
      </c>
      <c r="B245" s="234" t="s">
        <v>5791</v>
      </c>
      <c r="C245" s="234" t="s">
        <v>4580</v>
      </c>
      <c r="D245" s="234" t="s">
        <v>5832</v>
      </c>
      <c r="E245" s="234" t="s">
        <v>5833</v>
      </c>
      <c r="F245" s="234" t="s">
        <v>5834</v>
      </c>
      <c r="G245" s="234" t="s">
        <v>5835</v>
      </c>
      <c r="H245" s="234" t="s">
        <v>5836</v>
      </c>
      <c r="I245" s="234" t="s">
        <v>5837</v>
      </c>
      <c r="J245" s="234" t="s">
        <v>5838</v>
      </c>
      <c r="K245" s="239" t="s">
        <v>5837</v>
      </c>
      <c r="L245" s="238" t="s">
        <v>5839</v>
      </c>
      <c r="M245" s="234" t="s">
        <v>5840</v>
      </c>
    </row>
    <row r="246" spans="1:13">
      <c r="A246" s="234" t="str">
        <f t="shared" si="7"/>
        <v>CheckerD3</v>
      </c>
      <c r="B246" s="234" t="s">
        <v>5791</v>
      </c>
      <c r="C246" s="234" t="s">
        <v>5841</v>
      </c>
      <c r="D246" s="234" t="s">
        <v>5842</v>
      </c>
      <c r="E246" s="234" t="s">
        <v>5843</v>
      </c>
      <c r="F246" s="234" t="s">
        <v>5844</v>
      </c>
      <c r="G246" s="234" t="s">
        <v>5845</v>
      </c>
      <c r="H246" s="234" t="s">
        <v>5846</v>
      </c>
      <c r="I246" s="234" t="s">
        <v>5847</v>
      </c>
      <c r="J246" s="234" t="s">
        <v>5848</v>
      </c>
      <c r="K246" s="239" t="s">
        <v>5849</v>
      </c>
      <c r="L246" s="238" t="s">
        <v>5850</v>
      </c>
      <c r="M246" s="234" t="s">
        <v>5851</v>
      </c>
    </row>
    <row r="247" spans="1:13" ht="32.25" customHeight="1">
      <c r="A247" s="234" t="s">
        <v>5852</v>
      </c>
      <c r="B247" s="234" t="s">
        <v>5791</v>
      </c>
      <c r="C247" s="234" t="s">
        <v>5853</v>
      </c>
      <c r="D247" s="234" t="s">
        <v>5854</v>
      </c>
      <c r="E247" s="234" t="s">
        <v>5855</v>
      </c>
      <c r="F247" s="234" t="s">
        <v>5856</v>
      </c>
      <c r="G247" s="234" t="s">
        <v>5857</v>
      </c>
      <c r="H247" s="234" t="s">
        <v>5858</v>
      </c>
      <c r="I247" s="234" t="s">
        <v>5859</v>
      </c>
      <c r="J247" s="234" t="s">
        <v>5860</v>
      </c>
      <c r="K247" s="234" t="s">
        <v>5861</v>
      </c>
      <c r="L247" s="257" t="s">
        <v>5862</v>
      </c>
      <c r="M247" s="234" t="s">
        <v>5863</v>
      </c>
    </row>
    <row r="248" spans="1:13" ht="32.25" customHeight="1">
      <c r="A248" s="234" t="str">
        <f>B248&amp;C248</f>
        <v>CheckerB63</v>
      </c>
      <c r="B248" s="234" t="s">
        <v>5791</v>
      </c>
      <c r="C248" s="234" t="s">
        <v>5864</v>
      </c>
      <c r="D248" s="234" t="s">
        <v>5854</v>
      </c>
      <c r="E248" s="234" t="s">
        <v>5855</v>
      </c>
      <c r="F248" s="234" t="s">
        <v>5856</v>
      </c>
      <c r="G248" s="234" t="s">
        <v>5857</v>
      </c>
      <c r="H248" s="234" t="s">
        <v>5858</v>
      </c>
      <c r="I248" s="234" t="s">
        <v>5859</v>
      </c>
      <c r="J248" s="234" t="s">
        <v>5860</v>
      </c>
      <c r="K248" s="234" t="s">
        <v>5861</v>
      </c>
      <c r="L248" s="257" t="s">
        <v>5862</v>
      </c>
      <c r="M248" s="234" t="s">
        <v>5863</v>
      </c>
    </row>
    <row r="249" spans="1:13" ht="32.25" customHeight="1">
      <c r="A249" s="234" t="str">
        <f>B249&amp;C249</f>
        <v>CheckerB64</v>
      </c>
      <c r="B249" s="234" t="s">
        <v>5791</v>
      </c>
      <c r="C249" s="234" t="s">
        <v>5865</v>
      </c>
      <c r="D249" s="234" t="s">
        <v>5854</v>
      </c>
      <c r="E249" s="234" t="s">
        <v>5855</v>
      </c>
      <c r="F249" s="234" t="s">
        <v>5856</v>
      </c>
      <c r="G249" s="234" t="s">
        <v>5857</v>
      </c>
      <c r="H249" s="234" t="s">
        <v>5858</v>
      </c>
      <c r="I249" s="234" t="s">
        <v>5859</v>
      </c>
      <c r="J249" s="234" t="s">
        <v>5860</v>
      </c>
      <c r="K249" s="234" t="s">
        <v>5861</v>
      </c>
      <c r="L249" s="257" t="s">
        <v>5862</v>
      </c>
      <c r="M249" s="234" t="s">
        <v>5863</v>
      </c>
    </row>
    <row r="250" spans="1:13" ht="32.25" customHeight="1">
      <c r="A250" s="234" t="str">
        <f>B250&amp;C250</f>
        <v>CheckerB65</v>
      </c>
      <c r="B250" s="234" t="s">
        <v>5791</v>
      </c>
      <c r="C250" s="234" t="s">
        <v>5866</v>
      </c>
      <c r="D250" s="234" t="s">
        <v>5854</v>
      </c>
      <c r="E250" s="234" t="s">
        <v>5855</v>
      </c>
      <c r="F250" s="234" t="s">
        <v>5856</v>
      </c>
      <c r="G250" s="234" t="s">
        <v>5857</v>
      </c>
      <c r="H250" s="234" t="s">
        <v>5858</v>
      </c>
      <c r="I250" s="234" t="s">
        <v>5859</v>
      </c>
      <c r="J250" s="234" t="s">
        <v>5860</v>
      </c>
      <c r="K250" s="234" t="s">
        <v>5861</v>
      </c>
      <c r="L250" s="257" t="s">
        <v>5862</v>
      </c>
      <c r="M250" s="234" t="s">
        <v>5863</v>
      </c>
    </row>
    <row r="251" spans="1:13" ht="32.25" customHeight="1">
      <c r="A251" s="234" t="s">
        <v>5867</v>
      </c>
      <c r="B251" s="234" t="s">
        <v>5791</v>
      </c>
      <c r="C251" s="234" t="s">
        <v>5868</v>
      </c>
      <c r="D251" s="234" t="s">
        <v>5869</v>
      </c>
      <c r="E251" s="234" t="s">
        <v>5870</v>
      </c>
      <c r="F251" s="234" t="s">
        <v>5871</v>
      </c>
      <c r="G251" s="234" t="s">
        <v>5872</v>
      </c>
      <c r="H251" s="234" t="s">
        <v>5873</v>
      </c>
      <c r="I251" s="234" t="s">
        <v>5874</v>
      </c>
      <c r="J251" s="234" t="s">
        <v>5875</v>
      </c>
      <c r="K251" s="234" t="s">
        <v>5869</v>
      </c>
      <c r="L251" s="257" t="s">
        <v>5876</v>
      </c>
      <c r="M251" s="234" t="s">
        <v>5877</v>
      </c>
    </row>
    <row r="252" spans="1:13" ht="28.5">
      <c r="A252" s="234" t="s">
        <v>5878</v>
      </c>
      <c r="B252" s="234" t="s">
        <v>5791</v>
      </c>
      <c r="C252" s="234" t="s">
        <v>5681</v>
      </c>
      <c r="D252" s="234" t="s">
        <v>5879</v>
      </c>
      <c r="E252" s="234" t="s">
        <v>5880</v>
      </c>
      <c r="F252" s="234" t="s">
        <v>5881</v>
      </c>
      <c r="G252" s="234" t="s">
        <v>5882</v>
      </c>
      <c r="H252" s="234" t="s">
        <v>5883</v>
      </c>
      <c r="I252" s="234" t="s">
        <v>5884</v>
      </c>
      <c r="J252" s="234" t="s">
        <v>5885</v>
      </c>
      <c r="K252" s="234" t="s">
        <v>5886</v>
      </c>
      <c r="L252" s="257" t="s">
        <v>5887</v>
      </c>
      <c r="M252" s="234" t="s">
        <v>5888</v>
      </c>
    </row>
    <row r="253" spans="1:13" ht="42.75">
      <c r="A253" s="234" t="s">
        <v>5889</v>
      </c>
      <c r="B253" s="234" t="s">
        <v>5791</v>
      </c>
      <c r="C253" s="234" t="s">
        <v>5890</v>
      </c>
      <c r="D253" s="234" t="s">
        <v>5891</v>
      </c>
      <c r="E253" s="234" t="s">
        <v>5892</v>
      </c>
      <c r="F253" s="234" t="s">
        <v>5893</v>
      </c>
      <c r="G253" s="234" t="s">
        <v>5894</v>
      </c>
      <c r="H253" s="234" t="s">
        <v>5895</v>
      </c>
      <c r="I253" s="234" t="s">
        <v>5896</v>
      </c>
      <c r="J253" s="234" t="s">
        <v>5897</v>
      </c>
      <c r="K253" s="234" t="s">
        <v>5898</v>
      </c>
      <c r="L253" s="257" t="s">
        <v>5899</v>
      </c>
      <c r="M253" s="234" t="s">
        <v>5900</v>
      </c>
    </row>
    <row r="254" spans="1:13" ht="28.5">
      <c r="A254" s="234" t="s">
        <v>5901</v>
      </c>
      <c r="B254" s="234" t="s">
        <v>5791</v>
      </c>
      <c r="C254" s="234" t="s">
        <v>5902</v>
      </c>
      <c r="D254" s="234" t="s">
        <v>5903</v>
      </c>
      <c r="E254" s="234" t="s">
        <v>5904</v>
      </c>
      <c r="F254" s="234" t="s">
        <v>5905</v>
      </c>
      <c r="G254" s="234" t="s">
        <v>5906</v>
      </c>
      <c r="H254" s="234" t="s">
        <v>5907</v>
      </c>
      <c r="I254" s="234" t="s">
        <v>5908</v>
      </c>
      <c r="J254" s="234" t="s">
        <v>5909</v>
      </c>
      <c r="K254" s="234" t="s">
        <v>5910</v>
      </c>
      <c r="L254" s="257" t="s">
        <v>5911</v>
      </c>
      <c r="M254" s="234" t="s">
        <v>5912</v>
      </c>
    </row>
    <row r="255" spans="1:13" ht="28.5">
      <c r="A255" s="234" t="s">
        <v>5913</v>
      </c>
      <c r="B255" s="234" t="s">
        <v>5791</v>
      </c>
      <c r="C255" s="234" t="s">
        <v>5914</v>
      </c>
      <c r="D255" s="234" t="s">
        <v>5915</v>
      </c>
      <c r="E255" s="234" t="s">
        <v>5916</v>
      </c>
      <c r="F255" s="234" t="s">
        <v>5917</v>
      </c>
      <c r="G255" s="234" t="s">
        <v>5918</v>
      </c>
      <c r="H255" s="234" t="s">
        <v>5919</v>
      </c>
      <c r="I255" s="234" t="s">
        <v>5920</v>
      </c>
      <c r="J255" s="234" t="s">
        <v>5921</v>
      </c>
      <c r="K255" s="234" t="s">
        <v>5922</v>
      </c>
      <c r="L255" s="257" t="s">
        <v>5923</v>
      </c>
      <c r="M255" s="234" t="s">
        <v>5924</v>
      </c>
    </row>
    <row r="256" spans="1:13" ht="42.75">
      <c r="A256" s="234" t="s">
        <v>5925</v>
      </c>
      <c r="B256" s="234" t="s">
        <v>5791</v>
      </c>
      <c r="C256" s="234" t="s">
        <v>5926</v>
      </c>
      <c r="D256" s="234" t="s">
        <v>5927</v>
      </c>
      <c r="E256" s="234" t="s">
        <v>5928</v>
      </c>
      <c r="F256" s="234" t="s">
        <v>5929</v>
      </c>
      <c r="G256" s="234" t="s">
        <v>5930</v>
      </c>
      <c r="H256" s="234" t="s">
        <v>5931</v>
      </c>
      <c r="I256" s="234" t="s">
        <v>5932</v>
      </c>
      <c r="J256" s="234" t="s">
        <v>5933</v>
      </c>
      <c r="K256" s="234" t="s">
        <v>5934</v>
      </c>
      <c r="L256" s="257" t="s">
        <v>5935</v>
      </c>
      <c r="M256" s="234" t="s">
        <v>5936</v>
      </c>
    </row>
    <row r="257" spans="1:13" ht="28.5">
      <c r="A257" s="234" t="s">
        <v>5937</v>
      </c>
      <c r="B257" s="234" t="s">
        <v>5791</v>
      </c>
      <c r="C257" s="234" t="s">
        <v>5938</v>
      </c>
      <c r="D257" s="234" t="s">
        <v>5939</v>
      </c>
      <c r="E257" s="234" t="s">
        <v>5940</v>
      </c>
      <c r="F257" s="234" t="s">
        <v>5941</v>
      </c>
      <c r="G257" s="234" t="s">
        <v>5942</v>
      </c>
      <c r="H257" s="234" t="s">
        <v>5943</v>
      </c>
      <c r="I257" s="234" t="s">
        <v>5944</v>
      </c>
      <c r="J257" s="234" t="s">
        <v>5945</v>
      </c>
      <c r="K257" s="234" t="s">
        <v>5946</v>
      </c>
      <c r="L257" s="257" t="s">
        <v>5947</v>
      </c>
      <c r="M257" s="234" t="s">
        <v>5948</v>
      </c>
    </row>
    <row r="258" spans="1:13" ht="42.75">
      <c r="A258" s="234" t="s">
        <v>5949</v>
      </c>
      <c r="B258" s="234" t="s">
        <v>5791</v>
      </c>
      <c r="C258" s="234" t="s">
        <v>5950</v>
      </c>
      <c r="D258" s="234" t="s">
        <v>5951</v>
      </c>
      <c r="E258" s="234" t="s">
        <v>5952</v>
      </c>
      <c r="F258" s="234" t="s">
        <v>5953</v>
      </c>
      <c r="G258" s="234" t="s">
        <v>5954</v>
      </c>
      <c r="H258" s="234" t="s">
        <v>5955</v>
      </c>
      <c r="I258" s="234" t="s">
        <v>5956</v>
      </c>
      <c r="J258" s="234" t="s">
        <v>5957</v>
      </c>
      <c r="K258" s="234" t="s">
        <v>5958</v>
      </c>
      <c r="L258" s="257" t="s">
        <v>5959</v>
      </c>
      <c r="M258" s="234" t="s">
        <v>5960</v>
      </c>
    </row>
    <row r="259" spans="1:13" ht="57">
      <c r="A259" s="234" t="s">
        <v>5961</v>
      </c>
      <c r="B259" s="234" t="s">
        <v>5791</v>
      </c>
      <c r="C259" s="234" t="s">
        <v>5962</v>
      </c>
      <c r="D259" s="234" t="s">
        <v>5963</v>
      </c>
      <c r="E259" s="234" t="s">
        <v>5964</v>
      </c>
      <c r="F259" s="234" t="s">
        <v>5965</v>
      </c>
      <c r="G259" s="234" t="s">
        <v>5966</v>
      </c>
      <c r="H259" s="234" t="s">
        <v>5967</v>
      </c>
      <c r="I259" s="234" t="s">
        <v>5968</v>
      </c>
      <c r="J259" s="234" t="s">
        <v>5969</v>
      </c>
      <c r="K259" s="234" t="s">
        <v>5970</v>
      </c>
      <c r="L259" s="257" t="s">
        <v>5971</v>
      </c>
      <c r="M259" s="234" t="s">
        <v>5972</v>
      </c>
    </row>
    <row r="260" spans="1:13" ht="42.75">
      <c r="A260" s="234" t="s">
        <v>5973</v>
      </c>
      <c r="B260" s="234" t="s">
        <v>5791</v>
      </c>
      <c r="C260" s="234" t="s">
        <v>5974</v>
      </c>
      <c r="D260" s="234" t="s">
        <v>5975</v>
      </c>
      <c r="E260" s="234" t="s">
        <v>5976</v>
      </c>
      <c r="F260" s="234" t="s">
        <v>5977</v>
      </c>
      <c r="G260" s="234" t="s">
        <v>5978</v>
      </c>
      <c r="H260" s="234" t="s">
        <v>5979</v>
      </c>
      <c r="I260" s="234" t="s">
        <v>5980</v>
      </c>
      <c r="J260" s="234" t="s">
        <v>5981</v>
      </c>
      <c r="K260" s="234" t="s">
        <v>5982</v>
      </c>
      <c r="L260" s="257" t="s">
        <v>5983</v>
      </c>
      <c r="M260" s="234" t="s">
        <v>5984</v>
      </c>
    </row>
    <row r="261" spans="1:13" ht="42.75">
      <c r="A261" s="234" t="s">
        <v>5985</v>
      </c>
      <c r="B261" s="234" t="s">
        <v>5791</v>
      </c>
      <c r="C261" s="234" t="s">
        <v>5986</v>
      </c>
      <c r="D261" s="234" t="s">
        <v>5987</v>
      </c>
      <c r="E261" s="234" t="s">
        <v>5988</v>
      </c>
      <c r="F261" s="234" t="s">
        <v>5989</v>
      </c>
      <c r="G261" s="234" t="s">
        <v>5990</v>
      </c>
      <c r="H261" s="234" t="s">
        <v>5991</v>
      </c>
      <c r="I261" s="234" t="s">
        <v>5992</v>
      </c>
      <c r="J261" s="234" t="s">
        <v>5993</v>
      </c>
      <c r="K261" s="234" t="s">
        <v>5994</v>
      </c>
      <c r="L261" s="257" t="s">
        <v>5995</v>
      </c>
      <c r="M261" s="234" t="s">
        <v>5996</v>
      </c>
    </row>
    <row r="262" spans="1:13" ht="42.75">
      <c r="A262" s="234" t="s">
        <v>5997</v>
      </c>
      <c r="B262" s="234" t="s">
        <v>5791</v>
      </c>
      <c r="C262" s="234" t="s">
        <v>5998</v>
      </c>
      <c r="D262" s="234" t="s">
        <v>5999</v>
      </c>
      <c r="E262" s="234" t="s">
        <v>6000</v>
      </c>
      <c r="F262" s="234" t="s">
        <v>6001</v>
      </c>
      <c r="G262" s="234" t="s">
        <v>6002</v>
      </c>
      <c r="H262" s="234" t="s">
        <v>6003</v>
      </c>
      <c r="I262" s="234" t="s">
        <v>6004</v>
      </c>
      <c r="J262" s="234" t="s">
        <v>6005</v>
      </c>
      <c r="K262" s="234" t="s">
        <v>6006</v>
      </c>
      <c r="L262" s="257" t="s">
        <v>6007</v>
      </c>
      <c r="M262" s="234" t="s">
        <v>6008</v>
      </c>
    </row>
    <row r="263" spans="1:13" ht="42.75">
      <c r="A263" s="234" t="s">
        <v>6009</v>
      </c>
      <c r="B263" s="234" t="s">
        <v>5791</v>
      </c>
      <c r="C263" s="234" t="s">
        <v>6010</v>
      </c>
      <c r="D263" s="234" t="s">
        <v>6011</v>
      </c>
      <c r="E263" s="234" t="s">
        <v>6012</v>
      </c>
      <c r="F263" s="234" t="s">
        <v>6013</v>
      </c>
      <c r="G263" s="234" t="s">
        <v>6014</v>
      </c>
      <c r="H263" s="234" t="s">
        <v>6015</v>
      </c>
      <c r="I263" s="234" t="s">
        <v>6016</v>
      </c>
      <c r="J263" s="234" t="s">
        <v>6017</v>
      </c>
      <c r="K263" s="234" t="s">
        <v>6018</v>
      </c>
      <c r="L263" s="257" t="s">
        <v>6019</v>
      </c>
      <c r="M263" s="234" t="s">
        <v>6020</v>
      </c>
    </row>
    <row r="264" spans="1:13" ht="42.75">
      <c r="A264" s="234" t="s">
        <v>6021</v>
      </c>
      <c r="B264" s="234" t="s">
        <v>5791</v>
      </c>
      <c r="C264" s="234" t="s">
        <v>6022</v>
      </c>
      <c r="D264" s="234" t="s">
        <v>6023</v>
      </c>
      <c r="E264" s="234" t="s">
        <v>6024</v>
      </c>
      <c r="F264" s="234" t="s">
        <v>6025</v>
      </c>
      <c r="G264" s="234" t="s">
        <v>6026</v>
      </c>
      <c r="H264" s="234" t="s">
        <v>6027</v>
      </c>
      <c r="I264" s="234" t="s">
        <v>6028</v>
      </c>
      <c r="J264" s="234" t="s">
        <v>6029</v>
      </c>
      <c r="K264" s="234" t="s">
        <v>6030</v>
      </c>
      <c r="L264" s="257" t="s">
        <v>6031</v>
      </c>
      <c r="M264" s="234" t="s">
        <v>6032</v>
      </c>
    </row>
    <row r="265" spans="1:13" ht="57">
      <c r="A265" s="234" t="s">
        <v>6033</v>
      </c>
      <c r="B265" s="234" t="s">
        <v>5791</v>
      </c>
      <c r="C265" s="234" t="s">
        <v>6034</v>
      </c>
      <c r="D265" s="234" t="s">
        <v>6035</v>
      </c>
      <c r="E265" s="234" t="s">
        <v>6036</v>
      </c>
      <c r="F265" s="234" t="s">
        <v>6037</v>
      </c>
      <c r="G265" s="234" t="s">
        <v>6038</v>
      </c>
      <c r="H265" s="234" t="s">
        <v>6039</v>
      </c>
      <c r="I265" s="234" t="s">
        <v>6040</v>
      </c>
      <c r="J265" s="234" t="s">
        <v>6041</v>
      </c>
      <c r="K265" s="234" t="s">
        <v>6042</v>
      </c>
      <c r="L265" s="257" t="s">
        <v>6043</v>
      </c>
      <c r="M265" s="234" t="s">
        <v>6044</v>
      </c>
    </row>
    <row r="266" spans="1:13" ht="57">
      <c r="A266" s="234" t="s">
        <v>6045</v>
      </c>
      <c r="B266" s="234" t="s">
        <v>5791</v>
      </c>
      <c r="C266" s="234" t="s">
        <v>6046</v>
      </c>
      <c r="D266" s="234" t="s">
        <v>6047</v>
      </c>
      <c r="E266" s="234" t="s">
        <v>6048</v>
      </c>
      <c r="F266" s="234" t="s">
        <v>6049</v>
      </c>
      <c r="G266" s="234" t="s">
        <v>6050</v>
      </c>
      <c r="H266" s="234" t="s">
        <v>6051</v>
      </c>
      <c r="I266" s="234" t="s">
        <v>6052</v>
      </c>
      <c r="J266" s="234" t="s">
        <v>6053</v>
      </c>
      <c r="K266" s="234" t="s">
        <v>6054</v>
      </c>
      <c r="L266" s="257" t="s">
        <v>6055</v>
      </c>
      <c r="M266" s="234" t="s">
        <v>6056</v>
      </c>
    </row>
    <row r="267" spans="1:13" ht="57">
      <c r="A267" s="234" t="s">
        <v>6057</v>
      </c>
      <c r="B267" s="234" t="s">
        <v>5791</v>
      </c>
      <c r="C267" s="234" t="s">
        <v>6058</v>
      </c>
      <c r="D267" s="234" t="s">
        <v>6059</v>
      </c>
      <c r="E267" s="234" t="s">
        <v>6060</v>
      </c>
      <c r="F267" s="234" t="s">
        <v>6061</v>
      </c>
      <c r="G267" s="234" t="s">
        <v>6062</v>
      </c>
      <c r="H267" s="234" t="s">
        <v>6063</v>
      </c>
      <c r="I267" s="234" t="s">
        <v>6064</v>
      </c>
      <c r="J267" s="234" t="s">
        <v>6065</v>
      </c>
      <c r="K267" s="234" t="s">
        <v>6066</v>
      </c>
      <c r="L267" s="257" t="s">
        <v>6067</v>
      </c>
      <c r="M267" s="234" t="s">
        <v>6068</v>
      </c>
    </row>
    <row r="268" spans="1:13" ht="57">
      <c r="A268" s="234" t="s">
        <v>6069</v>
      </c>
      <c r="B268" s="234" t="s">
        <v>5791</v>
      </c>
      <c r="C268" s="234" t="s">
        <v>6070</v>
      </c>
      <c r="D268" s="234" t="s">
        <v>6071</v>
      </c>
      <c r="E268" s="234" t="s">
        <v>6072</v>
      </c>
      <c r="F268" s="234" t="s">
        <v>6073</v>
      </c>
      <c r="G268" s="234" t="s">
        <v>6074</v>
      </c>
      <c r="H268" s="234" t="s">
        <v>6075</v>
      </c>
      <c r="I268" s="234" t="s">
        <v>6076</v>
      </c>
      <c r="J268" s="234" t="s">
        <v>6077</v>
      </c>
      <c r="K268" s="234" t="s">
        <v>6078</v>
      </c>
      <c r="L268" s="257" t="s">
        <v>6079</v>
      </c>
      <c r="M268" s="234" t="s">
        <v>6080</v>
      </c>
    </row>
    <row r="269" spans="1:13" ht="71.25">
      <c r="A269" s="234" t="s">
        <v>6081</v>
      </c>
      <c r="B269" s="234" t="s">
        <v>5791</v>
      </c>
      <c r="C269" s="234" t="s">
        <v>6082</v>
      </c>
      <c r="D269" s="234" t="s">
        <v>6083</v>
      </c>
      <c r="E269" s="234" t="s">
        <v>6084</v>
      </c>
      <c r="F269" s="234" t="s">
        <v>6085</v>
      </c>
      <c r="G269" s="234" t="s">
        <v>6086</v>
      </c>
      <c r="H269" s="234" t="s">
        <v>6087</v>
      </c>
      <c r="I269" s="234" t="s">
        <v>6088</v>
      </c>
      <c r="J269" s="234" t="s">
        <v>6089</v>
      </c>
      <c r="K269" s="234" t="s">
        <v>6090</v>
      </c>
      <c r="L269" s="257" t="s">
        <v>6091</v>
      </c>
      <c r="M269" s="234" t="s">
        <v>6092</v>
      </c>
    </row>
    <row r="270" spans="1:13" ht="71.25">
      <c r="A270" s="234" t="s">
        <v>6093</v>
      </c>
      <c r="B270" s="234" t="s">
        <v>5791</v>
      </c>
      <c r="C270" s="234" t="s">
        <v>6094</v>
      </c>
      <c r="D270" s="234" t="s">
        <v>6095</v>
      </c>
      <c r="E270" s="234" t="s">
        <v>6096</v>
      </c>
      <c r="F270" s="234" t="s">
        <v>6097</v>
      </c>
      <c r="G270" s="234" t="s">
        <v>6098</v>
      </c>
      <c r="H270" s="234" t="s">
        <v>6099</v>
      </c>
      <c r="I270" s="234" t="s">
        <v>6100</v>
      </c>
      <c r="J270" s="234" t="s">
        <v>6101</v>
      </c>
      <c r="K270" s="234" t="s">
        <v>6102</v>
      </c>
      <c r="L270" s="257" t="s">
        <v>6103</v>
      </c>
      <c r="M270" s="234" t="s">
        <v>6104</v>
      </c>
    </row>
    <row r="271" spans="1:13" ht="71.25">
      <c r="A271" s="234" t="s">
        <v>6105</v>
      </c>
      <c r="B271" s="234" t="s">
        <v>5791</v>
      </c>
      <c r="C271" s="234" t="s">
        <v>6106</v>
      </c>
      <c r="D271" s="234" t="s">
        <v>6107</v>
      </c>
      <c r="E271" s="234" t="s">
        <v>6108</v>
      </c>
      <c r="F271" s="234" t="s">
        <v>6109</v>
      </c>
      <c r="G271" s="234" t="s">
        <v>6110</v>
      </c>
      <c r="H271" s="234" t="s">
        <v>6111</v>
      </c>
      <c r="I271" s="234" t="s">
        <v>6112</v>
      </c>
      <c r="J271" s="234" t="s">
        <v>6113</v>
      </c>
      <c r="K271" s="234" t="s">
        <v>6114</v>
      </c>
      <c r="L271" s="257" t="s">
        <v>6115</v>
      </c>
      <c r="M271" s="234" t="s">
        <v>6116</v>
      </c>
    </row>
    <row r="272" spans="1:13" ht="71.25">
      <c r="A272" s="234" t="s">
        <v>6117</v>
      </c>
      <c r="B272" s="234" t="s">
        <v>5791</v>
      </c>
      <c r="C272" s="234" t="s">
        <v>6118</v>
      </c>
      <c r="D272" s="234" t="s">
        <v>6119</v>
      </c>
      <c r="E272" s="234" t="s">
        <v>6120</v>
      </c>
      <c r="F272" s="234" t="s">
        <v>6121</v>
      </c>
      <c r="G272" s="234" t="s">
        <v>6122</v>
      </c>
      <c r="H272" s="234" t="s">
        <v>6123</v>
      </c>
      <c r="I272" s="234" t="s">
        <v>6124</v>
      </c>
      <c r="J272" s="234" t="s">
        <v>6125</v>
      </c>
      <c r="K272" s="234" t="s">
        <v>6126</v>
      </c>
      <c r="L272" s="257" t="s">
        <v>6127</v>
      </c>
      <c r="M272" s="234" t="s">
        <v>6128</v>
      </c>
    </row>
    <row r="273" spans="1:13" ht="71.25">
      <c r="A273" s="234" t="s">
        <v>6129</v>
      </c>
      <c r="B273" s="234" t="s">
        <v>5791</v>
      </c>
      <c r="C273" s="234" t="s">
        <v>6130</v>
      </c>
      <c r="D273" s="234" t="s">
        <v>6131</v>
      </c>
      <c r="E273" s="234" t="s">
        <v>6132</v>
      </c>
      <c r="F273" s="234" t="s">
        <v>6133</v>
      </c>
      <c r="G273" s="234" t="s">
        <v>6134</v>
      </c>
      <c r="H273" s="234" t="s">
        <v>6135</v>
      </c>
      <c r="I273" s="234" t="s">
        <v>6136</v>
      </c>
      <c r="J273" s="234" t="s">
        <v>6137</v>
      </c>
      <c r="K273" s="234" t="s">
        <v>6138</v>
      </c>
      <c r="L273" s="234" t="s">
        <v>6139</v>
      </c>
      <c r="M273" s="234" t="s">
        <v>6140</v>
      </c>
    </row>
    <row r="274" spans="1:13" ht="71.25">
      <c r="A274" s="234" t="s">
        <v>6141</v>
      </c>
      <c r="B274" s="234" t="s">
        <v>5791</v>
      </c>
      <c r="C274" s="234" t="s">
        <v>6142</v>
      </c>
      <c r="D274" s="234" t="s">
        <v>6143</v>
      </c>
      <c r="E274" s="234" t="s">
        <v>6144</v>
      </c>
      <c r="F274" s="234" t="s">
        <v>6145</v>
      </c>
      <c r="G274" s="234" t="s">
        <v>6146</v>
      </c>
      <c r="H274" s="234" t="s">
        <v>6147</v>
      </c>
      <c r="I274" s="234" t="s">
        <v>6148</v>
      </c>
      <c r="J274" s="234" t="s">
        <v>6149</v>
      </c>
      <c r="K274" s="234" t="s">
        <v>6150</v>
      </c>
      <c r="L274" s="234" t="s">
        <v>6151</v>
      </c>
      <c r="M274" s="234" t="s">
        <v>6152</v>
      </c>
    </row>
    <row r="275" spans="1:13" ht="71.25">
      <c r="A275" s="234" t="s">
        <v>6153</v>
      </c>
      <c r="B275" s="234" t="s">
        <v>5791</v>
      </c>
      <c r="C275" s="234" t="s">
        <v>6154</v>
      </c>
      <c r="D275" s="234" t="s">
        <v>6155</v>
      </c>
      <c r="E275" s="234" t="s">
        <v>6156</v>
      </c>
      <c r="F275" s="234" t="s">
        <v>6157</v>
      </c>
      <c r="G275" s="234" t="s">
        <v>6158</v>
      </c>
      <c r="H275" s="234" t="s">
        <v>6159</v>
      </c>
      <c r="I275" s="234" t="s">
        <v>6160</v>
      </c>
      <c r="J275" s="234" t="s">
        <v>6161</v>
      </c>
      <c r="K275" s="234" t="s">
        <v>6162</v>
      </c>
      <c r="L275" s="234" t="s">
        <v>6163</v>
      </c>
      <c r="M275" s="234" t="s">
        <v>6164</v>
      </c>
    </row>
    <row r="276" spans="1:13" ht="71.25">
      <c r="A276" s="234" t="s">
        <v>6165</v>
      </c>
      <c r="B276" s="234" t="s">
        <v>5791</v>
      </c>
      <c r="C276" s="234" t="s">
        <v>6166</v>
      </c>
      <c r="D276" s="234" t="s">
        <v>6167</v>
      </c>
      <c r="E276" s="234" t="s">
        <v>6168</v>
      </c>
      <c r="F276" s="234" t="s">
        <v>6169</v>
      </c>
      <c r="G276" s="234" t="s">
        <v>6170</v>
      </c>
      <c r="H276" s="234" t="s">
        <v>6171</v>
      </c>
      <c r="I276" s="234" t="s">
        <v>6172</v>
      </c>
      <c r="J276" s="234" t="s">
        <v>6173</v>
      </c>
      <c r="K276" s="234" t="s">
        <v>6174</v>
      </c>
      <c r="L276" s="234" t="s">
        <v>6175</v>
      </c>
      <c r="M276" s="234" t="s">
        <v>6176</v>
      </c>
    </row>
    <row r="277" spans="1:13" ht="71.25">
      <c r="A277" s="234" t="s">
        <v>6177</v>
      </c>
      <c r="B277" s="234" t="s">
        <v>5791</v>
      </c>
      <c r="C277" s="234" t="s">
        <v>6178</v>
      </c>
      <c r="D277" s="234" t="s">
        <v>6179</v>
      </c>
      <c r="E277" s="237" t="s">
        <v>6180</v>
      </c>
      <c r="F277" s="234" t="s">
        <v>6181</v>
      </c>
      <c r="G277" s="234" t="s">
        <v>6182</v>
      </c>
      <c r="H277" s="234" t="s">
        <v>6183</v>
      </c>
      <c r="I277" s="234" t="s">
        <v>6184</v>
      </c>
      <c r="J277" s="234" t="s">
        <v>6185</v>
      </c>
      <c r="K277" s="234" t="s">
        <v>6186</v>
      </c>
      <c r="L277" s="257" t="s">
        <v>6187</v>
      </c>
      <c r="M277" s="234" t="s">
        <v>6188</v>
      </c>
    </row>
    <row r="278" spans="1:13" ht="71.25">
      <c r="A278" s="234" t="s">
        <v>6189</v>
      </c>
      <c r="B278" s="234" t="s">
        <v>5791</v>
      </c>
      <c r="C278" s="234" t="s">
        <v>6190</v>
      </c>
      <c r="D278" s="234" t="s">
        <v>6191</v>
      </c>
      <c r="E278" s="237" t="s">
        <v>6192</v>
      </c>
      <c r="F278" s="234" t="s">
        <v>6193</v>
      </c>
      <c r="G278" s="234" t="s">
        <v>6194</v>
      </c>
      <c r="H278" s="234" t="s">
        <v>6195</v>
      </c>
      <c r="I278" s="234" t="s">
        <v>6196</v>
      </c>
      <c r="J278" s="234" t="s">
        <v>6197</v>
      </c>
      <c r="K278" s="234" t="s">
        <v>6198</v>
      </c>
      <c r="L278" s="257" t="s">
        <v>6199</v>
      </c>
      <c r="M278" s="234" t="s">
        <v>6200</v>
      </c>
    </row>
    <row r="279" spans="1:13" ht="71.25">
      <c r="A279" s="234" t="s">
        <v>6201</v>
      </c>
      <c r="B279" s="234" t="s">
        <v>5791</v>
      </c>
      <c r="C279" s="234" t="s">
        <v>6202</v>
      </c>
      <c r="D279" s="234" t="s">
        <v>6203</v>
      </c>
      <c r="E279" s="237" t="s">
        <v>6204</v>
      </c>
      <c r="F279" s="234" t="s">
        <v>6205</v>
      </c>
      <c r="G279" s="234" t="s">
        <v>6206</v>
      </c>
      <c r="H279" s="234" t="s">
        <v>6207</v>
      </c>
      <c r="I279" s="234" t="s">
        <v>6208</v>
      </c>
      <c r="J279" s="234" t="s">
        <v>6209</v>
      </c>
      <c r="K279" s="234" t="s">
        <v>6210</v>
      </c>
      <c r="L279" s="257" t="s">
        <v>6211</v>
      </c>
      <c r="M279" s="234" t="s">
        <v>6212</v>
      </c>
    </row>
    <row r="280" spans="1:13" ht="71.25">
      <c r="A280" s="234" t="s">
        <v>6213</v>
      </c>
      <c r="B280" s="234" t="s">
        <v>5791</v>
      </c>
      <c r="C280" s="234" t="s">
        <v>6214</v>
      </c>
      <c r="D280" s="234" t="s">
        <v>6215</v>
      </c>
      <c r="E280" s="237" t="s">
        <v>6216</v>
      </c>
      <c r="F280" s="234" t="s">
        <v>6217</v>
      </c>
      <c r="G280" s="234" t="s">
        <v>6218</v>
      </c>
      <c r="H280" s="234" t="s">
        <v>6219</v>
      </c>
      <c r="I280" s="234" t="s">
        <v>6220</v>
      </c>
      <c r="J280" s="234" t="s">
        <v>6221</v>
      </c>
      <c r="K280" s="234" t="s">
        <v>6222</v>
      </c>
      <c r="L280" s="257" t="s">
        <v>6223</v>
      </c>
      <c r="M280" s="234" t="s">
        <v>6224</v>
      </c>
    </row>
    <row r="281" spans="1:13" ht="57">
      <c r="A281" s="234" t="s">
        <v>6225</v>
      </c>
      <c r="B281" s="234" t="s">
        <v>5791</v>
      </c>
      <c r="C281" s="234" t="s">
        <v>6226</v>
      </c>
      <c r="D281" s="234" t="s">
        <v>6227</v>
      </c>
      <c r="E281" s="237" t="s">
        <v>6228</v>
      </c>
      <c r="F281" s="234" t="s">
        <v>6229</v>
      </c>
      <c r="G281" s="234" t="s">
        <v>6230</v>
      </c>
      <c r="H281" s="234" t="s">
        <v>6231</v>
      </c>
      <c r="I281" s="234" t="s">
        <v>6232</v>
      </c>
      <c r="J281" s="234" t="s">
        <v>6233</v>
      </c>
      <c r="K281" s="234" t="s">
        <v>6234</v>
      </c>
      <c r="L281" s="257" t="s">
        <v>6235</v>
      </c>
      <c r="M281" s="234" t="s">
        <v>6236</v>
      </c>
    </row>
    <row r="282" spans="1:13" ht="57" customHeight="1">
      <c r="A282" s="234" t="s">
        <v>6237</v>
      </c>
      <c r="B282" s="234" t="s">
        <v>5791</v>
      </c>
      <c r="C282" s="234" t="s">
        <v>6238</v>
      </c>
      <c r="D282" s="234" t="s">
        <v>6239</v>
      </c>
      <c r="E282" s="237" t="s">
        <v>6240</v>
      </c>
      <c r="F282" s="234" t="s">
        <v>6241</v>
      </c>
      <c r="G282" s="234" t="s">
        <v>6242</v>
      </c>
      <c r="H282" s="234" t="s">
        <v>6243</v>
      </c>
      <c r="I282" s="234" t="s">
        <v>6244</v>
      </c>
      <c r="J282" s="234" t="s">
        <v>6245</v>
      </c>
      <c r="K282" s="234" t="s">
        <v>6246</v>
      </c>
      <c r="L282" s="257" t="s">
        <v>6247</v>
      </c>
      <c r="M282" s="234" t="s">
        <v>6248</v>
      </c>
    </row>
    <row r="283" spans="1:13" ht="57" customHeight="1">
      <c r="A283" s="234" t="s">
        <v>6249</v>
      </c>
      <c r="B283" s="234" t="s">
        <v>5791</v>
      </c>
      <c r="C283" s="234" t="s">
        <v>6250</v>
      </c>
      <c r="D283" s="234" t="s">
        <v>6251</v>
      </c>
      <c r="E283" s="237" t="s">
        <v>6252</v>
      </c>
      <c r="F283" s="234" t="s">
        <v>6253</v>
      </c>
      <c r="G283" s="234" t="s">
        <v>6254</v>
      </c>
      <c r="H283" s="234" t="s">
        <v>6255</v>
      </c>
      <c r="I283" s="234" t="s">
        <v>6256</v>
      </c>
      <c r="J283" s="234" t="s">
        <v>6257</v>
      </c>
      <c r="K283" s="234" t="s">
        <v>6258</v>
      </c>
      <c r="L283" s="257" t="s">
        <v>6259</v>
      </c>
      <c r="M283" s="234" t="s">
        <v>6260</v>
      </c>
    </row>
    <row r="284" spans="1:13" ht="57" customHeight="1">
      <c r="A284" s="234" t="s">
        <v>6261</v>
      </c>
      <c r="B284" s="234" t="s">
        <v>5791</v>
      </c>
      <c r="C284" s="234" t="s">
        <v>6262</v>
      </c>
      <c r="D284" s="234" t="s">
        <v>6263</v>
      </c>
      <c r="E284" s="237" t="s">
        <v>6264</v>
      </c>
      <c r="F284" s="234" t="s">
        <v>6265</v>
      </c>
      <c r="G284" s="234" t="s">
        <v>6266</v>
      </c>
      <c r="H284" s="234" t="s">
        <v>6267</v>
      </c>
      <c r="I284" s="234" t="s">
        <v>6268</v>
      </c>
      <c r="J284" s="234" t="s">
        <v>6269</v>
      </c>
      <c r="K284" s="234" t="s">
        <v>6270</v>
      </c>
      <c r="L284" s="257" t="s">
        <v>6271</v>
      </c>
      <c r="M284" s="234" t="s">
        <v>6272</v>
      </c>
    </row>
    <row r="285" spans="1:13" ht="57" customHeight="1">
      <c r="A285" s="234" t="s">
        <v>6273</v>
      </c>
      <c r="B285" s="234" t="s">
        <v>5791</v>
      </c>
      <c r="C285" s="234" t="s">
        <v>6274</v>
      </c>
      <c r="D285" s="234" t="s">
        <v>6275</v>
      </c>
      <c r="E285" s="237" t="s">
        <v>6276</v>
      </c>
      <c r="F285" s="234" t="s">
        <v>6277</v>
      </c>
      <c r="G285" s="234" t="s">
        <v>6278</v>
      </c>
      <c r="H285" s="234" t="s">
        <v>6279</v>
      </c>
      <c r="I285" s="234" t="s">
        <v>6280</v>
      </c>
      <c r="J285" s="234" t="s">
        <v>6281</v>
      </c>
      <c r="K285" s="234" t="s">
        <v>6282</v>
      </c>
      <c r="L285" s="257" t="s">
        <v>6283</v>
      </c>
      <c r="M285" s="234" t="s">
        <v>6284</v>
      </c>
    </row>
    <row r="286" spans="1:13" ht="57">
      <c r="A286" s="234" t="s">
        <v>6285</v>
      </c>
      <c r="B286" s="234" t="s">
        <v>5791</v>
      </c>
      <c r="C286" s="234" t="s">
        <v>6286</v>
      </c>
      <c r="D286" s="234" t="s">
        <v>6287</v>
      </c>
      <c r="E286" s="237" t="s">
        <v>6288</v>
      </c>
      <c r="F286" s="234" t="s">
        <v>6289</v>
      </c>
      <c r="G286" s="234" t="s">
        <v>6290</v>
      </c>
      <c r="H286" s="234" t="s">
        <v>6291</v>
      </c>
      <c r="I286" s="234" t="s">
        <v>6292</v>
      </c>
      <c r="J286" s="234" t="s">
        <v>6293</v>
      </c>
      <c r="K286" s="234" t="s">
        <v>6294</v>
      </c>
      <c r="L286" s="257" t="s">
        <v>6295</v>
      </c>
      <c r="M286" s="234" t="s">
        <v>6296</v>
      </c>
    </row>
    <row r="287" spans="1:13" ht="57">
      <c r="A287" s="234" t="s">
        <v>6297</v>
      </c>
      <c r="B287" s="234" t="s">
        <v>5791</v>
      </c>
      <c r="C287" s="234" t="s">
        <v>6298</v>
      </c>
      <c r="D287" s="234" t="s">
        <v>6299</v>
      </c>
      <c r="E287" s="237" t="s">
        <v>6300</v>
      </c>
      <c r="F287" s="234" t="s">
        <v>6301</v>
      </c>
      <c r="G287" s="234" t="s">
        <v>6302</v>
      </c>
      <c r="H287" s="234" t="s">
        <v>6303</v>
      </c>
      <c r="I287" s="234" t="s">
        <v>6304</v>
      </c>
      <c r="J287" s="234" t="s">
        <v>6305</v>
      </c>
      <c r="K287" s="234" t="s">
        <v>6306</v>
      </c>
      <c r="L287" s="257" t="s">
        <v>6307</v>
      </c>
      <c r="M287" s="234" t="s">
        <v>6308</v>
      </c>
    </row>
    <row r="288" spans="1:13" ht="57">
      <c r="A288" s="234" t="s">
        <v>6309</v>
      </c>
      <c r="B288" s="234" t="s">
        <v>5791</v>
      </c>
      <c r="C288" s="234" t="s">
        <v>6310</v>
      </c>
      <c r="D288" s="234" t="s">
        <v>6311</v>
      </c>
      <c r="E288" s="237" t="s">
        <v>6312</v>
      </c>
      <c r="F288" s="234" t="s">
        <v>6313</v>
      </c>
      <c r="G288" s="234" t="s">
        <v>6314</v>
      </c>
      <c r="H288" s="234" t="s">
        <v>6315</v>
      </c>
      <c r="I288" s="234" t="s">
        <v>6316</v>
      </c>
      <c r="J288" s="234" t="s">
        <v>6317</v>
      </c>
      <c r="K288" s="234" t="s">
        <v>6318</v>
      </c>
      <c r="L288" s="257" t="s">
        <v>6319</v>
      </c>
      <c r="M288" s="234" t="s">
        <v>6320</v>
      </c>
    </row>
    <row r="289" spans="1:13" ht="42.75">
      <c r="A289" s="234" t="s">
        <v>6321</v>
      </c>
      <c r="B289" s="234" t="s">
        <v>5791</v>
      </c>
      <c r="C289" s="234" t="s">
        <v>6322</v>
      </c>
      <c r="D289" s="234" t="s">
        <v>6323</v>
      </c>
      <c r="E289" s="237" t="s">
        <v>6324</v>
      </c>
      <c r="F289" s="234" t="s">
        <v>6325</v>
      </c>
      <c r="G289" s="234" t="s">
        <v>6326</v>
      </c>
      <c r="H289" s="234" t="s">
        <v>6327</v>
      </c>
      <c r="I289" s="234" t="s">
        <v>6328</v>
      </c>
      <c r="J289" s="234" t="s">
        <v>6329</v>
      </c>
      <c r="K289" s="234" t="s">
        <v>6330</v>
      </c>
      <c r="L289" s="257" t="s">
        <v>6331</v>
      </c>
      <c r="M289" s="234" t="s">
        <v>6332</v>
      </c>
    </row>
    <row r="290" spans="1:13" ht="42.75">
      <c r="A290" s="234" t="s">
        <v>6333</v>
      </c>
      <c r="B290" s="234" t="s">
        <v>5791</v>
      </c>
      <c r="C290" s="234" t="s">
        <v>6334</v>
      </c>
      <c r="D290" s="234" t="s">
        <v>6335</v>
      </c>
      <c r="E290" s="237" t="s">
        <v>6336</v>
      </c>
      <c r="F290" s="234" t="s">
        <v>6337</v>
      </c>
      <c r="G290" s="234" t="s">
        <v>6338</v>
      </c>
      <c r="H290" s="234" t="s">
        <v>6339</v>
      </c>
      <c r="I290" s="234" t="s">
        <v>6340</v>
      </c>
      <c r="J290" s="234" t="s">
        <v>6341</v>
      </c>
      <c r="K290" s="234" t="s">
        <v>6342</v>
      </c>
      <c r="L290" s="257" t="s">
        <v>6343</v>
      </c>
      <c r="M290" s="234" t="s">
        <v>6344</v>
      </c>
    </row>
    <row r="291" spans="1:13" ht="42.75">
      <c r="A291" s="234" t="s">
        <v>6345</v>
      </c>
      <c r="B291" s="234" t="s">
        <v>5791</v>
      </c>
      <c r="C291" s="234" t="s">
        <v>6346</v>
      </c>
      <c r="D291" s="234" t="s">
        <v>6347</v>
      </c>
      <c r="E291" s="237" t="s">
        <v>6348</v>
      </c>
      <c r="F291" s="234" t="s">
        <v>6349</v>
      </c>
      <c r="G291" s="234" t="s">
        <v>6350</v>
      </c>
      <c r="H291" s="234" t="s">
        <v>6351</v>
      </c>
      <c r="I291" s="234" t="s">
        <v>6352</v>
      </c>
      <c r="J291" s="234" t="s">
        <v>6353</v>
      </c>
      <c r="K291" s="234" t="s">
        <v>6354</v>
      </c>
      <c r="L291" s="257" t="s">
        <v>6355</v>
      </c>
      <c r="M291" s="234" t="s">
        <v>6356</v>
      </c>
    </row>
    <row r="292" spans="1:13" ht="42.75">
      <c r="A292" s="234" t="s">
        <v>6357</v>
      </c>
      <c r="B292" s="234" t="s">
        <v>5791</v>
      </c>
      <c r="C292" s="234" t="s">
        <v>6358</v>
      </c>
      <c r="D292" s="234" t="s">
        <v>6359</v>
      </c>
      <c r="E292" s="237" t="s">
        <v>6360</v>
      </c>
      <c r="F292" s="234" t="s">
        <v>6361</v>
      </c>
      <c r="G292" s="234" t="s">
        <v>6362</v>
      </c>
      <c r="H292" s="234" t="s">
        <v>6363</v>
      </c>
      <c r="I292" s="234" t="s">
        <v>6364</v>
      </c>
      <c r="J292" s="234" t="s">
        <v>6365</v>
      </c>
      <c r="K292" s="234" t="s">
        <v>6366</v>
      </c>
      <c r="L292" s="257" t="s">
        <v>6367</v>
      </c>
      <c r="M292" s="234" t="s">
        <v>6368</v>
      </c>
    </row>
    <row r="293" spans="1:13" ht="57">
      <c r="A293" s="234" t="s">
        <v>6369</v>
      </c>
      <c r="B293" s="234" t="s">
        <v>5791</v>
      </c>
      <c r="C293" s="234" t="s">
        <v>6370</v>
      </c>
      <c r="D293" s="234" t="s">
        <v>6371</v>
      </c>
      <c r="E293" s="234" t="s">
        <v>6372</v>
      </c>
      <c r="F293" s="234" t="s">
        <v>6373</v>
      </c>
      <c r="G293" s="234" t="s">
        <v>6374</v>
      </c>
      <c r="H293" s="234" t="s">
        <v>6375</v>
      </c>
      <c r="I293" s="234" t="s">
        <v>6376</v>
      </c>
      <c r="J293" s="234" t="s">
        <v>6377</v>
      </c>
      <c r="K293" s="234" t="s">
        <v>6378</v>
      </c>
      <c r="L293" s="234" t="s">
        <v>6379</v>
      </c>
      <c r="M293" s="234" t="s">
        <v>6380</v>
      </c>
    </row>
    <row r="294" spans="1:13" ht="71.25">
      <c r="A294" s="234" t="s">
        <v>6381</v>
      </c>
      <c r="B294" s="234" t="s">
        <v>5791</v>
      </c>
      <c r="C294" s="234" t="s">
        <v>6382</v>
      </c>
      <c r="D294" s="234" t="s">
        <v>6383</v>
      </c>
      <c r="E294" s="234" t="s">
        <v>6384</v>
      </c>
      <c r="F294" s="234" t="s">
        <v>6385</v>
      </c>
      <c r="G294" s="234" t="s">
        <v>6386</v>
      </c>
      <c r="H294" s="234" t="s">
        <v>6387</v>
      </c>
      <c r="I294" s="234" t="s">
        <v>6388</v>
      </c>
      <c r="J294" s="234" t="s">
        <v>6389</v>
      </c>
      <c r="K294" s="234" t="s">
        <v>6390</v>
      </c>
      <c r="L294" s="234" t="s">
        <v>6391</v>
      </c>
      <c r="M294" s="234" t="s">
        <v>6392</v>
      </c>
    </row>
    <row r="295" spans="1:13" ht="57">
      <c r="A295" s="234" t="s">
        <v>6393</v>
      </c>
      <c r="B295" s="234" t="s">
        <v>5791</v>
      </c>
      <c r="C295" s="234" t="s">
        <v>6394</v>
      </c>
      <c r="D295" s="234" t="s">
        <v>6395</v>
      </c>
      <c r="E295" s="237" t="s">
        <v>6396</v>
      </c>
      <c r="F295" s="234" t="s">
        <v>6397</v>
      </c>
      <c r="G295" s="234" t="s">
        <v>6398</v>
      </c>
      <c r="H295" s="234" t="s">
        <v>6399</v>
      </c>
      <c r="I295" s="234" t="s">
        <v>6400</v>
      </c>
      <c r="J295" s="234" t="s">
        <v>6401</v>
      </c>
      <c r="K295" s="234" t="s">
        <v>6402</v>
      </c>
      <c r="L295" s="257" t="s">
        <v>6403</v>
      </c>
      <c r="M295" s="234" t="s">
        <v>6404</v>
      </c>
    </row>
    <row r="296" spans="1:13" ht="99.75">
      <c r="A296" s="234" t="s">
        <v>6405</v>
      </c>
      <c r="B296" s="234" t="s">
        <v>5791</v>
      </c>
      <c r="C296" s="234" t="s">
        <v>6406</v>
      </c>
      <c r="D296" s="234" t="s">
        <v>6407</v>
      </c>
      <c r="E296" s="234" t="s">
        <v>6408</v>
      </c>
      <c r="F296" s="234" t="s">
        <v>6409</v>
      </c>
      <c r="G296" s="234" t="s">
        <v>6410</v>
      </c>
      <c r="H296" s="234" t="s">
        <v>6411</v>
      </c>
      <c r="I296" s="234" t="s">
        <v>6412</v>
      </c>
      <c r="J296" s="234" t="s">
        <v>6413</v>
      </c>
      <c r="K296" s="234" t="s">
        <v>6414</v>
      </c>
      <c r="L296" s="234" t="s">
        <v>6415</v>
      </c>
      <c r="M296" s="234" t="s">
        <v>6416</v>
      </c>
    </row>
    <row r="297" spans="1:13" ht="57">
      <c r="A297" s="234" t="s">
        <v>6417</v>
      </c>
      <c r="B297" s="234" t="s">
        <v>5791</v>
      </c>
      <c r="C297" s="72" t="s">
        <v>6418</v>
      </c>
      <c r="D297" s="234" t="s">
        <v>6419</v>
      </c>
      <c r="E297" s="234" t="s">
        <v>6420</v>
      </c>
      <c r="F297" s="234" t="s">
        <v>6421</v>
      </c>
      <c r="G297" s="234" t="s">
        <v>6422</v>
      </c>
      <c r="H297" s="234" t="s">
        <v>6423</v>
      </c>
      <c r="I297" s="234" t="s">
        <v>6424</v>
      </c>
      <c r="J297" s="234" t="s">
        <v>6425</v>
      </c>
      <c r="K297" s="234" t="s">
        <v>6426</v>
      </c>
      <c r="L297" s="234" t="s">
        <v>6427</v>
      </c>
      <c r="M297" s="234" t="s">
        <v>6428</v>
      </c>
    </row>
    <row r="298" spans="1:13" ht="57">
      <c r="A298" s="234" t="s">
        <v>6429</v>
      </c>
      <c r="B298" s="234" t="s">
        <v>5791</v>
      </c>
      <c r="C298" s="234" t="s">
        <v>6430</v>
      </c>
      <c r="D298" s="234" t="s">
        <v>6431</v>
      </c>
      <c r="E298" s="237" t="s">
        <v>6432</v>
      </c>
      <c r="F298" s="234" t="s">
        <v>6433</v>
      </c>
      <c r="G298" s="234" t="s">
        <v>6434</v>
      </c>
      <c r="H298" s="234" t="s">
        <v>6435</v>
      </c>
      <c r="I298" s="234" t="s">
        <v>6436</v>
      </c>
      <c r="J298" s="234" t="s">
        <v>6437</v>
      </c>
      <c r="K298" s="234" t="s">
        <v>6438</v>
      </c>
      <c r="L298" s="257" t="s">
        <v>6439</v>
      </c>
      <c r="M298" s="234" t="s">
        <v>6440</v>
      </c>
    </row>
    <row r="299" spans="1:13" ht="42.75">
      <c r="A299" s="234" t="s">
        <v>5791</v>
      </c>
      <c r="D299" s="234" t="s">
        <v>6441</v>
      </c>
      <c r="E299" s="237" t="s">
        <v>6442</v>
      </c>
      <c r="F299" s="234" t="s">
        <v>6443</v>
      </c>
      <c r="G299" s="234" t="s">
        <v>6444</v>
      </c>
      <c r="H299" s="234" t="s">
        <v>6445</v>
      </c>
      <c r="I299" s="234" t="s">
        <v>6446</v>
      </c>
      <c r="J299" s="234" t="s">
        <v>6447</v>
      </c>
      <c r="K299" s="234" t="s">
        <v>6448</v>
      </c>
      <c r="L299" s="257" t="s">
        <v>6449</v>
      </c>
      <c r="M299" s="234" t="s">
        <v>6450</v>
      </c>
    </row>
    <row r="300" spans="1:13" ht="57">
      <c r="A300" s="234" t="s">
        <v>6451</v>
      </c>
      <c r="B300" s="234" t="s">
        <v>5791</v>
      </c>
      <c r="C300" s="234" t="s">
        <v>6452</v>
      </c>
      <c r="D300" s="234" t="s">
        <v>6453</v>
      </c>
      <c r="E300" s="237" t="s">
        <v>6454</v>
      </c>
      <c r="F300" s="234" t="s">
        <v>6455</v>
      </c>
      <c r="G300" s="234" t="s">
        <v>6456</v>
      </c>
      <c r="H300" s="234" t="s">
        <v>6457</v>
      </c>
      <c r="I300" s="234" t="s">
        <v>6458</v>
      </c>
      <c r="J300" s="234" t="s">
        <v>6459</v>
      </c>
      <c r="K300" s="234" t="s">
        <v>6460</v>
      </c>
      <c r="L300" s="257" t="s">
        <v>6461</v>
      </c>
      <c r="M300" s="234" t="s">
        <v>6462</v>
      </c>
    </row>
    <row r="301" spans="1:13" ht="57">
      <c r="A301" s="234" t="s">
        <v>6463</v>
      </c>
      <c r="B301" s="234" t="s">
        <v>5791</v>
      </c>
      <c r="C301" s="234" t="s">
        <v>6464</v>
      </c>
      <c r="D301" s="234" t="s">
        <v>6465</v>
      </c>
      <c r="E301" s="237" t="s">
        <v>6466</v>
      </c>
      <c r="F301" s="234" t="s">
        <v>6467</v>
      </c>
      <c r="G301" s="234" t="s">
        <v>6468</v>
      </c>
      <c r="H301" s="234" t="s">
        <v>6469</v>
      </c>
      <c r="I301" s="234" t="s">
        <v>6470</v>
      </c>
      <c r="J301" s="234" t="s">
        <v>6471</v>
      </c>
      <c r="K301" s="234" t="s">
        <v>6472</v>
      </c>
      <c r="L301" s="257" t="s">
        <v>6473</v>
      </c>
      <c r="M301" s="234" t="s">
        <v>6474</v>
      </c>
    </row>
    <row r="302" spans="1:13" ht="57">
      <c r="A302" s="234" t="s">
        <v>6475</v>
      </c>
      <c r="B302" s="234" t="s">
        <v>5791</v>
      </c>
      <c r="C302" s="234" t="s">
        <v>6476</v>
      </c>
      <c r="D302" s="234" t="s">
        <v>6477</v>
      </c>
      <c r="E302" s="234" t="s">
        <v>6478</v>
      </c>
      <c r="F302" s="234" t="s">
        <v>6479</v>
      </c>
      <c r="G302" s="234" t="s">
        <v>6480</v>
      </c>
      <c r="H302" s="234" t="s">
        <v>6481</v>
      </c>
      <c r="I302" s="234" t="s">
        <v>6482</v>
      </c>
      <c r="J302" s="234" t="s">
        <v>6483</v>
      </c>
      <c r="K302" s="234" t="s">
        <v>6484</v>
      </c>
      <c r="L302" s="234" t="s">
        <v>6485</v>
      </c>
      <c r="M302" s="234" t="s">
        <v>6486</v>
      </c>
    </row>
    <row r="303" spans="1:13" ht="60" customHeight="1">
      <c r="A303" s="234" t="s">
        <v>6487</v>
      </c>
      <c r="B303" s="234" t="s">
        <v>5791</v>
      </c>
      <c r="C303" s="234" t="s">
        <v>6488</v>
      </c>
      <c r="D303" s="234" t="s">
        <v>6489</v>
      </c>
      <c r="E303" s="237" t="s">
        <v>6490</v>
      </c>
      <c r="F303" s="234" t="s">
        <v>6491</v>
      </c>
      <c r="G303" s="234" t="s">
        <v>6492</v>
      </c>
      <c r="H303" s="234" t="s">
        <v>6493</v>
      </c>
      <c r="I303" s="234" t="s">
        <v>6494</v>
      </c>
      <c r="J303" s="234" t="s">
        <v>6495</v>
      </c>
      <c r="K303" s="234" t="s">
        <v>6496</v>
      </c>
      <c r="L303" s="257" t="s">
        <v>6497</v>
      </c>
      <c r="M303" s="234" t="s">
        <v>6498</v>
      </c>
    </row>
    <row r="304" spans="1:13" ht="60" customHeight="1">
      <c r="A304" s="234" t="s">
        <v>5791</v>
      </c>
      <c r="D304" s="234" t="s">
        <v>6499</v>
      </c>
      <c r="E304" s="237" t="s">
        <v>6500</v>
      </c>
      <c r="F304" s="234" t="s">
        <v>6501</v>
      </c>
      <c r="G304" s="234" t="s">
        <v>6502</v>
      </c>
      <c r="H304" s="234" t="s">
        <v>6503</v>
      </c>
      <c r="I304" s="234" t="s">
        <v>6504</v>
      </c>
      <c r="J304" s="234" t="s">
        <v>6505</v>
      </c>
      <c r="K304" s="234" t="s">
        <v>6506</v>
      </c>
      <c r="L304" s="257" t="s">
        <v>6507</v>
      </c>
      <c r="M304" s="234" t="s">
        <v>6508</v>
      </c>
    </row>
    <row r="305" spans="1:13" ht="57" customHeight="1">
      <c r="A305" s="234" t="s">
        <v>6509</v>
      </c>
      <c r="B305" s="234" t="s">
        <v>5791</v>
      </c>
      <c r="C305" s="234" t="s">
        <v>6510</v>
      </c>
      <c r="D305" s="278" t="s">
        <v>6511</v>
      </c>
      <c r="E305" s="237" t="s">
        <v>6512</v>
      </c>
      <c r="F305" s="234" t="s">
        <v>6513</v>
      </c>
      <c r="G305" s="113" t="s">
        <v>6514</v>
      </c>
      <c r="H305" s="234" t="s">
        <v>6515</v>
      </c>
      <c r="I305" s="234" t="s">
        <v>6516</v>
      </c>
      <c r="J305" s="234" t="s">
        <v>6517</v>
      </c>
      <c r="K305" s="234" t="s">
        <v>6518</v>
      </c>
      <c r="L305" s="257" t="s">
        <v>6519</v>
      </c>
      <c r="M305" s="234" t="s">
        <v>6520</v>
      </c>
    </row>
    <row r="306" spans="1:13" ht="57" customHeight="1">
      <c r="A306" s="234" t="s">
        <v>6521</v>
      </c>
      <c r="B306" s="234" t="s">
        <v>5791</v>
      </c>
      <c r="C306" s="234" t="s">
        <v>6522</v>
      </c>
      <c r="D306" s="278" t="s">
        <v>6523</v>
      </c>
      <c r="E306" s="237" t="s">
        <v>6524</v>
      </c>
      <c r="F306" s="234" t="s">
        <v>6525</v>
      </c>
      <c r="G306" s="113" t="s">
        <v>6526</v>
      </c>
      <c r="H306" s="234" t="s">
        <v>6527</v>
      </c>
      <c r="I306" s="234" t="s">
        <v>6528</v>
      </c>
      <c r="J306" s="234" t="s">
        <v>6529</v>
      </c>
      <c r="K306" s="234" t="s">
        <v>6530</v>
      </c>
      <c r="L306" s="257" t="s">
        <v>6531</v>
      </c>
      <c r="M306" s="234" t="s">
        <v>6532</v>
      </c>
    </row>
    <row r="307" spans="1:13" ht="57" customHeight="1">
      <c r="A307" s="234" t="s">
        <v>6533</v>
      </c>
      <c r="B307" s="234" t="s">
        <v>5791</v>
      </c>
      <c r="C307" s="234" t="s">
        <v>6534</v>
      </c>
      <c r="D307" s="278" t="s">
        <v>6535</v>
      </c>
      <c r="E307" s="237" t="s">
        <v>6536</v>
      </c>
      <c r="F307" s="234" t="s">
        <v>6537</v>
      </c>
      <c r="G307" s="113" t="s">
        <v>6538</v>
      </c>
      <c r="H307" s="234" t="s">
        <v>6539</v>
      </c>
      <c r="I307" s="234" t="s">
        <v>6540</v>
      </c>
      <c r="J307" s="234" t="s">
        <v>6541</v>
      </c>
      <c r="K307" s="234" t="s">
        <v>6542</v>
      </c>
      <c r="L307" s="257" t="s">
        <v>6543</v>
      </c>
      <c r="M307" s="234" t="s">
        <v>6544</v>
      </c>
    </row>
    <row r="308" spans="1:13" ht="57" customHeight="1">
      <c r="A308" s="234" t="s">
        <v>6545</v>
      </c>
      <c r="B308" s="234" t="s">
        <v>5791</v>
      </c>
      <c r="C308" s="234" t="s">
        <v>6546</v>
      </c>
      <c r="D308" s="278" t="s">
        <v>6547</v>
      </c>
      <c r="E308" s="237" t="s">
        <v>6548</v>
      </c>
      <c r="F308" s="234" t="s">
        <v>6549</v>
      </c>
      <c r="G308" s="113" t="s">
        <v>6550</v>
      </c>
      <c r="H308" s="234" t="s">
        <v>6551</v>
      </c>
      <c r="I308" s="234" t="s">
        <v>6552</v>
      </c>
      <c r="J308" s="234" t="s">
        <v>6553</v>
      </c>
      <c r="K308" s="234" t="s">
        <v>6554</v>
      </c>
      <c r="L308" s="257" t="s">
        <v>6555</v>
      </c>
      <c r="M308" s="234" t="s">
        <v>6556</v>
      </c>
    </row>
    <row r="309" spans="1:13" ht="28.5" customHeight="1">
      <c r="A309" s="234" t="s">
        <v>6509</v>
      </c>
      <c r="B309" s="234" t="s">
        <v>5791</v>
      </c>
      <c r="C309" s="234" t="s">
        <v>6510</v>
      </c>
      <c r="D309" s="234" t="s">
        <v>6557</v>
      </c>
      <c r="E309" s="235" t="s">
        <v>6558</v>
      </c>
      <c r="F309" s="72" t="s">
        <v>6559</v>
      </c>
      <c r="G309" s="113" t="s">
        <v>6560</v>
      </c>
      <c r="H309" s="234" t="s">
        <v>6561</v>
      </c>
      <c r="I309" s="234" t="s">
        <v>6562</v>
      </c>
      <c r="J309" s="234" t="s">
        <v>6563</v>
      </c>
      <c r="K309" s="113" t="s">
        <v>6564</v>
      </c>
      <c r="L309" s="242" t="s">
        <v>6565</v>
      </c>
      <c r="M309" s="234" t="s">
        <v>6566</v>
      </c>
    </row>
    <row r="310" spans="1:13" ht="28.5" customHeight="1">
      <c r="A310" s="234" t="s">
        <v>6521</v>
      </c>
      <c r="B310" s="234" t="s">
        <v>5791</v>
      </c>
      <c r="C310" s="234" t="s">
        <v>6522</v>
      </c>
      <c r="D310" s="234" t="s">
        <v>6557</v>
      </c>
      <c r="E310" s="235" t="s">
        <v>6558</v>
      </c>
      <c r="F310" s="72" t="s">
        <v>6559</v>
      </c>
      <c r="G310" s="113" t="s">
        <v>6560</v>
      </c>
      <c r="H310" s="234" t="s">
        <v>6561</v>
      </c>
      <c r="I310" s="234" t="s">
        <v>6562</v>
      </c>
      <c r="J310" s="234" t="s">
        <v>6563</v>
      </c>
      <c r="K310" s="113" t="s">
        <v>6564</v>
      </c>
      <c r="L310" s="242" t="s">
        <v>6565</v>
      </c>
      <c r="M310" s="234" t="s">
        <v>6566</v>
      </c>
    </row>
    <row r="311" spans="1:13" ht="28.5" customHeight="1">
      <c r="A311" s="234" t="s">
        <v>6533</v>
      </c>
      <c r="B311" s="234" t="s">
        <v>5791</v>
      </c>
      <c r="C311" s="234" t="s">
        <v>6534</v>
      </c>
      <c r="D311" s="234" t="s">
        <v>6557</v>
      </c>
      <c r="E311" s="235" t="s">
        <v>6558</v>
      </c>
      <c r="F311" s="72" t="s">
        <v>6559</v>
      </c>
      <c r="G311" s="113" t="s">
        <v>6560</v>
      </c>
      <c r="H311" s="234" t="s">
        <v>6561</v>
      </c>
      <c r="I311" s="234" t="s">
        <v>6562</v>
      </c>
      <c r="J311" s="234" t="s">
        <v>6563</v>
      </c>
      <c r="K311" s="113" t="s">
        <v>6564</v>
      </c>
      <c r="L311" s="242" t="s">
        <v>6565</v>
      </c>
      <c r="M311" s="234" t="s">
        <v>6566</v>
      </c>
    </row>
    <row r="312" spans="1:13" ht="28.5" customHeight="1">
      <c r="A312" s="234" t="s">
        <v>6545</v>
      </c>
      <c r="B312" s="234" t="s">
        <v>5791</v>
      </c>
      <c r="C312" s="234" t="s">
        <v>6546</v>
      </c>
      <c r="D312" s="234" t="s">
        <v>6557</v>
      </c>
      <c r="E312" s="235" t="s">
        <v>6558</v>
      </c>
      <c r="F312" s="72" t="s">
        <v>6559</v>
      </c>
      <c r="G312" s="113" t="s">
        <v>6560</v>
      </c>
      <c r="H312" s="234" t="s">
        <v>6561</v>
      </c>
      <c r="I312" s="234" t="s">
        <v>6562</v>
      </c>
      <c r="J312" s="234" t="s">
        <v>6563</v>
      </c>
      <c r="K312" s="113" t="s">
        <v>6564</v>
      </c>
      <c r="L312" s="242" t="s">
        <v>6565</v>
      </c>
      <c r="M312" s="234" t="s">
        <v>6566</v>
      </c>
    </row>
    <row r="313" spans="1:13" ht="42.75" customHeight="1">
      <c r="A313" s="234" t="str">
        <f>B313&amp;C313</f>
        <v>Product ListA1</v>
      </c>
      <c r="B313" s="234" t="s">
        <v>3240</v>
      </c>
      <c r="C313" s="234" t="s">
        <v>3502</v>
      </c>
      <c r="D313" s="279" t="s">
        <v>6567</v>
      </c>
      <c r="E313" s="237" t="s">
        <v>6568</v>
      </c>
      <c r="F313" s="234" t="s">
        <v>6569</v>
      </c>
      <c r="G313" s="234" t="s">
        <v>6570</v>
      </c>
      <c r="H313" s="234" t="s">
        <v>6571</v>
      </c>
      <c r="I313" s="234" t="s">
        <v>6572</v>
      </c>
      <c r="J313" s="253" t="s">
        <v>6573</v>
      </c>
      <c r="K313" s="239" t="s">
        <v>6574</v>
      </c>
      <c r="L313" s="238" t="s">
        <v>6575</v>
      </c>
      <c r="M313" s="279" t="s">
        <v>6576</v>
      </c>
    </row>
    <row r="314" spans="1:13" ht="14.25" customHeight="1">
      <c r="A314" s="234" t="str">
        <f>B314&amp;C314</f>
        <v>Product ListB5</v>
      </c>
      <c r="B314" s="234" t="s">
        <v>3240</v>
      </c>
      <c r="C314" s="234" t="s">
        <v>4291</v>
      </c>
      <c r="D314" s="279" t="s">
        <v>6577</v>
      </c>
      <c r="E314" s="237" t="s">
        <v>6578</v>
      </c>
      <c r="F314" s="234" t="s">
        <v>6579</v>
      </c>
      <c r="G314" s="234" t="s">
        <v>6580</v>
      </c>
      <c r="H314" s="234" t="s">
        <v>6581</v>
      </c>
      <c r="I314" s="234" t="s">
        <v>6582</v>
      </c>
      <c r="J314" s="279" t="s">
        <v>6583</v>
      </c>
      <c r="K314" s="239" t="s">
        <v>6584</v>
      </c>
      <c r="L314" s="280" t="s">
        <v>6585</v>
      </c>
      <c r="M314" s="279" t="s">
        <v>6586</v>
      </c>
    </row>
    <row r="315" spans="1:13" ht="28.5">
      <c r="A315" s="234" t="str">
        <f>B315&amp;C315</f>
        <v>Product ListC5</v>
      </c>
      <c r="B315" s="234" t="s">
        <v>3240</v>
      </c>
      <c r="C315" s="234" t="s">
        <v>4602</v>
      </c>
      <c r="D315" s="279" t="s">
        <v>6587</v>
      </c>
      <c r="E315" s="237" t="s">
        <v>6588</v>
      </c>
      <c r="F315" s="234" t="s">
        <v>6589</v>
      </c>
      <c r="G315" s="234" t="s">
        <v>6590</v>
      </c>
      <c r="H315" s="234" t="s">
        <v>6591</v>
      </c>
      <c r="I315" s="234" t="s">
        <v>6592</v>
      </c>
      <c r="J315" s="279" t="s">
        <v>6593</v>
      </c>
      <c r="K315" s="239" t="s">
        <v>6594</v>
      </c>
      <c r="L315" s="280" t="s">
        <v>6595</v>
      </c>
      <c r="M315" s="279" t="s">
        <v>6596</v>
      </c>
    </row>
    <row r="316" spans="1:13" ht="28.5">
      <c r="A316" s="234" t="str">
        <f>B316&amp;C316</f>
        <v>Product ListD5</v>
      </c>
      <c r="B316" s="234" t="s">
        <v>3240</v>
      </c>
      <c r="C316" s="234" t="s">
        <v>6597</v>
      </c>
      <c r="D316" s="279" t="s">
        <v>5325</v>
      </c>
      <c r="E316" s="235" t="s">
        <v>5326</v>
      </c>
      <c r="F316" s="234" t="s">
        <v>5327</v>
      </c>
      <c r="G316" s="234" t="s">
        <v>5328</v>
      </c>
      <c r="H316" s="234" t="s">
        <v>5329</v>
      </c>
      <c r="I316" s="234" t="s">
        <v>5330</v>
      </c>
      <c r="J316" s="279" t="s">
        <v>5331</v>
      </c>
      <c r="K316" s="239" t="s">
        <v>5332</v>
      </c>
      <c r="L316" s="280" t="s">
        <v>5333</v>
      </c>
      <c r="M316" s="279" t="s">
        <v>5334</v>
      </c>
    </row>
    <row r="317" spans="1:13" ht="28.5">
      <c r="A317" s="234" t="str">
        <f>B317&amp;C317</f>
        <v>GeneralCpy</v>
      </c>
      <c r="B317" s="234" t="s">
        <v>6598</v>
      </c>
      <c r="C317" s="234" t="s">
        <v>6599</v>
      </c>
      <c r="D317" s="234" t="s">
        <v>6600</v>
      </c>
      <c r="E317" s="237" t="s">
        <v>6601</v>
      </c>
      <c r="F317" s="234" t="s">
        <v>6600</v>
      </c>
      <c r="G317" s="234" t="s">
        <v>6600</v>
      </c>
      <c r="H317" s="234" t="s">
        <v>6600</v>
      </c>
      <c r="I317" s="234" t="s">
        <v>6600</v>
      </c>
      <c r="J317" s="234" t="s">
        <v>6600</v>
      </c>
      <c r="K317" s="234" t="s">
        <v>6600</v>
      </c>
      <c r="L317" s="257" t="s">
        <v>6600</v>
      </c>
      <c r="M317" s="234" t="s">
        <v>6602</v>
      </c>
    </row>
    <row r="318" spans="1:13">
      <c r="A318" s="234" t="s">
        <v>6603</v>
      </c>
      <c r="B318" s="234" t="s">
        <v>6598</v>
      </c>
      <c r="K318" s="234"/>
      <c r="L318" s="238"/>
      <c r="M318" s="234"/>
    </row>
    <row r="319" spans="1:13">
      <c r="K319" s="234"/>
      <c r="L319" s="238"/>
      <c r="M319" s="234"/>
    </row>
    <row r="320" spans="1:13" ht="85.5">
      <c r="A320" s="234" t="s">
        <v>5325</v>
      </c>
      <c r="D320" s="234" t="s">
        <v>6604</v>
      </c>
      <c r="E320" s="237" t="s">
        <v>6605</v>
      </c>
      <c r="F320" s="234" t="s">
        <v>6606</v>
      </c>
      <c r="G320" s="234" t="s">
        <v>6607</v>
      </c>
      <c r="H320" s="234" t="s">
        <v>6608</v>
      </c>
      <c r="I320" s="234" t="s">
        <v>6609</v>
      </c>
      <c r="J320" s="234" t="s">
        <v>6610</v>
      </c>
      <c r="K320" s="234" t="s">
        <v>6611</v>
      </c>
      <c r="L320" s="238" t="s">
        <v>6612</v>
      </c>
      <c r="M320" s="234" t="s">
        <v>6613</v>
      </c>
    </row>
    <row r="321" spans="1:13" ht="28.5">
      <c r="A321" s="234" t="s">
        <v>5325</v>
      </c>
      <c r="D321" s="234" t="s">
        <v>6614</v>
      </c>
      <c r="E321" s="237" t="s">
        <v>6615</v>
      </c>
      <c r="F321" s="234" t="s">
        <v>6616</v>
      </c>
      <c r="G321" s="281" t="s">
        <v>6617</v>
      </c>
      <c r="H321" s="234" t="s">
        <v>6618</v>
      </c>
      <c r="I321" s="234" t="s">
        <v>6619</v>
      </c>
      <c r="J321" s="234" t="s">
        <v>6620</v>
      </c>
      <c r="K321" s="234" t="s">
        <v>6621</v>
      </c>
      <c r="L321" s="282" t="s">
        <v>6622</v>
      </c>
      <c r="M321" s="234" t="s">
        <v>6623</v>
      </c>
    </row>
    <row r="322" spans="1:13" ht="28.5">
      <c r="A322" s="234" t="s">
        <v>5325</v>
      </c>
      <c r="D322" s="234" t="s">
        <v>6624</v>
      </c>
      <c r="E322" s="237" t="s">
        <v>6625</v>
      </c>
      <c r="F322" s="234" t="s">
        <v>6626</v>
      </c>
      <c r="G322" s="281" t="s">
        <v>6627</v>
      </c>
      <c r="H322" s="234" t="s">
        <v>6628</v>
      </c>
      <c r="I322" s="234" t="s">
        <v>6629</v>
      </c>
      <c r="J322" s="234" t="s">
        <v>6630</v>
      </c>
      <c r="K322" s="234" t="s">
        <v>6631</v>
      </c>
      <c r="L322" s="282" t="s">
        <v>6632</v>
      </c>
      <c r="M322" s="234" t="s">
        <v>6633</v>
      </c>
    </row>
    <row r="323" spans="1:13" ht="71.25">
      <c r="A323" s="234" t="s">
        <v>5325</v>
      </c>
      <c r="D323" s="234" t="s">
        <v>6634</v>
      </c>
      <c r="E323" s="237" t="s">
        <v>6635</v>
      </c>
      <c r="F323" s="234" t="s">
        <v>6636</v>
      </c>
      <c r="G323" s="281" t="s">
        <v>6637</v>
      </c>
      <c r="H323" s="234" t="s">
        <v>6638</v>
      </c>
      <c r="I323" s="234" t="s">
        <v>6639</v>
      </c>
      <c r="J323" s="234" t="s">
        <v>6640</v>
      </c>
      <c r="K323" s="234" t="s">
        <v>6641</v>
      </c>
      <c r="L323" s="282" t="s">
        <v>6642</v>
      </c>
      <c r="M323" s="234" t="s">
        <v>6643</v>
      </c>
    </row>
    <row r="324" spans="1:13" ht="28.5">
      <c r="A324" s="234" t="s">
        <v>5325</v>
      </c>
      <c r="D324" s="234" t="s">
        <v>6644</v>
      </c>
      <c r="E324" s="237" t="s">
        <v>6645</v>
      </c>
      <c r="F324" s="234" t="s">
        <v>6646</v>
      </c>
      <c r="G324" s="281" t="s">
        <v>6647</v>
      </c>
      <c r="H324" s="234" t="s">
        <v>6648</v>
      </c>
      <c r="I324" s="234" t="s">
        <v>6649</v>
      </c>
      <c r="J324" s="234" t="s">
        <v>6650</v>
      </c>
      <c r="K324" s="234" t="s">
        <v>6651</v>
      </c>
      <c r="L324" s="282" t="s">
        <v>6652</v>
      </c>
      <c r="M324" s="234" t="s">
        <v>6653</v>
      </c>
    </row>
    <row r="325" spans="1:13" ht="42.75">
      <c r="A325" s="234" t="s">
        <v>5325</v>
      </c>
      <c r="D325" s="234" t="s">
        <v>6654</v>
      </c>
      <c r="E325" s="237" t="s">
        <v>6655</v>
      </c>
      <c r="F325" s="234" t="s">
        <v>6656</v>
      </c>
      <c r="G325" s="281" t="s">
        <v>6657</v>
      </c>
      <c r="H325" s="234" t="s">
        <v>6658</v>
      </c>
      <c r="I325" s="234" t="s">
        <v>6659</v>
      </c>
      <c r="J325" s="234" t="s">
        <v>6660</v>
      </c>
      <c r="K325" s="234" t="s">
        <v>6661</v>
      </c>
      <c r="L325" s="282" t="s">
        <v>6662</v>
      </c>
      <c r="M325" s="234" t="s">
        <v>6663</v>
      </c>
    </row>
    <row r="326" spans="1:13" ht="85.5">
      <c r="A326" s="234" t="s">
        <v>5325</v>
      </c>
      <c r="D326" s="234" t="s">
        <v>6664</v>
      </c>
      <c r="E326" s="237" t="s">
        <v>6665</v>
      </c>
      <c r="F326" s="234" t="s">
        <v>6666</v>
      </c>
      <c r="G326" s="281" t="s">
        <v>6667</v>
      </c>
      <c r="H326" s="234" t="s">
        <v>6668</v>
      </c>
      <c r="I326" s="234" t="s">
        <v>6669</v>
      </c>
      <c r="J326" s="234" t="s">
        <v>6670</v>
      </c>
      <c r="K326" s="234" t="s">
        <v>6671</v>
      </c>
      <c r="L326" s="282" t="s">
        <v>6672</v>
      </c>
      <c r="M326" s="234" t="s">
        <v>6673</v>
      </c>
    </row>
    <row r="327" spans="1:13">
      <c r="K327" s="234"/>
    </row>
    <row r="328" spans="1:13">
      <c r="K328" s="234"/>
    </row>
    <row r="329" spans="1:13">
      <c r="K329" s="234"/>
    </row>
    <row r="330" spans="1:13">
      <c r="K330" s="234"/>
    </row>
    <row r="331" spans="1:13">
      <c r="K331" s="234"/>
    </row>
    <row r="332" spans="1:13">
      <c r="K332" s="234"/>
    </row>
    <row r="333" spans="1:13">
      <c r="K333" s="234"/>
    </row>
    <row r="334" spans="1:13">
      <c r="K334" s="234"/>
    </row>
    <row r="335" spans="1:13">
      <c r="K335" s="234"/>
    </row>
    <row r="336" spans="1:13">
      <c r="K336" s="234"/>
    </row>
    <row r="337" spans="11:11">
      <c r="K337" s="234"/>
    </row>
    <row r="338" spans="11:11">
      <c r="K338" s="234"/>
    </row>
    <row r="339" spans="11:11">
      <c r="K339" s="234"/>
    </row>
    <row r="340" spans="11:11">
      <c r="K340" s="234"/>
    </row>
    <row r="341" spans="11:11">
      <c r="K341" s="234"/>
    </row>
    <row r="342" spans="11:11">
      <c r="K342" s="234"/>
    </row>
    <row r="343" spans="11:11">
      <c r="K343" s="234"/>
    </row>
    <row r="344" spans="11:11">
      <c r="K344" s="234"/>
    </row>
    <row r="345" spans="11:11">
      <c r="K345" s="234"/>
    </row>
    <row r="346" spans="11:11">
      <c r="K346" s="234"/>
    </row>
    <row r="347" spans="11:11">
      <c r="K347" s="234"/>
    </row>
    <row r="348" spans="11:11">
      <c r="K348" s="234"/>
    </row>
    <row r="349" spans="11:11">
      <c r="K349" s="234"/>
    </row>
    <row r="350" spans="11:11">
      <c r="K350" s="234"/>
    </row>
    <row r="351" spans="11:11">
      <c r="K351" s="234"/>
    </row>
    <row r="352" spans="11:11">
      <c r="K352" s="234"/>
    </row>
    <row r="353" spans="11:11">
      <c r="K353" s="234"/>
    </row>
    <row r="354" spans="11:11">
      <c r="K354" s="234"/>
    </row>
    <row r="355" spans="11:11">
      <c r="K355" s="234"/>
    </row>
    <row r="356" spans="11:11">
      <c r="K356" s="234"/>
    </row>
    <row r="357" spans="11:11">
      <c r="K357" s="234"/>
    </row>
    <row r="358" spans="11:11">
      <c r="K358" s="234"/>
    </row>
    <row r="359" spans="11:11">
      <c r="K359" s="234"/>
    </row>
    <row r="360" spans="11:11">
      <c r="K360" s="234"/>
    </row>
    <row r="361" spans="11:11">
      <c r="K361" s="234"/>
    </row>
    <row r="362" spans="11:11">
      <c r="K362" s="234"/>
    </row>
    <row r="363" spans="11:11">
      <c r="K363" s="234"/>
    </row>
    <row r="364" spans="11:11">
      <c r="K364" s="234"/>
    </row>
    <row r="365" spans="11:11">
      <c r="K365" s="234"/>
    </row>
    <row r="366" spans="11:11">
      <c r="K366" s="234"/>
    </row>
    <row r="367" spans="11:11">
      <c r="K367" s="234"/>
    </row>
    <row r="368" spans="11:11">
      <c r="K368" s="234"/>
    </row>
    <row r="369" spans="11:11">
      <c r="K369" s="234"/>
    </row>
    <row r="370" spans="11:11">
      <c r="K370" s="234"/>
    </row>
    <row r="371" spans="11:11">
      <c r="K371" s="234"/>
    </row>
    <row r="372" spans="11:11">
      <c r="K372" s="234"/>
    </row>
    <row r="373" spans="11:11">
      <c r="K373" s="234"/>
    </row>
    <row r="374" spans="11:11">
      <c r="K374" s="234"/>
    </row>
    <row r="375" spans="11:11">
      <c r="K375" s="234"/>
    </row>
    <row r="376" spans="11:11">
      <c r="K376" s="234"/>
    </row>
    <row r="377" spans="11:11">
      <c r="K377" s="234"/>
    </row>
    <row r="378" spans="11:11">
      <c r="K378" s="234"/>
    </row>
    <row r="379" spans="11:11">
      <c r="K379" s="234"/>
    </row>
    <row r="380" spans="11:11">
      <c r="K380" s="234"/>
    </row>
    <row r="381" spans="11:11">
      <c r="K381" s="234"/>
    </row>
    <row r="382" spans="11:11">
      <c r="K382" s="234"/>
    </row>
    <row r="383" spans="11:11">
      <c r="K383" s="234"/>
    </row>
    <row r="384" spans="11:11">
      <c r="K384" s="234"/>
    </row>
    <row r="385" spans="11:11">
      <c r="K385" s="234"/>
    </row>
    <row r="386" spans="11:11">
      <c r="K386" s="234"/>
    </row>
    <row r="387" spans="11:11">
      <c r="K387" s="234"/>
    </row>
    <row r="388" spans="11:11">
      <c r="K388" s="234"/>
    </row>
    <row r="389" spans="11:11">
      <c r="K389" s="234"/>
    </row>
    <row r="390" spans="11:11">
      <c r="K390" s="234"/>
    </row>
    <row r="391" spans="11:11">
      <c r="K391" s="234"/>
    </row>
    <row r="392" spans="11:11">
      <c r="K392" s="234"/>
    </row>
    <row r="393" spans="11:11">
      <c r="K393" s="234"/>
    </row>
    <row r="394" spans="11:11">
      <c r="K394" s="234"/>
    </row>
    <row r="395" spans="11:11">
      <c r="K395" s="234"/>
    </row>
    <row r="396" spans="11:11">
      <c r="K396" s="234"/>
    </row>
    <row r="397" spans="11:11">
      <c r="K397" s="234"/>
    </row>
    <row r="398" spans="11:11">
      <c r="K398" s="234"/>
    </row>
    <row r="399" spans="11:11">
      <c r="K399" s="234"/>
    </row>
    <row r="400" spans="11:11">
      <c r="K400" s="234"/>
    </row>
    <row r="401" spans="11:11">
      <c r="K401" s="234"/>
    </row>
    <row r="402" spans="11:11">
      <c r="K402" s="234"/>
    </row>
    <row r="403" spans="11:11">
      <c r="K403" s="234"/>
    </row>
    <row r="404" spans="11:11">
      <c r="K404" s="234"/>
    </row>
    <row r="405" spans="11:11">
      <c r="K405" s="234"/>
    </row>
    <row r="406" spans="11:11">
      <c r="K406" s="234"/>
    </row>
    <row r="407" spans="11:11">
      <c r="K407" s="234"/>
    </row>
    <row r="408" spans="11:11">
      <c r="K408" s="234"/>
    </row>
    <row r="409" spans="11:11">
      <c r="K409" s="234"/>
    </row>
    <row r="410" spans="11:11">
      <c r="K410" s="234"/>
    </row>
    <row r="411" spans="11:11">
      <c r="K411" s="234"/>
    </row>
    <row r="412" spans="11:11">
      <c r="K412" s="234"/>
    </row>
    <row r="413" spans="11:11">
      <c r="K413" s="234"/>
    </row>
    <row r="414" spans="11:11">
      <c r="K414" s="234"/>
    </row>
    <row r="415" spans="11:11">
      <c r="K415" s="234"/>
    </row>
    <row r="416" spans="11:11">
      <c r="K416" s="234"/>
    </row>
    <row r="417" spans="11:11">
      <c r="K417" s="234"/>
    </row>
    <row r="418" spans="11:11">
      <c r="K418" s="234"/>
    </row>
    <row r="419" spans="11:11">
      <c r="K419" s="234"/>
    </row>
    <row r="420" spans="11:11">
      <c r="K420" s="234"/>
    </row>
    <row r="421" spans="11:11">
      <c r="K421" s="234"/>
    </row>
    <row r="422" spans="11:11">
      <c r="K422" s="234"/>
    </row>
    <row r="423" spans="11:11">
      <c r="K423" s="234"/>
    </row>
    <row r="424" spans="11:11">
      <c r="K424" s="234"/>
    </row>
    <row r="425" spans="11:11">
      <c r="K425" s="234"/>
    </row>
    <row r="426" spans="11:11">
      <c r="K426" s="234"/>
    </row>
    <row r="427" spans="11:11">
      <c r="K427" s="234"/>
    </row>
    <row r="428" spans="11:11">
      <c r="K428" s="234"/>
    </row>
    <row r="429" spans="11:11">
      <c r="K429" s="234"/>
    </row>
    <row r="430" spans="11:11">
      <c r="K430" s="234"/>
    </row>
    <row r="431" spans="11:11">
      <c r="K431" s="234"/>
    </row>
    <row r="432" spans="11:11">
      <c r="K432" s="234"/>
    </row>
    <row r="433" spans="11:11">
      <c r="K433" s="234"/>
    </row>
    <row r="434" spans="11:11">
      <c r="K434" s="234"/>
    </row>
    <row r="435" spans="11:11">
      <c r="K435" s="234"/>
    </row>
    <row r="436" spans="11:11">
      <c r="K436" s="234"/>
    </row>
    <row r="437" spans="11:11">
      <c r="K437" s="234"/>
    </row>
    <row r="438" spans="11:11">
      <c r="K438" s="234"/>
    </row>
    <row r="439" spans="11:11">
      <c r="K439" s="234"/>
    </row>
    <row r="440" spans="11:11">
      <c r="K440" s="234"/>
    </row>
    <row r="441" spans="11:11">
      <c r="K441" s="234"/>
    </row>
    <row r="442" spans="11:11">
      <c r="K442" s="234"/>
    </row>
    <row r="443" spans="11:11">
      <c r="K443" s="234"/>
    </row>
    <row r="444" spans="11:11">
      <c r="K444" s="234"/>
    </row>
    <row r="445" spans="11:11">
      <c r="K445" s="234"/>
    </row>
    <row r="446" spans="11:11">
      <c r="K446" s="234"/>
    </row>
    <row r="447" spans="11:11">
      <c r="K447" s="234"/>
    </row>
    <row r="448" spans="11:11">
      <c r="K448" s="234"/>
    </row>
    <row r="449" spans="11:11">
      <c r="K449" s="234"/>
    </row>
    <row r="450" spans="11:11">
      <c r="K450" s="234"/>
    </row>
    <row r="451" spans="11:11">
      <c r="K451" s="234"/>
    </row>
    <row r="452" spans="11:11">
      <c r="K452" s="234"/>
    </row>
    <row r="453" spans="11:11">
      <c r="K453" s="234"/>
    </row>
    <row r="454" spans="11:11">
      <c r="K454" s="234"/>
    </row>
    <row r="455" spans="11:11">
      <c r="K455" s="234"/>
    </row>
    <row r="456" spans="11:11">
      <c r="K456" s="234"/>
    </row>
    <row r="457" spans="11:11">
      <c r="K457" s="234"/>
    </row>
    <row r="458" spans="11:11">
      <c r="K458" s="234"/>
    </row>
    <row r="459" spans="11:11">
      <c r="K459" s="234"/>
    </row>
    <row r="460" spans="11:11">
      <c r="K460" s="234"/>
    </row>
    <row r="461" spans="11:11">
      <c r="K461" s="234"/>
    </row>
    <row r="462" spans="11:11">
      <c r="K462" s="234"/>
    </row>
    <row r="463" spans="11:11">
      <c r="K463" s="234"/>
    </row>
    <row r="464" spans="11:11">
      <c r="K464" s="234"/>
    </row>
    <row r="465" spans="11:11">
      <c r="K465" s="234"/>
    </row>
    <row r="466" spans="11:11">
      <c r="K466" s="234"/>
    </row>
    <row r="467" spans="11:11">
      <c r="K467" s="234"/>
    </row>
    <row r="468" spans="11:11">
      <c r="K468" s="234"/>
    </row>
    <row r="469" spans="11:11">
      <c r="K469" s="234"/>
    </row>
    <row r="470" spans="11:11">
      <c r="K470" s="234"/>
    </row>
    <row r="471" spans="11:11">
      <c r="K471" s="234"/>
    </row>
    <row r="472" spans="11:11">
      <c r="K472" s="234"/>
    </row>
    <row r="473" spans="11:11">
      <c r="K473" s="234"/>
    </row>
    <row r="474" spans="11:11">
      <c r="K474" s="234"/>
    </row>
    <row r="475" spans="11:11">
      <c r="K475" s="234"/>
    </row>
    <row r="476" spans="11:11">
      <c r="K476" s="234"/>
    </row>
    <row r="477" spans="11:11">
      <c r="K477" s="234"/>
    </row>
    <row r="478" spans="11:11">
      <c r="K478" s="234"/>
    </row>
    <row r="479" spans="11:11">
      <c r="K479" s="234"/>
    </row>
    <row r="480" spans="11:11">
      <c r="K480" s="234"/>
    </row>
    <row r="481" spans="11:11">
      <c r="K481" s="234"/>
    </row>
    <row r="482" spans="11:11">
      <c r="K482" s="234"/>
    </row>
    <row r="483" spans="11:11">
      <c r="K483" s="234"/>
    </row>
    <row r="484" spans="11:11">
      <c r="K484" s="234"/>
    </row>
    <row r="485" spans="11:11">
      <c r="K485" s="234"/>
    </row>
    <row r="486" spans="11:11">
      <c r="K486" s="234"/>
    </row>
    <row r="487" spans="11:11">
      <c r="K487" s="234"/>
    </row>
    <row r="488" spans="11:11">
      <c r="K488" s="234"/>
    </row>
    <row r="489" spans="11:11">
      <c r="K489" s="234"/>
    </row>
    <row r="490" spans="11:11">
      <c r="K490" s="234"/>
    </row>
    <row r="491" spans="11:11">
      <c r="K491" s="234"/>
    </row>
    <row r="492" spans="11:11">
      <c r="K492" s="234"/>
    </row>
    <row r="493" spans="11:11">
      <c r="K493" s="234"/>
    </row>
    <row r="494" spans="11:11">
      <c r="K494" s="234"/>
    </row>
    <row r="495" spans="11:11">
      <c r="K495" s="234"/>
    </row>
    <row r="496" spans="11:11">
      <c r="K496" s="234"/>
    </row>
    <row r="497" spans="11:11">
      <c r="K497" s="234"/>
    </row>
    <row r="498" spans="11:11">
      <c r="K498" s="234"/>
    </row>
    <row r="499" spans="11:11">
      <c r="K499" s="234"/>
    </row>
    <row r="500" spans="11:11">
      <c r="K500" s="234"/>
    </row>
    <row r="501" spans="11:11">
      <c r="K501" s="234"/>
    </row>
    <row r="502" spans="11:11">
      <c r="K502" s="234"/>
    </row>
    <row r="503" spans="11:11">
      <c r="K503" s="234"/>
    </row>
    <row r="504" spans="11:11">
      <c r="K504" s="234"/>
    </row>
    <row r="505" spans="11:11">
      <c r="K505" s="234"/>
    </row>
    <row r="506" spans="11:11">
      <c r="K506" s="234"/>
    </row>
    <row r="507" spans="11:11">
      <c r="K507" s="234"/>
    </row>
    <row r="508" spans="11:11">
      <c r="K508" s="234"/>
    </row>
    <row r="509" spans="11:11">
      <c r="K509" s="234"/>
    </row>
    <row r="510" spans="11:11">
      <c r="K510" s="234"/>
    </row>
    <row r="511" spans="11:11">
      <c r="K511" s="234"/>
    </row>
    <row r="512" spans="11:11">
      <c r="K512" s="234"/>
    </row>
    <row r="513" spans="11:11">
      <c r="K513" s="234"/>
    </row>
    <row r="514" spans="11:11">
      <c r="K514" s="234"/>
    </row>
    <row r="515" spans="11:11">
      <c r="K515" s="234"/>
    </row>
    <row r="516" spans="11:11">
      <c r="K516" s="234"/>
    </row>
    <row r="517" spans="11:11">
      <c r="K517" s="234"/>
    </row>
    <row r="518" spans="11:11">
      <c r="K518" s="234"/>
    </row>
    <row r="519" spans="11:11">
      <c r="K519" s="234"/>
    </row>
    <row r="520" spans="11:11">
      <c r="K520" s="234"/>
    </row>
    <row r="521" spans="11:11">
      <c r="K521" s="234"/>
    </row>
    <row r="522" spans="11:11">
      <c r="K522" s="234"/>
    </row>
    <row r="523" spans="11:11">
      <c r="K523" s="234"/>
    </row>
    <row r="524" spans="11:11">
      <c r="K524" s="234"/>
    </row>
    <row r="525" spans="11:11">
      <c r="K525" s="234"/>
    </row>
    <row r="526" spans="11:11">
      <c r="K526" s="234"/>
    </row>
    <row r="527" spans="11:11">
      <c r="K527" s="234"/>
    </row>
    <row r="528" spans="11:11">
      <c r="K528" s="234"/>
    </row>
    <row r="529" spans="11:11">
      <c r="K529" s="234"/>
    </row>
    <row r="530" spans="11:11">
      <c r="K530" s="234"/>
    </row>
    <row r="531" spans="11:11">
      <c r="K531" s="234"/>
    </row>
    <row r="532" spans="11:11">
      <c r="K532" s="234"/>
    </row>
    <row r="533" spans="11:11">
      <c r="K533" s="234"/>
    </row>
    <row r="534" spans="11:11">
      <c r="K534" s="234"/>
    </row>
    <row r="535" spans="11:11">
      <c r="K535" s="234"/>
    </row>
    <row r="536" spans="11:11">
      <c r="K536" s="234"/>
    </row>
    <row r="537" spans="11:11">
      <c r="K537" s="234"/>
    </row>
    <row r="538" spans="11:11">
      <c r="K538" s="234"/>
    </row>
    <row r="539" spans="11:11">
      <c r="K539" s="234"/>
    </row>
    <row r="540" spans="11:11">
      <c r="K540" s="234"/>
    </row>
    <row r="541" spans="11:11">
      <c r="K541" s="234"/>
    </row>
    <row r="542" spans="11:11">
      <c r="K542" s="234"/>
    </row>
    <row r="543" spans="11:11">
      <c r="K543" s="234"/>
    </row>
    <row r="544" spans="11:11">
      <c r="K544" s="234"/>
    </row>
    <row r="545" spans="11:11">
      <c r="K545" s="234"/>
    </row>
    <row r="546" spans="11:11">
      <c r="K546" s="234"/>
    </row>
    <row r="547" spans="11:11">
      <c r="K547" s="234"/>
    </row>
    <row r="548" spans="11:11">
      <c r="K548" s="234"/>
    </row>
    <row r="549" spans="11:11">
      <c r="K549" s="234"/>
    </row>
    <row r="550" spans="11:11">
      <c r="K550" s="234"/>
    </row>
    <row r="551" spans="11:11">
      <c r="K551" s="234"/>
    </row>
    <row r="552" spans="11:11">
      <c r="K552" s="234"/>
    </row>
    <row r="553" spans="11:11">
      <c r="K553" s="234"/>
    </row>
    <row r="554" spans="11:11">
      <c r="K554" s="234"/>
    </row>
    <row r="555" spans="11:11">
      <c r="K555" s="234"/>
    </row>
    <row r="556" spans="11:11">
      <c r="K556" s="234"/>
    </row>
    <row r="557" spans="11:11">
      <c r="K557" s="234"/>
    </row>
    <row r="558" spans="11:11">
      <c r="K558" s="234"/>
    </row>
    <row r="559" spans="11:11">
      <c r="K559" s="234"/>
    </row>
    <row r="560" spans="11:11">
      <c r="K560" s="234"/>
    </row>
    <row r="561" spans="11:11">
      <c r="K561" s="234"/>
    </row>
    <row r="562" spans="11:11">
      <c r="K562" s="234"/>
    </row>
    <row r="563" spans="11:11">
      <c r="K563" s="234"/>
    </row>
    <row r="564" spans="11:11">
      <c r="K564" s="234"/>
    </row>
    <row r="565" spans="11:11">
      <c r="K565" s="234"/>
    </row>
    <row r="566" spans="11:11">
      <c r="K566" s="234"/>
    </row>
    <row r="567" spans="11:11">
      <c r="K567" s="234"/>
    </row>
    <row r="568" spans="11:11">
      <c r="K568" s="234"/>
    </row>
    <row r="569" spans="11:11">
      <c r="K569" s="234"/>
    </row>
    <row r="570" spans="11:11">
      <c r="K570" s="234"/>
    </row>
    <row r="571" spans="11:11">
      <c r="K571" s="234"/>
    </row>
    <row r="572" spans="11:11">
      <c r="K572" s="234"/>
    </row>
    <row r="573" spans="11:11">
      <c r="K573" s="234"/>
    </row>
    <row r="574" spans="11:11">
      <c r="K574" s="234"/>
    </row>
    <row r="575" spans="11:11">
      <c r="K575" s="234"/>
    </row>
    <row r="576" spans="11:11">
      <c r="K576" s="234"/>
    </row>
    <row r="577" spans="11:11">
      <c r="K577" s="234"/>
    </row>
    <row r="578" spans="11:11">
      <c r="K578" s="234"/>
    </row>
    <row r="579" spans="11:11">
      <c r="K579" s="234"/>
    </row>
    <row r="580" spans="11:11">
      <c r="K580" s="234"/>
    </row>
    <row r="581" spans="11:11">
      <c r="K581" s="234"/>
    </row>
    <row r="582" spans="11:11">
      <c r="K582" s="234"/>
    </row>
    <row r="583" spans="11:11">
      <c r="K583" s="234"/>
    </row>
    <row r="584" spans="11:11">
      <c r="K584" s="234"/>
    </row>
    <row r="585" spans="11:11">
      <c r="K585" s="234"/>
    </row>
    <row r="586" spans="11:11">
      <c r="K586" s="234"/>
    </row>
    <row r="587" spans="11:11">
      <c r="K587" s="234"/>
    </row>
    <row r="588" spans="11:11">
      <c r="K588" s="234"/>
    </row>
    <row r="589" spans="11:11">
      <c r="K589" s="234"/>
    </row>
    <row r="590" spans="11:11">
      <c r="K590" s="234"/>
    </row>
    <row r="591" spans="11:11">
      <c r="K591" s="234"/>
    </row>
    <row r="592" spans="11:11">
      <c r="K592" s="234"/>
    </row>
    <row r="593" spans="11:11">
      <c r="K593" s="234"/>
    </row>
    <row r="594" spans="11:11">
      <c r="K594" s="234"/>
    </row>
    <row r="595" spans="11:11">
      <c r="K595" s="234"/>
    </row>
    <row r="596" spans="11:11">
      <c r="K596" s="234"/>
    </row>
    <row r="597" spans="11:11">
      <c r="K597" s="234"/>
    </row>
    <row r="598" spans="11:11">
      <c r="K598" s="234"/>
    </row>
    <row r="599" spans="11:11">
      <c r="K599" s="234"/>
    </row>
    <row r="600" spans="11:11">
      <c r="K600" s="234"/>
    </row>
    <row r="601" spans="11:11">
      <c r="K601" s="234"/>
    </row>
    <row r="602" spans="11:11">
      <c r="K602" s="234"/>
    </row>
    <row r="603" spans="11:11">
      <c r="K603" s="234"/>
    </row>
    <row r="604" spans="11:11">
      <c r="K604" s="234"/>
    </row>
    <row r="605" spans="11:11">
      <c r="K605" s="234"/>
    </row>
    <row r="606" spans="11:11">
      <c r="K606" s="234"/>
    </row>
    <row r="607" spans="11:11">
      <c r="K607" s="234"/>
    </row>
    <row r="608" spans="11:11">
      <c r="K608" s="234"/>
    </row>
    <row r="609" spans="11:11">
      <c r="K609" s="234"/>
    </row>
    <row r="610" spans="11:11">
      <c r="K610" s="234"/>
    </row>
    <row r="611" spans="11:11">
      <c r="K611" s="234"/>
    </row>
    <row r="612" spans="11:11">
      <c r="K612" s="234"/>
    </row>
    <row r="613" spans="11:11">
      <c r="K613" s="234"/>
    </row>
    <row r="614" spans="11:11">
      <c r="K614" s="234"/>
    </row>
    <row r="615" spans="11:11">
      <c r="K615" s="234"/>
    </row>
    <row r="616" spans="11:11">
      <c r="K616" s="234"/>
    </row>
    <row r="617" spans="11:11">
      <c r="K617" s="234"/>
    </row>
    <row r="618" spans="11:11">
      <c r="K618" s="234"/>
    </row>
    <row r="619" spans="11:11">
      <c r="K619" s="234"/>
    </row>
    <row r="620" spans="11:11">
      <c r="K620" s="234"/>
    </row>
    <row r="621" spans="11:11">
      <c r="K621" s="234"/>
    </row>
    <row r="622" spans="11:11">
      <c r="K622" s="234"/>
    </row>
    <row r="623" spans="11:11">
      <c r="K623" s="234"/>
    </row>
    <row r="624" spans="11:11">
      <c r="K624" s="234"/>
    </row>
    <row r="625" spans="11:11">
      <c r="K625" s="234"/>
    </row>
    <row r="626" spans="11:11">
      <c r="K626" s="234"/>
    </row>
    <row r="627" spans="11:11">
      <c r="K627" s="234"/>
    </row>
    <row r="628" spans="11:11">
      <c r="K628" s="234"/>
    </row>
    <row r="629" spans="11:11">
      <c r="K629" s="234"/>
    </row>
    <row r="630" spans="11:11">
      <c r="K630" s="234"/>
    </row>
    <row r="631" spans="11:11">
      <c r="K631" s="234"/>
    </row>
    <row r="632" spans="11:11">
      <c r="K632" s="234"/>
    </row>
    <row r="633" spans="11:11">
      <c r="K633" s="234"/>
    </row>
    <row r="634" spans="11:11">
      <c r="K634" s="234"/>
    </row>
    <row r="635" spans="11:11">
      <c r="K635" s="234"/>
    </row>
    <row r="636" spans="11:11">
      <c r="K636" s="234"/>
    </row>
    <row r="637" spans="11:11">
      <c r="K637" s="234"/>
    </row>
    <row r="638" spans="11:11">
      <c r="K638" s="234"/>
    </row>
    <row r="639" spans="11:11">
      <c r="K639" s="234"/>
    </row>
    <row r="640" spans="11:11">
      <c r="K640" s="234"/>
    </row>
    <row r="641" spans="11:11">
      <c r="K641" s="234"/>
    </row>
    <row r="642" spans="11:11">
      <c r="K642" s="234"/>
    </row>
    <row r="643" spans="11:11">
      <c r="K643" s="234"/>
    </row>
    <row r="644" spans="11:11">
      <c r="K644" s="234"/>
    </row>
    <row r="645" spans="11:11">
      <c r="K645" s="234"/>
    </row>
    <row r="646" spans="11:11">
      <c r="K646" s="234"/>
    </row>
    <row r="647" spans="11:11">
      <c r="K647" s="234"/>
    </row>
    <row r="648" spans="11:11">
      <c r="K648" s="234"/>
    </row>
    <row r="649" spans="11:11">
      <c r="K649" s="234"/>
    </row>
    <row r="650" spans="11:11">
      <c r="K650" s="234"/>
    </row>
    <row r="651" spans="11:11">
      <c r="K651" s="234"/>
    </row>
    <row r="652" spans="11:11">
      <c r="K652" s="234"/>
    </row>
    <row r="653" spans="11:11">
      <c r="K653" s="234"/>
    </row>
    <row r="654" spans="11:11">
      <c r="K654" s="234"/>
    </row>
    <row r="655" spans="11:11">
      <c r="K655" s="234"/>
    </row>
    <row r="656" spans="11:11">
      <c r="K656" s="234"/>
    </row>
    <row r="657" spans="11:11">
      <c r="K657" s="234"/>
    </row>
    <row r="658" spans="11:11">
      <c r="K658" s="234"/>
    </row>
    <row r="659" spans="11:11">
      <c r="K659" s="234"/>
    </row>
    <row r="660" spans="11:11">
      <c r="K660" s="234"/>
    </row>
    <row r="661" spans="11:11">
      <c r="K661" s="234"/>
    </row>
    <row r="662" spans="11:11">
      <c r="K662" s="234"/>
    </row>
    <row r="663" spans="11:11">
      <c r="K663" s="234"/>
    </row>
    <row r="664" spans="11:11">
      <c r="K664" s="234"/>
    </row>
    <row r="665" spans="11:11">
      <c r="K665" s="234"/>
    </row>
    <row r="666" spans="11:11">
      <c r="K666" s="234"/>
    </row>
    <row r="667" spans="11:11">
      <c r="K667" s="234"/>
    </row>
    <row r="668" spans="11:11">
      <c r="K668" s="234"/>
    </row>
    <row r="669" spans="11:11">
      <c r="K669" s="234"/>
    </row>
    <row r="670" spans="11:11">
      <c r="K670" s="234"/>
    </row>
    <row r="671" spans="11:11">
      <c r="K671" s="234"/>
    </row>
    <row r="672" spans="11:11">
      <c r="K672" s="234"/>
    </row>
    <row r="673" spans="11:11">
      <c r="K673" s="234"/>
    </row>
    <row r="674" spans="11:11">
      <c r="K674" s="234"/>
    </row>
    <row r="675" spans="11:11">
      <c r="K675" s="234"/>
    </row>
    <row r="676" spans="11:11">
      <c r="K676" s="234"/>
    </row>
    <row r="677" spans="11:11">
      <c r="K677" s="234"/>
    </row>
    <row r="678" spans="11:11">
      <c r="K678" s="234"/>
    </row>
    <row r="679" spans="11:11">
      <c r="K679" s="234"/>
    </row>
    <row r="680" spans="11:11">
      <c r="K680" s="234"/>
    </row>
    <row r="681" spans="11:11">
      <c r="K681" s="234"/>
    </row>
    <row r="682" spans="11:11">
      <c r="K682" s="234"/>
    </row>
    <row r="683" spans="11:11">
      <c r="K683" s="234"/>
    </row>
    <row r="684" spans="11:11">
      <c r="K684" s="234"/>
    </row>
    <row r="685" spans="11:11">
      <c r="K685" s="234"/>
    </row>
    <row r="686" spans="11:11">
      <c r="K686" s="234"/>
    </row>
    <row r="687" spans="11:11">
      <c r="K687" s="234"/>
    </row>
    <row r="688" spans="11:11">
      <c r="K688" s="234"/>
    </row>
    <row r="689" spans="11:11">
      <c r="K689" s="234"/>
    </row>
    <row r="690" spans="11:11">
      <c r="K690" s="234"/>
    </row>
    <row r="691" spans="11:11">
      <c r="K691" s="234"/>
    </row>
    <row r="692" spans="11:11">
      <c r="K692" s="234"/>
    </row>
    <row r="693" spans="11:11">
      <c r="K693" s="234"/>
    </row>
    <row r="694" spans="11:11">
      <c r="K694" s="234"/>
    </row>
    <row r="695" spans="11:11">
      <c r="K695" s="234"/>
    </row>
    <row r="696" spans="11:11">
      <c r="K696" s="234"/>
    </row>
    <row r="697" spans="11:11">
      <c r="K697" s="234"/>
    </row>
    <row r="698" spans="11:11">
      <c r="K698" s="234"/>
    </row>
    <row r="699" spans="11:11">
      <c r="K699" s="234"/>
    </row>
    <row r="700" spans="11:11">
      <c r="K700" s="234"/>
    </row>
    <row r="701" spans="11:11">
      <c r="K701" s="234"/>
    </row>
    <row r="702" spans="11:11">
      <c r="K702" s="234"/>
    </row>
    <row r="703" spans="11:11">
      <c r="K703" s="234"/>
    </row>
    <row r="704" spans="11:11">
      <c r="K704" s="234"/>
    </row>
    <row r="705" spans="11:11">
      <c r="K705" s="234"/>
    </row>
    <row r="706" spans="11:11">
      <c r="K706" s="234"/>
    </row>
    <row r="707" spans="11:11">
      <c r="K707" s="234"/>
    </row>
    <row r="708" spans="11:11">
      <c r="K708" s="234"/>
    </row>
    <row r="709" spans="11:11">
      <c r="K709" s="234"/>
    </row>
    <row r="710" spans="11:11">
      <c r="K710" s="234"/>
    </row>
    <row r="711" spans="11:11">
      <c r="K711" s="234"/>
    </row>
    <row r="712" spans="11:11">
      <c r="K712" s="234"/>
    </row>
    <row r="713" spans="11:11">
      <c r="K713" s="234"/>
    </row>
    <row r="714" spans="11:11">
      <c r="K714" s="234"/>
    </row>
    <row r="715" spans="11:11">
      <c r="K715" s="234"/>
    </row>
    <row r="716" spans="11:11">
      <c r="K716" s="234"/>
    </row>
    <row r="717" spans="11:11">
      <c r="K717" s="234"/>
    </row>
    <row r="718" spans="11:11">
      <c r="K718" s="234"/>
    </row>
    <row r="719" spans="11:11">
      <c r="K719" s="234"/>
    </row>
    <row r="720" spans="11:11">
      <c r="K720" s="234"/>
    </row>
    <row r="721" spans="11:11">
      <c r="K721" s="234"/>
    </row>
    <row r="722" spans="11:11">
      <c r="K722" s="234"/>
    </row>
    <row r="723" spans="11:11">
      <c r="K723" s="234"/>
    </row>
    <row r="724" spans="11:11">
      <c r="K724" s="234"/>
    </row>
    <row r="725" spans="11:11">
      <c r="K725" s="234"/>
    </row>
    <row r="726" spans="11:11">
      <c r="K726" s="234"/>
    </row>
    <row r="727" spans="11:11">
      <c r="K727" s="234"/>
    </row>
    <row r="728" spans="11:11">
      <c r="K728" s="234"/>
    </row>
    <row r="729" spans="11:11">
      <c r="K729" s="234"/>
    </row>
    <row r="730" spans="11:11">
      <c r="K730" s="234"/>
    </row>
    <row r="731" spans="11:11">
      <c r="K731" s="234"/>
    </row>
    <row r="732" spans="11:11">
      <c r="K732" s="234"/>
    </row>
    <row r="733" spans="11:11">
      <c r="K733" s="234"/>
    </row>
    <row r="734" spans="11:11">
      <c r="K734" s="234"/>
    </row>
    <row r="735" spans="11:11">
      <c r="K735" s="234"/>
    </row>
    <row r="736" spans="11:11">
      <c r="K736" s="234"/>
    </row>
    <row r="737" spans="11:11">
      <c r="K737" s="234"/>
    </row>
    <row r="738" spans="11:11">
      <c r="K738" s="234"/>
    </row>
    <row r="739" spans="11:11">
      <c r="K739" s="234"/>
    </row>
    <row r="740" spans="11:11">
      <c r="K740" s="234"/>
    </row>
    <row r="741" spans="11:11">
      <c r="K741" s="234"/>
    </row>
    <row r="742" spans="11:11">
      <c r="K742" s="234"/>
    </row>
    <row r="743" spans="11:11">
      <c r="K743" s="234"/>
    </row>
    <row r="744" spans="11:11">
      <c r="K744" s="234"/>
    </row>
    <row r="745" spans="11:11">
      <c r="K745" s="234"/>
    </row>
    <row r="746" spans="11:11">
      <c r="K746" s="234"/>
    </row>
    <row r="747" spans="11:11">
      <c r="K747" s="234"/>
    </row>
    <row r="748" spans="11:11">
      <c r="K748" s="234"/>
    </row>
    <row r="749" spans="11:11">
      <c r="K749" s="234"/>
    </row>
    <row r="750" spans="11:11">
      <c r="K750" s="234"/>
    </row>
    <row r="751" spans="11:11">
      <c r="K751" s="234"/>
    </row>
    <row r="752" spans="11:11">
      <c r="K752" s="234"/>
    </row>
    <row r="753" spans="11:11">
      <c r="K753" s="234"/>
    </row>
    <row r="754" spans="11:11">
      <c r="K754" s="234"/>
    </row>
    <row r="755" spans="11:11">
      <c r="K755" s="234"/>
    </row>
    <row r="756" spans="11:11">
      <c r="K756" s="234"/>
    </row>
    <row r="757" spans="11:11">
      <c r="K757" s="234"/>
    </row>
    <row r="758" spans="11:11">
      <c r="K758" s="234"/>
    </row>
    <row r="759" spans="11:11">
      <c r="K759" s="234"/>
    </row>
    <row r="760" spans="11:11">
      <c r="K760" s="234"/>
    </row>
    <row r="761" spans="11:11">
      <c r="K761" s="234"/>
    </row>
    <row r="762" spans="11:11">
      <c r="K762" s="234"/>
    </row>
    <row r="763" spans="11:11">
      <c r="K763" s="234"/>
    </row>
    <row r="764" spans="11:11">
      <c r="K764" s="234"/>
    </row>
    <row r="765" spans="11:11">
      <c r="K765" s="234"/>
    </row>
    <row r="766" spans="11:11">
      <c r="K766" s="234"/>
    </row>
    <row r="767" spans="11:11">
      <c r="K767" s="234"/>
    </row>
    <row r="768" spans="11:11">
      <c r="K768" s="234"/>
    </row>
    <row r="769" spans="11:11">
      <c r="K769" s="234"/>
    </row>
    <row r="770" spans="11:11">
      <c r="K770" s="234"/>
    </row>
    <row r="771" spans="11:11">
      <c r="K771" s="234"/>
    </row>
    <row r="772" spans="11:11">
      <c r="K772" s="234"/>
    </row>
    <row r="773" spans="11:11">
      <c r="K773" s="234"/>
    </row>
    <row r="774" spans="11:11">
      <c r="K774" s="234"/>
    </row>
    <row r="775" spans="11:11">
      <c r="K775" s="234"/>
    </row>
    <row r="776" spans="11:11">
      <c r="K776" s="234"/>
    </row>
    <row r="777" spans="11:11">
      <c r="K777" s="234"/>
    </row>
    <row r="778" spans="11:11">
      <c r="K778" s="234"/>
    </row>
    <row r="779" spans="11:11">
      <c r="K779" s="234"/>
    </row>
    <row r="780" spans="11:11">
      <c r="K780" s="234"/>
    </row>
    <row r="781" spans="11:11">
      <c r="K781" s="234"/>
    </row>
    <row r="782" spans="11:11">
      <c r="K782" s="234"/>
    </row>
    <row r="783" spans="11:11">
      <c r="K783" s="234"/>
    </row>
    <row r="784" spans="11:11">
      <c r="K784" s="234"/>
    </row>
    <row r="785" spans="11:11">
      <c r="K785" s="234"/>
    </row>
    <row r="786" spans="11:11">
      <c r="K786" s="234"/>
    </row>
    <row r="787" spans="11:11">
      <c r="K787" s="234"/>
    </row>
    <row r="788" spans="11:11">
      <c r="K788" s="234"/>
    </row>
    <row r="789" spans="11:11">
      <c r="K789" s="234"/>
    </row>
    <row r="790" spans="11:11">
      <c r="K790" s="234"/>
    </row>
    <row r="791" spans="11:11">
      <c r="K791" s="234"/>
    </row>
    <row r="792" spans="11:11">
      <c r="K792" s="234"/>
    </row>
    <row r="793" spans="11:11">
      <c r="K793" s="234"/>
    </row>
    <row r="794" spans="11:11">
      <c r="K794" s="234"/>
    </row>
    <row r="795" spans="11:11">
      <c r="K795" s="234"/>
    </row>
    <row r="796" spans="11:11">
      <c r="K796" s="234"/>
    </row>
    <row r="797" spans="11:11">
      <c r="K797" s="234"/>
    </row>
    <row r="798" spans="11:11">
      <c r="K798" s="234"/>
    </row>
    <row r="799" spans="11:11">
      <c r="K799" s="234"/>
    </row>
    <row r="800" spans="11:11">
      <c r="K800" s="234"/>
    </row>
    <row r="801" spans="11:11">
      <c r="K801" s="234"/>
    </row>
    <row r="802" spans="11:11">
      <c r="K802" s="234"/>
    </row>
    <row r="803" spans="11:11">
      <c r="K803" s="234"/>
    </row>
    <row r="804" spans="11:11">
      <c r="K804" s="234"/>
    </row>
    <row r="805" spans="11:11">
      <c r="K805" s="234"/>
    </row>
    <row r="806" spans="11:11">
      <c r="K806" s="234"/>
    </row>
    <row r="807" spans="11:11">
      <c r="K807" s="234"/>
    </row>
    <row r="808" spans="11:11">
      <c r="K808" s="234"/>
    </row>
    <row r="809" spans="11:11">
      <c r="K809" s="234"/>
    </row>
    <row r="810" spans="11:11">
      <c r="K810" s="234"/>
    </row>
    <row r="811" spans="11:11">
      <c r="K811" s="234"/>
    </row>
    <row r="812" spans="11:11">
      <c r="K812" s="234"/>
    </row>
    <row r="813" spans="11:11">
      <c r="K813" s="234"/>
    </row>
    <row r="814" spans="11:11">
      <c r="K814" s="234"/>
    </row>
    <row r="815" spans="11:11">
      <c r="K815" s="234"/>
    </row>
    <row r="816" spans="11:11">
      <c r="K816" s="234"/>
    </row>
    <row r="817" spans="11:11">
      <c r="K817" s="234"/>
    </row>
    <row r="818" spans="11:11">
      <c r="K818" s="234"/>
    </row>
    <row r="819" spans="11:11">
      <c r="K819" s="234"/>
    </row>
    <row r="820" spans="11:11">
      <c r="K820" s="234"/>
    </row>
    <row r="821" spans="11:11">
      <c r="K821" s="234"/>
    </row>
    <row r="822" spans="11:11">
      <c r="K822" s="234"/>
    </row>
    <row r="823" spans="11:11">
      <c r="K823" s="234"/>
    </row>
    <row r="824" spans="11:11">
      <c r="K824" s="234"/>
    </row>
    <row r="825" spans="11:11">
      <c r="K825" s="234"/>
    </row>
    <row r="826" spans="11:11">
      <c r="K826" s="234"/>
    </row>
    <row r="827" spans="11:11">
      <c r="K827" s="234"/>
    </row>
    <row r="828" spans="11:11">
      <c r="K828" s="234"/>
    </row>
    <row r="829" spans="11:11">
      <c r="K829" s="234"/>
    </row>
    <row r="830" spans="11:11">
      <c r="K830" s="234"/>
    </row>
    <row r="831" spans="11:11">
      <c r="K831" s="234"/>
    </row>
    <row r="832" spans="11:11">
      <c r="K832" s="234"/>
    </row>
    <row r="833" spans="11:11">
      <c r="K833" s="234"/>
    </row>
    <row r="834" spans="11:11">
      <c r="K834" s="234"/>
    </row>
    <row r="835" spans="11:11">
      <c r="K835" s="234"/>
    </row>
    <row r="836" spans="11:11">
      <c r="K836" s="234"/>
    </row>
    <row r="837" spans="11:11">
      <c r="K837" s="234"/>
    </row>
    <row r="838" spans="11:11">
      <c r="K838" s="234"/>
    </row>
    <row r="839" spans="11:11">
      <c r="K839" s="234"/>
    </row>
    <row r="840" spans="11:11">
      <c r="K840" s="234"/>
    </row>
    <row r="841" spans="11:11">
      <c r="K841" s="234"/>
    </row>
    <row r="842" spans="11:11">
      <c r="K842" s="234"/>
    </row>
    <row r="843" spans="11:11">
      <c r="K843" s="234"/>
    </row>
    <row r="844" spans="11:11">
      <c r="K844" s="234"/>
    </row>
    <row r="845" spans="11:11">
      <c r="K845" s="234"/>
    </row>
    <row r="846" spans="11:11">
      <c r="K846" s="234"/>
    </row>
    <row r="847" spans="11:11">
      <c r="K847" s="234"/>
    </row>
    <row r="848" spans="11:11">
      <c r="K848" s="234"/>
    </row>
    <row r="849" spans="11:11">
      <c r="K849" s="234"/>
    </row>
    <row r="850" spans="11:11">
      <c r="K850" s="234"/>
    </row>
    <row r="851" spans="11:11">
      <c r="K851" s="234"/>
    </row>
    <row r="852" spans="11:11">
      <c r="K852" s="234"/>
    </row>
    <row r="853" spans="11:11">
      <c r="K853" s="234"/>
    </row>
    <row r="854" spans="11:11">
      <c r="K854" s="234"/>
    </row>
    <row r="855" spans="11:11">
      <c r="K855" s="234"/>
    </row>
    <row r="856" spans="11:11">
      <c r="K856" s="234"/>
    </row>
    <row r="857" spans="11:11">
      <c r="K857" s="234"/>
    </row>
    <row r="858" spans="11:11">
      <c r="K858" s="234"/>
    </row>
    <row r="859" spans="11:11">
      <c r="K859" s="234"/>
    </row>
    <row r="860" spans="11:11">
      <c r="K860" s="234"/>
    </row>
    <row r="861" spans="11:11">
      <c r="K861" s="234"/>
    </row>
    <row r="862" spans="11:11">
      <c r="K862" s="234"/>
    </row>
    <row r="863" spans="11:11">
      <c r="K863" s="234"/>
    </row>
    <row r="864" spans="11:11">
      <c r="K864" s="234"/>
    </row>
    <row r="865" spans="11:11">
      <c r="K865" s="234"/>
    </row>
    <row r="866" spans="11:11">
      <c r="K866" s="234"/>
    </row>
    <row r="867" spans="11:11">
      <c r="K867" s="234"/>
    </row>
    <row r="868" spans="11:11">
      <c r="K868" s="234"/>
    </row>
    <row r="869" spans="11:11">
      <c r="K869" s="234"/>
    </row>
    <row r="870" spans="11:11">
      <c r="K870" s="234"/>
    </row>
    <row r="871" spans="11:11">
      <c r="K871" s="234"/>
    </row>
    <row r="872" spans="11:11">
      <c r="K872" s="234"/>
    </row>
    <row r="873" spans="11:11">
      <c r="K873" s="234"/>
    </row>
    <row r="874" spans="11:11">
      <c r="K874" s="234"/>
    </row>
    <row r="875" spans="11:11">
      <c r="K875" s="234"/>
    </row>
    <row r="876" spans="11:11">
      <c r="K876" s="234"/>
    </row>
    <row r="877" spans="11:11">
      <c r="K877" s="234"/>
    </row>
    <row r="878" spans="11:11">
      <c r="K878" s="234"/>
    </row>
    <row r="879" spans="11:11">
      <c r="K879" s="234"/>
    </row>
    <row r="880" spans="11:11">
      <c r="K880" s="234"/>
    </row>
    <row r="881" spans="11:11">
      <c r="K881" s="234"/>
    </row>
    <row r="882" spans="11:11">
      <c r="K882" s="234"/>
    </row>
    <row r="883" spans="11:11">
      <c r="K883" s="234"/>
    </row>
    <row r="884" spans="11:11">
      <c r="K884" s="234"/>
    </row>
    <row r="885" spans="11:11">
      <c r="K885" s="234"/>
    </row>
    <row r="886" spans="11:11">
      <c r="K886" s="234"/>
    </row>
    <row r="887" spans="11:11">
      <c r="K887" s="234"/>
    </row>
    <row r="888" spans="11:11">
      <c r="K888" s="234"/>
    </row>
    <row r="889" spans="11:11">
      <c r="K889" s="234"/>
    </row>
    <row r="890" spans="11:11">
      <c r="K890" s="234"/>
    </row>
    <row r="891" spans="11:11">
      <c r="K891" s="234"/>
    </row>
    <row r="892" spans="11:11">
      <c r="K892" s="234"/>
    </row>
    <row r="893" spans="11:11">
      <c r="K893" s="234"/>
    </row>
    <row r="894" spans="11:11">
      <c r="K894" s="234"/>
    </row>
    <row r="895" spans="11:11">
      <c r="K895" s="234"/>
    </row>
    <row r="896" spans="11:11">
      <c r="K896" s="234"/>
    </row>
    <row r="897" spans="11:11">
      <c r="K897" s="234"/>
    </row>
    <row r="898" spans="11:11">
      <c r="K898" s="234"/>
    </row>
    <row r="899" spans="11:11">
      <c r="K899" s="234"/>
    </row>
    <row r="900" spans="11:11">
      <c r="K900" s="234"/>
    </row>
    <row r="901" spans="11:11">
      <c r="K901" s="234"/>
    </row>
    <row r="902" spans="11:11">
      <c r="K902" s="234"/>
    </row>
    <row r="903" spans="11:11">
      <c r="K903" s="234"/>
    </row>
    <row r="904" spans="11:11">
      <c r="K904" s="234"/>
    </row>
    <row r="905" spans="11:11">
      <c r="K905" s="234"/>
    </row>
    <row r="906" spans="11:11">
      <c r="K906" s="234"/>
    </row>
    <row r="907" spans="11:11">
      <c r="K907" s="234"/>
    </row>
    <row r="908" spans="11:11">
      <c r="K908" s="234"/>
    </row>
    <row r="909" spans="11:11">
      <c r="K909" s="234"/>
    </row>
    <row r="910" spans="11:11">
      <c r="K910" s="234"/>
    </row>
    <row r="911" spans="11:11">
      <c r="K911" s="234"/>
    </row>
    <row r="912" spans="11:11">
      <c r="K912" s="234"/>
    </row>
    <row r="913" spans="11:11">
      <c r="K913" s="234"/>
    </row>
    <row r="914" spans="11:11">
      <c r="K914" s="234"/>
    </row>
    <row r="915" spans="11:11">
      <c r="K915" s="234"/>
    </row>
    <row r="916" spans="11:11">
      <c r="K916" s="234"/>
    </row>
    <row r="917" spans="11:11">
      <c r="K917" s="234"/>
    </row>
    <row r="918" spans="11:11">
      <c r="K918" s="234"/>
    </row>
    <row r="919" spans="11:11">
      <c r="K919" s="234"/>
    </row>
    <row r="920" spans="11:11">
      <c r="K920" s="234"/>
    </row>
    <row r="921" spans="11:11">
      <c r="K921" s="234"/>
    </row>
    <row r="922" spans="11:11">
      <c r="K922" s="234"/>
    </row>
    <row r="923" spans="11:11">
      <c r="K923" s="234"/>
    </row>
    <row r="924" spans="11:11">
      <c r="K924" s="234"/>
    </row>
    <row r="925" spans="11:11">
      <c r="K925" s="234"/>
    </row>
    <row r="926" spans="11:11">
      <c r="K926" s="234"/>
    </row>
    <row r="927" spans="11:11">
      <c r="K927" s="234"/>
    </row>
    <row r="928" spans="11:11">
      <c r="K928" s="234"/>
    </row>
    <row r="929" spans="11:11">
      <c r="K929" s="234"/>
    </row>
    <row r="930" spans="11:11">
      <c r="K930" s="234"/>
    </row>
    <row r="931" spans="11:11">
      <c r="K931" s="234"/>
    </row>
    <row r="932" spans="11:11">
      <c r="K932" s="234"/>
    </row>
    <row r="933" spans="11:11">
      <c r="K933" s="234"/>
    </row>
    <row r="934" spans="11:11">
      <c r="K934" s="234"/>
    </row>
    <row r="935" spans="11:11">
      <c r="K935" s="234"/>
    </row>
    <row r="936" spans="11:11">
      <c r="K936" s="234"/>
    </row>
    <row r="937" spans="11:11">
      <c r="K937" s="234"/>
    </row>
    <row r="938" spans="11:11">
      <c r="K938" s="234"/>
    </row>
    <row r="939" spans="11:11">
      <c r="K939" s="234"/>
    </row>
    <row r="940" spans="11:11">
      <c r="K940" s="234"/>
    </row>
    <row r="941" spans="11:11">
      <c r="K941" s="234"/>
    </row>
    <row r="942" spans="11:11">
      <c r="K942" s="234"/>
    </row>
    <row r="943" spans="11:11">
      <c r="K943" s="234"/>
    </row>
    <row r="944" spans="11:11">
      <c r="K944" s="234"/>
    </row>
    <row r="945" spans="11:11">
      <c r="K945" s="234"/>
    </row>
    <row r="946" spans="11:11">
      <c r="K946" s="234"/>
    </row>
    <row r="947" spans="11:11">
      <c r="K947" s="234"/>
    </row>
    <row r="948" spans="11:11">
      <c r="K948" s="234"/>
    </row>
    <row r="949" spans="11:11">
      <c r="K949" s="234"/>
    </row>
    <row r="950" spans="11:11">
      <c r="K950" s="234"/>
    </row>
    <row r="951" spans="11:11">
      <c r="K951" s="234"/>
    </row>
    <row r="952" spans="11:11">
      <c r="K952" s="234"/>
    </row>
    <row r="953" spans="11:11">
      <c r="K953" s="234"/>
    </row>
    <row r="954" spans="11:11">
      <c r="K954" s="234"/>
    </row>
    <row r="955" spans="11:11">
      <c r="K955" s="234"/>
    </row>
    <row r="956" spans="11:11">
      <c r="K956" s="234"/>
    </row>
    <row r="957" spans="11:11">
      <c r="K957" s="234"/>
    </row>
    <row r="958" spans="11:11">
      <c r="K958" s="234"/>
    </row>
    <row r="959" spans="11:11">
      <c r="K959" s="234"/>
    </row>
    <row r="960" spans="11:11">
      <c r="K960" s="234"/>
    </row>
    <row r="961" spans="11:11">
      <c r="K961" s="234"/>
    </row>
    <row r="962" spans="11:11">
      <c r="K962" s="234"/>
    </row>
    <row r="963" spans="11:11">
      <c r="K963" s="234"/>
    </row>
    <row r="964" spans="11:11">
      <c r="K964" s="234"/>
    </row>
    <row r="965" spans="11:11">
      <c r="K965" s="234"/>
    </row>
    <row r="966" spans="11:11">
      <c r="K966" s="234"/>
    </row>
    <row r="967" spans="11:11">
      <c r="K967" s="234"/>
    </row>
    <row r="968" spans="11:11">
      <c r="K968" s="234"/>
    </row>
    <row r="969" spans="11:11">
      <c r="K969" s="234"/>
    </row>
    <row r="970" spans="11:11">
      <c r="K970" s="234"/>
    </row>
    <row r="971" spans="11:11">
      <c r="K971" s="234"/>
    </row>
    <row r="972" spans="11:11">
      <c r="K972" s="234"/>
    </row>
    <row r="973" spans="11:11">
      <c r="K973" s="234"/>
    </row>
    <row r="974" spans="11:11">
      <c r="K974" s="234"/>
    </row>
    <row r="975" spans="11:11">
      <c r="K975" s="234"/>
    </row>
    <row r="976" spans="11:11">
      <c r="K976" s="234"/>
    </row>
    <row r="977" spans="11:11">
      <c r="K977" s="234"/>
    </row>
    <row r="978" spans="11:11">
      <c r="K978" s="234"/>
    </row>
    <row r="979" spans="11:11">
      <c r="K979" s="234"/>
    </row>
    <row r="980" spans="11:11">
      <c r="K980" s="234"/>
    </row>
    <row r="981" spans="11:11">
      <c r="K981" s="234"/>
    </row>
    <row r="982" spans="11:11">
      <c r="K982" s="234"/>
    </row>
    <row r="983" spans="11:11">
      <c r="K983" s="234"/>
    </row>
    <row r="984" spans="11:11">
      <c r="K984" s="234"/>
    </row>
    <row r="985" spans="11:11">
      <c r="K985" s="234"/>
    </row>
    <row r="986" spans="11:11">
      <c r="K986" s="234"/>
    </row>
    <row r="987" spans="11:11">
      <c r="K987" s="234"/>
    </row>
    <row r="988" spans="11:11">
      <c r="K988" s="234"/>
    </row>
    <row r="989" spans="11:11">
      <c r="K989" s="234"/>
    </row>
    <row r="990" spans="11:11">
      <c r="K990" s="234"/>
    </row>
    <row r="991" spans="11:11">
      <c r="K991" s="234"/>
    </row>
    <row r="992" spans="11:11">
      <c r="K992" s="234"/>
    </row>
    <row r="993" spans="11:11">
      <c r="K993" s="234"/>
    </row>
    <row r="994" spans="11:11">
      <c r="K994" s="234"/>
    </row>
    <row r="995" spans="11:11">
      <c r="K995" s="234"/>
    </row>
    <row r="996" spans="11:11">
      <c r="K996" s="234"/>
    </row>
    <row r="997" spans="11:11">
      <c r="K997" s="234"/>
    </row>
    <row r="998" spans="11:11">
      <c r="K998" s="234"/>
    </row>
    <row r="999" spans="11:11">
      <c r="K999" s="234"/>
    </row>
    <row r="1000" spans="11:11">
      <c r="K1000" s="234"/>
    </row>
    <row r="1001" spans="11:11">
      <c r="K1001" s="234"/>
    </row>
    <row r="1002" spans="11:11">
      <c r="K1002" s="234"/>
    </row>
    <row r="1003" spans="11:11">
      <c r="K1003" s="234"/>
    </row>
    <row r="1004" spans="11:11">
      <c r="K1004" s="234"/>
    </row>
    <row r="1005" spans="11:11">
      <c r="K1005" s="234"/>
    </row>
    <row r="1006" spans="11:11">
      <c r="K1006" s="234"/>
    </row>
    <row r="1007" spans="11:11">
      <c r="K1007" s="234"/>
    </row>
    <row r="1008" spans="11:11">
      <c r="K1008" s="234"/>
    </row>
    <row r="1009" spans="11:11">
      <c r="K1009" s="234"/>
    </row>
    <row r="1010" spans="11:11">
      <c r="K1010" s="234"/>
    </row>
    <row r="1011" spans="11:11">
      <c r="K1011" s="234"/>
    </row>
    <row r="1012" spans="11:11">
      <c r="K1012" s="234"/>
    </row>
  </sheetData>
  <pageMargins left="0.7" right="0.7" top="0.75" bottom="0.75" header="0.3" footer="0.3"/>
  <pageSetup paperSize="9" orientation="portrait" r:id="rId1"/>
  <headerFooter>
    <oddFooter xml:space="preserve">&amp;L_x000D_&amp;1#&amp;"Calibri"&amp;8&amp;K000000  Rockwell Automation Company 'Internal' </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Alyce Beaumont</cp:lastModifiedBy>
  <cp:lastPrinted>2015-04-21T20:47:43Z</cp:lastPrinted>
  <dcterms:created xsi:type="dcterms:W3CDTF">2010-06-21T21:00:23Z</dcterms:created>
  <dcterms:modified xsi:type="dcterms:W3CDTF">2023-05-18T13:43:48Z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b864fcac-bdf0-46ea-95ca-9f765002bf05_Enabled">
    <vt:lpwstr>true</vt:lpwstr>
  </property>
  <property fmtid="{D5CDD505-2E9C-101B-9397-08002B2CF9AE}" pid="6" name="MSIP_Label_b864fcac-bdf0-46ea-95ca-9f765002bf05_SetDate">
    <vt:lpwstr>2022-06-24T08:39:12Z</vt:lpwstr>
  </property>
  <property fmtid="{D5CDD505-2E9C-101B-9397-08002B2CF9AE}" pid="7" name="MSIP_Label_b864fcac-bdf0-46ea-95ca-9f765002bf05_Method">
    <vt:lpwstr>Privileged</vt:lpwstr>
  </property>
  <property fmtid="{D5CDD505-2E9C-101B-9397-08002B2CF9AE}" pid="8" name="MSIP_Label_b864fcac-bdf0-46ea-95ca-9f765002bf05_Name">
    <vt:lpwstr>defa4170-0d19-0005-0001-bc88714345d2</vt:lpwstr>
  </property>
  <property fmtid="{D5CDD505-2E9C-101B-9397-08002B2CF9AE}" pid="9" name="MSIP_Label_b864fcac-bdf0-46ea-95ca-9f765002bf05_SiteId">
    <vt:lpwstr>04b06d34-145a-4459-b1e0-f01ab46d31b8</vt:lpwstr>
  </property>
  <property fmtid="{D5CDD505-2E9C-101B-9397-08002B2CF9AE}" pid="10" name="MSIP_Label_b864fcac-bdf0-46ea-95ca-9f765002bf05_ActionId">
    <vt:lpwstr>6889a662-2d8c-4f5e-8d4b-4eb937e2e087</vt:lpwstr>
  </property>
  <property fmtid="{D5CDD505-2E9C-101B-9397-08002B2CF9AE}" pid="11" name="MSIP_Label_b864fcac-bdf0-46ea-95ca-9f765002bf05_ContentBits">
    <vt:lpwstr>0</vt:lpwstr>
  </property>
  <property fmtid="{D5CDD505-2E9C-101B-9397-08002B2CF9AE}" pid="12" name="MSIP_Label_e14c1950-b3a8-4278-88f1-6df69d73b9d5_Enabled">
    <vt:lpwstr>true</vt:lpwstr>
  </property>
  <property fmtid="{D5CDD505-2E9C-101B-9397-08002B2CF9AE}" pid="13" name="MSIP_Label_e14c1950-b3a8-4278-88f1-6df69d73b9d5_SetDate">
    <vt:lpwstr>2023-05-05T17:33:23Z</vt:lpwstr>
  </property>
  <property fmtid="{D5CDD505-2E9C-101B-9397-08002B2CF9AE}" pid="14" name="MSIP_Label_e14c1950-b3a8-4278-88f1-6df69d73b9d5_Method">
    <vt:lpwstr>Privileged</vt:lpwstr>
  </property>
  <property fmtid="{D5CDD505-2E9C-101B-9397-08002B2CF9AE}" pid="15" name="MSIP_Label_e14c1950-b3a8-4278-88f1-6df69d73b9d5_Name">
    <vt:lpwstr>e14c1950-b3a8-4278-88f1-6df69d73b9d5</vt:lpwstr>
  </property>
  <property fmtid="{D5CDD505-2E9C-101B-9397-08002B2CF9AE}" pid="16" name="MSIP_Label_e14c1950-b3a8-4278-88f1-6df69d73b9d5_SiteId">
    <vt:lpwstr>855b093e-7340-45c7-9f0c-96150415893e</vt:lpwstr>
  </property>
  <property fmtid="{D5CDD505-2E9C-101B-9397-08002B2CF9AE}" pid="17" name="MSIP_Label_e14c1950-b3a8-4278-88f1-6df69d73b9d5_ActionId">
    <vt:lpwstr>78e4cc62-8816-4343-95b2-1f3f3a9e710e</vt:lpwstr>
  </property>
  <property fmtid="{D5CDD505-2E9C-101B-9397-08002B2CF9AE}" pid="18" name="MSIP_Label_e14c1950-b3a8-4278-88f1-6df69d73b9d5_ContentBits">
    <vt:lpwstr>2</vt:lpwstr>
  </property>
</Properties>
</file>